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11_2022_REV.1\"/>
    </mc:Choice>
  </mc:AlternateContent>
  <xr:revisionPtr revIDLastSave="0" documentId="13_ncr:1_{F053BCCA-4FE6-4C83-BCE1-2FE6190363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2" l="1"/>
  <c r="E82" i="4"/>
  <c r="E79" i="4"/>
  <c r="E78" i="4"/>
  <c r="E77" i="4"/>
  <c r="E76" i="4"/>
  <c r="E75" i="4"/>
  <c r="E73" i="4"/>
  <c r="E72" i="4"/>
  <c r="E71" i="4"/>
  <c r="E69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38" i="4"/>
  <c r="E34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6" i="4"/>
  <c r="H83" i="6"/>
  <c r="G83" i="6"/>
  <c r="F83" i="6"/>
  <c r="E83" i="6"/>
  <c r="H82" i="6"/>
  <c r="G82" i="6"/>
  <c r="F82" i="6"/>
  <c r="E82" i="6"/>
  <c r="H81" i="6"/>
  <c r="G81" i="6"/>
  <c r="F81" i="6"/>
  <c r="E81" i="6"/>
  <c r="H80" i="6"/>
  <c r="G80" i="6"/>
  <c r="F80" i="6"/>
  <c r="E80" i="6"/>
  <c r="H79" i="6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H39" i="6"/>
  <c r="G39" i="6"/>
  <c r="F39" i="6"/>
  <c r="E39" i="6"/>
  <c r="H38" i="6"/>
  <c r="G38" i="6"/>
  <c r="F38" i="6"/>
  <c r="E38" i="6"/>
  <c r="D38" i="6"/>
  <c r="H37" i="6"/>
  <c r="G37" i="6"/>
  <c r="F37" i="6"/>
  <c r="E37" i="6"/>
  <c r="H36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H31" i="6"/>
  <c r="G31" i="6"/>
  <c r="F31" i="6"/>
  <c r="E31" i="6"/>
  <c r="D31" i="6"/>
  <c r="H30" i="6"/>
  <c r="G30" i="6"/>
  <c r="F30" i="6"/>
  <c r="E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D7" i="6"/>
  <c r="H82" i="5"/>
  <c r="G82" i="5"/>
  <c r="F82" i="5"/>
  <c r="E82" i="5"/>
  <c r="D82" i="5"/>
  <c r="H81" i="5"/>
  <c r="G81" i="5"/>
  <c r="F81" i="5"/>
  <c r="E81" i="5"/>
  <c r="D81" i="5"/>
  <c r="H80" i="5"/>
  <c r="G80" i="5"/>
  <c r="F80" i="5"/>
  <c r="E80" i="5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H69" i="5"/>
  <c r="G69" i="5"/>
  <c r="F69" i="5"/>
  <c r="E69" i="5"/>
  <c r="D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H48" i="5"/>
  <c r="G48" i="5"/>
  <c r="F48" i="5"/>
  <c r="E48" i="5"/>
  <c r="H47" i="5"/>
  <c r="G47" i="5"/>
  <c r="F47" i="5"/>
  <c r="E47" i="5"/>
  <c r="H46" i="5"/>
  <c r="G46" i="5"/>
  <c r="F46" i="5"/>
  <c r="E46" i="5"/>
  <c r="D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H39" i="5"/>
  <c r="G39" i="5"/>
  <c r="F39" i="5"/>
  <c r="E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H28" i="5"/>
  <c r="G28" i="5"/>
  <c r="F28" i="5"/>
  <c r="E28" i="5"/>
  <c r="D28" i="5"/>
  <c r="H27" i="5"/>
  <c r="G27" i="5"/>
  <c r="F27" i="5"/>
  <c r="E27" i="5"/>
  <c r="D27" i="5"/>
  <c r="H26" i="5"/>
  <c r="G26" i="5"/>
  <c r="F26" i="5"/>
  <c r="E26" i="5"/>
  <c r="H25" i="5"/>
  <c r="G25" i="5"/>
  <c r="F25" i="5"/>
  <c r="E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D7" i="5"/>
  <c r="E40" i="8"/>
  <c r="D40" i="8"/>
  <c r="E39" i="8"/>
  <c r="D39" i="8"/>
  <c r="E38" i="8"/>
  <c r="D38" i="8"/>
  <c r="E37" i="8"/>
  <c r="D37" i="8"/>
  <c r="E36" i="8"/>
  <c r="D36" i="8"/>
  <c r="E35" i="8"/>
  <c r="D35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4" i="8"/>
  <c r="D24" i="8"/>
  <c r="E23" i="8"/>
  <c r="D23" i="8"/>
  <c r="E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40" i="7"/>
  <c r="D40" i="7"/>
  <c r="E39" i="7"/>
  <c r="D39" i="7"/>
  <c r="E38" i="7"/>
  <c r="D38" i="7"/>
  <c r="E37" i="7"/>
  <c r="D37" i="7"/>
  <c r="E36" i="7"/>
  <c r="D36" i="7"/>
  <c r="E35" i="7"/>
  <c r="D35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4" i="7"/>
  <c r="D24" i="7"/>
  <c r="E23" i="7"/>
  <c r="D23" i="7"/>
  <c r="E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138" i="3" l="1"/>
  <c r="D137" i="3"/>
  <c r="D135" i="3"/>
  <c r="D133" i="3"/>
  <c r="D132" i="3"/>
  <c r="D129" i="3"/>
  <c r="D128" i="3"/>
  <c r="D127" i="3"/>
  <c r="D126" i="3"/>
  <c r="D125" i="3"/>
  <c r="D124" i="3"/>
  <c r="D122" i="3"/>
  <c r="D120" i="3"/>
  <c r="D119" i="3"/>
  <c r="D118" i="3"/>
  <c r="D116" i="3"/>
  <c r="D113" i="3"/>
  <c r="D110" i="3"/>
  <c r="D109" i="3"/>
  <c r="D107" i="3"/>
  <c r="D101" i="3"/>
  <c r="D98" i="3"/>
  <c r="D96" i="3"/>
  <c r="D95" i="3"/>
  <c r="D94" i="3"/>
  <c r="D93" i="3"/>
  <c r="D92" i="3"/>
  <c r="D86" i="3"/>
  <c r="D85" i="3"/>
  <c r="D84" i="3"/>
  <c r="D83" i="3"/>
  <c r="D80" i="3"/>
  <c r="D78" i="3"/>
  <c r="D77" i="3"/>
  <c r="D76" i="3"/>
  <c r="D73" i="3"/>
  <c r="D72" i="3"/>
  <c r="D69" i="3"/>
  <c r="D68" i="3"/>
  <c r="D66" i="3"/>
  <c r="D64" i="3"/>
  <c r="D63" i="3"/>
  <c r="D62" i="3"/>
  <c r="D61" i="3"/>
  <c r="D60" i="3"/>
  <c r="D59" i="3"/>
  <c r="D58" i="3"/>
  <c r="D57" i="3"/>
  <c r="D54" i="3"/>
  <c r="D53" i="3"/>
  <c r="D52" i="3"/>
  <c r="D51" i="3"/>
  <c r="D49" i="3"/>
  <c r="D48" i="3"/>
  <c r="D47" i="3"/>
  <c r="D45" i="3"/>
  <c r="D44" i="3"/>
  <c r="D39" i="3"/>
  <c r="D38" i="3"/>
  <c r="D37" i="3"/>
  <c r="D36" i="3"/>
  <c r="D34" i="3"/>
  <c r="D31" i="3"/>
  <c r="D29" i="3"/>
  <c r="D28" i="3"/>
  <c r="D27" i="3"/>
  <c r="D26" i="3"/>
  <c r="D25" i="3"/>
  <c r="D24" i="3"/>
  <c r="D23" i="3"/>
  <c r="D22" i="3"/>
  <c r="D21" i="3"/>
  <c r="D20" i="3"/>
  <c r="D19" i="3"/>
  <c r="D17" i="3"/>
  <c r="D15" i="3"/>
  <c r="D14" i="3"/>
  <c r="D13" i="3"/>
  <c r="D12" i="3"/>
  <c r="D11" i="3"/>
  <c r="D10" i="3"/>
  <c r="D9" i="3"/>
  <c r="D7" i="3"/>
  <c r="D5" i="3"/>
  <c r="G124" i="2"/>
  <c r="F124" i="2"/>
  <c r="E124" i="2"/>
  <c r="D124" i="2"/>
  <c r="G123" i="2"/>
  <c r="F123" i="2"/>
  <c r="E123" i="2"/>
  <c r="D123" i="2"/>
  <c r="C123" i="2"/>
  <c r="G122" i="2"/>
  <c r="F122" i="2"/>
  <c r="E122" i="2"/>
  <c r="D122" i="2"/>
  <c r="C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C110" i="2"/>
  <c r="G109" i="2"/>
  <c r="F109" i="2"/>
  <c r="E109" i="2"/>
  <c r="D109" i="2"/>
  <c r="G108" i="2"/>
  <c r="F108" i="2"/>
  <c r="E108" i="2"/>
  <c r="D108" i="2"/>
  <c r="C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C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G8" i="2"/>
  <c r="F8" i="2"/>
  <c r="E8" i="2"/>
  <c r="D8" i="2"/>
  <c r="C8" i="2"/>
  <c r="G6" i="2"/>
  <c r="F6" i="2"/>
  <c r="C6" i="2"/>
  <c r="G118" i="1"/>
  <c r="F118" i="1"/>
  <c r="E118" i="1"/>
  <c r="D118" i="1"/>
  <c r="G117" i="1"/>
  <c r="F117" i="1"/>
  <c r="E117" i="1"/>
  <c r="D117" i="1"/>
  <c r="C117" i="1"/>
  <c r="G116" i="1"/>
  <c r="F116" i="1"/>
  <c r="E116" i="1"/>
  <c r="D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G112" i="1"/>
  <c r="F112" i="1"/>
  <c r="E112" i="1"/>
  <c r="D112" i="1"/>
  <c r="G111" i="1"/>
  <c r="F111" i="1"/>
  <c r="E111" i="1"/>
  <c r="D111" i="1"/>
  <c r="G110" i="1"/>
  <c r="F110" i="1"/>
  <c r="E110" i="1"/>
  <c r="D110" i="1"/>
  <c r="C110" i="1"/>
  <c r="G109" i="1"/>
  <c r="F109" i="1"/>
  <c r="E109" i="1"/>
  <c r="D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G75" i="1"/>
  <c r="F75" i="1"/>
  <c r="E75" i="1"/>
  <c r="D75" i="1"/>
  <c r="G74" i="1"/>
  <c r="F74" i="1"/>
  <c r="E74" i="1"/>
  <c r="D74" i="1"/>
  <c r="C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G52" i="1"/>
  <c r="F52" i="1"/>
  <c r="E52" i="1"/>
  <c r="D52" i="1"/>
  <c r="C52" i="1"/>
  <c r="G51" i="1"/>
  <c r="F51" i="1"/>
  <c r="E51" i="1"/>
  <c r="D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G44" i="1"/>
  <c r="F44" i="1"/>
  <c r="E44" i="1"/>
  <c r="D44" i="1"/>
  <c r="G43" i="1"/>
  <c r="F43" i="1"/>
  <c r="E43" i="1"/>
  <c r="D43" i="1"/>
  <c r="C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G36" i="1"/>
  <c r="F36" i="1"/>
  <c r="E36" i="1"/>
  <c r="D36" i="1"/>
  <c r="G35" i="1"/>
  <c r="F35" i="1"/>
  <c r="E35" i="1"/>
  <c r="D35" i="1"/>
  <c r="C35" i="1"/>
  <c r="G34" i="1"/>
  <c r="F34" i="1"/>
  <c r="E34" i="1"/>
  <c r="D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G26" i="1"/>
  <c r="F26" i="1"/>
  <c r="E26" i="1"/>
  <c r="D26" i="1"/>
  <c r="C26" i="1"/>
  <c r="G25" i="1"/>
  <c r="F25" i="1"/>
  <c r="E25" i="1"/>
  <c r="D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<sst xmlns="http://schemas.openxmlformats.org/spreadsheetml/2006/main" count="1184" uniqueCount="418">
  <si>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</si>
  <si>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</si>
  <si>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</si>
  <si>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</si>
  <si>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</si>
  <si>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</si>
  <si>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</si>
  <si>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</si>
  <si>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</si>
  <si>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</si>
  <si>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</si>
  <si>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</si>
  <si>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</si>
  <si>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</si>
  <si>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</si>
  <si>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</si>
  <si>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</si>
  <si>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</si>
  <si>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</si>
  <si>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</si>
  <si>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</si>
  <si>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</si>
  <si>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</si>
  <si>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</si>
  <si>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</si>
  <si>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</si>
  <si>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</si>
  <si>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</si>
  <si>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</si>
  <si>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</si>
  <si>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</si>
  <si>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</si>
  <si>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</si>
  <si>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</si>
  <si>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</si>
  <si>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</si>
  <si>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</si>
  <si>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</si>
  <si>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</si>
  <si>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</si>
  <si>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</si>
  <si>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</si>
  <si>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</si>
  <si>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</si>
  <si>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</si>
  <si>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</si>
  <si>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</si>
  <si>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</si>
  <si>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</si>
  <si>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</si>
  <si>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</si>
  <si>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</si>
  <si>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</si>
  <si>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</si>
  <si>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</si>
  <si>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</si>
  <si>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</si>
  <si>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</si>
  <si>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</si>
  <si>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</si>
  <si>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</si>
  <si>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</si>
  <si>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</si>
  <si>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</si>
  <si>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</si>
  <si>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</si>
  <si>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</si>
  <si>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</si>
  <si>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</si>
  <si>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</si>
  <si>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</si>
  <si>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</si>
  <si>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</si>
  <si>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</si>
  <si>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</si>
  <si>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</si>
  <si>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</si>
  <si>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</si>
  <si>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</si>
  <si>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</si>
  <si>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</si>
  <si>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</si>
  <si>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</si>
  <si>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</si>
  <si>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</si>
  <si>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</si>
  <si>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</si>
  <si>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</si>
  <si>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</si>
  <si>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</si>
  <si>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</si>
  <si>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</si>
  <si>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</si>
  <si>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</si>
  <si>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</si>
  <si>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</si>
  <si>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</si>
  <si>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</si>
  <si>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</si>
  <si>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</si>
  <si>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</si>
  <si>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</si>
  <si>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</si>
  <si>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</si>
  <si>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</si>
  <si>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mii dolari         SUA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</si>
  <si>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</si>
  <si>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</si>
  <si>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</si>
  <si>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</si>
  <si>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</si>
  <si>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</si>
  <si>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</si>
  <si>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</si>
  <si>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</si>
  <si>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</si>
  <si>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</si>
  <si>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</si>
  <si>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</si>
  <si>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</si>
  <si>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</si>
  <si>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</si>
  <si>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</si>
  <si>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</si>
  <si>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</si>
  <si>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</si>
  <si>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</si>
  <si>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</si>
  <si>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</si>
  <si>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</si>
  <si>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</si>
  <si>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</si>
  <si>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</si>
  <si>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</si>
  <si>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</si>
  <si>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</si>
  <si>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</si>
  <si>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</si>
  <si>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</si>
  <si>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</si>
  <si>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</si>
  <si>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</si>
  <si>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</si>
  <si>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</si>
  <si>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</si>
  <si>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</si>
  <si>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</si>
  <si>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</si>
  <si>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</si>
  <si>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</si>
  <si>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</si>
  <si>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</si>
  <si>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</si>
  <si>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</si>
  <si>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</si>
  <si>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</si>
  <si>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</si>
  <si>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</si>
  <si>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</si>
  <si>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</si>
  <si>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</si>
  <si>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</si>
  <si>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</si>
  <si>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</si>
  <si>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</si>
  <si>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</si>
  <si>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</si>
  <si>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</si>
  <si>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</si>
  <si>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</si>
  <si>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</si>
  <si>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</si>
  <si>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</si>
  <si>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</si>
  <si>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</si>
  <si>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</si>
  <si>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</si>
  <si>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</si>
  <si>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</si>
  <si>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</si>
  <si>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</si>
  <si>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</si>
  <si>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</si>
  <si>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</si>
  <si>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</si>
  <si>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</si>
  <si>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</si>
  <si>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</si>
  <si>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</si>
  <si>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</si>
  <si>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</si>
  <si>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</si>
  <si>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</si>
  <si>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</si>
  <si>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</si>
  <si>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</si>
  <si>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</si>
  <si>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</si>
  <si>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</si>
  <si>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</si>
  <si>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</si>
  <si>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</si>
  <si>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BALANŢA COMERCIALĂ – total, mii dolari SUA</t>
  </si>
  <si>
    <t>Libia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</si>
  <si>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</si>
  <si>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</si>
  <si>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</si>
  <si>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</si>
  <si>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</si>
  <si>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</si>
  <si>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</si>
  <si>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</si>
  <si>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</si>
  <si>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</si>
  <si>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</si>
  <si>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</si>
  <si>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</si>
  <si>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</si>
  <si>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</si>
  <si>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</si>
  <si>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</si>
  <si>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</si>
  <si>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</si>
  <si>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</si>
  <si>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</si>
  <si>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</si>
  <si>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</si>
  <si>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</si>
  <si>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</si>
  <si>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</si>
  <si>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</si>
  <si>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</si>
  <si>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</si>
  <si>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</si>
  <si>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</si>
  <si>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</si>
  <si>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</si>
  <si>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</si>
  <si>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</si>
  <si>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</si>
  <si>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</si>
  <si>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</si>
  <si>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</si>
  <si>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</si>
  <si>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</si>
  <si>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</si>
  <si>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</si>
  <si>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</si>
  <si>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</si>
  <si>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</si>
  <si>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</si>
  <si>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</si>
  <si>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</si>
  <si>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</si>
  <si>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</si>
  <si>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</si>
  <si>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</si>
  <si>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</si>
  <si>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</si>
  <si>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</si>
  <si>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</si>
  <si>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</si>
  <si>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</si>
  <si>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</si>
  <si>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</si>
  <si>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</si>
  <si>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</si>
  <si>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</si>
  <si>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</si>
  <si>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</si>
  <si>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</si>
  <si>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</si>
  <si>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</si>
  <si>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</si>
  <si>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</si>
  <si>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</si>
  <si>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</si>
  <si>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</si>
  <si>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</si>
  <si>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</si>
  <si>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</si>
  <si>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</si>
  <si>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de 2,4 ori</t>
  </si>
  <si>
    <t>35</t>
  </si>
  <si>
    <t>Energie electrica</t>
  </si>
  <si>
    <t>Energie electrică</t>
  </si>
  <si>
    <t>BALANŢA COMERCIALĂ - total, mii dolari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</si>
  <si>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</si>
  <si>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</si>
  <si>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Celelalte țări ale lumii</t>
  </si>
  <si>
    <t>Madagascar</t>
  </si>
  <si>
    <t>Malawi</t>
  </si>
  <si>
    <t>Coreea de Nord</t>
  </si>
  <si>
    <t>Republica Yemen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</si>
  <si>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</si>
  <si>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</si>
  <si>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perioada corespunzătoare din anul precedent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</si>
  <si>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</si>
  <si>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</si>
  <si>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</si>
  <si>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</si>
  <si>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</si>
  <si>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</si>
  <si>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</si>
  <si>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</si>
  <si>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Șri Lanka</t>
  </si>
  <si>
    <t>2021</t>
  </si>
  <si>
    <t>2022</t>
  </si>
  <si>
    <t>Cehia</t>
  </si>
  <si>
    <t>Kârgâzstan</t>
  </si>
  <si>
    <t>Panama</t>
  </si>
  <si>
    <t>Taiwan, provincie a Chinei</t>
  </si>
  <si>
    <t>Insulele Feroe</t>
  </si>
  <si>
    <t>97</t>
  </si>
  <si>
    <t>Aur nemonetar</t>
  </si>
  <si>
    <t>99</t>
  </si>
  <si>
    <t>Kuwait</t>
  </si>
  <si>
    <t>Paraguay</t>
  </si>
  <si>
    <t>Burkina Faso</t>
  </si>
  <si>
    <t>de 4,3 ori</t>
  </si>
  <si>
    <t>Liechtenstein</t>
  </si>
  <si>
    <t>Operațiuni neidentificate (ajutor umanitar)</t>
  </si>
  <si>
    <t>96</t>
  </si>
  <si>
    <t>Monede, care nu au curs legal (cu exceptia monedelor de aur)</t>
  </si>
  <si>
    <t>de 3,5 ori</t>
  </si>
  <si>
    <t>Gambia</t>
  </si>
  <si>
    <t>San Marino</t>
  </si>
  <si>
    <t>Mauritius</t>
  </si>
  <si>
    <t>Venezuela</t>
  </si>
  <si>
    <t>Guatemala</t>
  </si>
  <si>
    <t>de 3,1 ori</t>
  </si>
  <si>
    <t>Regatul Țărilor de Jos (Netherlands)</t>
  </si>
  <si>
    <t>Senegal</t>
  </si>
  <si>
    <t>Trinidad și Tobago</t>
  </si>
  <si>
    <t>Țările Uniunii Europene - total</t>
  </si>
  <si>
    <t>Gaz și produse industriale obținute din gaz</t>
  </si>
  <si>
    <t>Mărfuri manufacturate, clasificate mai ales după materia primă</t>
  </si>
  <si>
    <t>Insulele Georgia și Sandwich de Sud</t>
  </si>
  <si>
    <t>Algeria</t>
  </si>
  <si>
    <t>Lesotho</t>
  </si>
  <si>
    <t>Andorra</t>
  </si>
  <si>
    <t>Honduras</t>
  </si>
  <si>
    <t>de 2,6 ori</t>
  </si>
  <si>
    <t>de 4,4 ori</t>
  </si>
  <si>
    <t>de 2,7 ori</t>
  </si>
  <si>
    <t>de 2,5 ori</t>
  </si>
  <si>
    <t>de 35,8 ori</t>
  </si>
  <si>
    <t>de 3,0 ori</t>
  </si>
  <si>
    <t>de 4,0 ori</t>
  </si>
  <si>
    <t>de 2,3 ori</t>
  </si>
  <si>
    <t>de 3,3 ori</t>
  </si>
  <si>
    <t>de 3,2 ori</t>
  </si>
  <si>
    <t>de 2910,1 ori</t>
  </si>
  <si>
    <t>de 2,9 ori</t>
  </si>
  <si>
    <t>Republica Dominicană</t>
  </si>
  <si>
    <t>de 5,9 ori</t>
  </si>
  <si>
    <t>Kosovo</t>
  </si>
  <si>
    <t>Muntenegru</t>
  </si>
  <si>
    <t>Togo</t>
  </si>
  <si>
    <t>Samoa Americană</t>
  </si>
  <si>
    <t>Barbados</t>
  </si>
  <si>
    <t>Expedieri postale</t>
  </si>
  <si>
    <t>Instalatii fixe de transport</t>
  </si>
  <si>
    <t>de 3,9 ori</t>
  </si>
  <si>
    <t>de 3,4 ori</t>
  </si>
  <si>
    <t>de 9,2 ori</t>
  </si>
  <si>
    <t>de 8,1 ori</t>
  </si>
  <si>
    <t>de 5,1 ori</t>
  </si>
  <si>
    <t>de 5,8 ori</t>
  </si>
  <si>
    <t>Tuvalu</t>
  </si>
  <si>
    <t>de 6,7 ori</t>
  </si>
  <si>
    <t>de 3,8 ori</t>
  </si>
  <si>
    <t>de 15,3 ori</t>
  </si>
  <si>
    <t>de 5,6 ori</t>
  </si>
  <si>
    <t>de 8,0 ori</t>
  </si>
  <si>
    <t>de 5,7 ori</t>
  </si>
  <si>
    <t>-</t>
  </si>
  <si>
    <t>de 31,4 ori</t>
  </si>
  <si>
    <t>Piei crude, piei tăbăcite și blănuri brute</t>
  </si>
  <si>
    <t>Instrumente şi aparate profesionale, ştiinţifice şi de control</t>
  </si>
  <si>
    <t>Ianuarie - noiembrie 2022</t>
  </si>
  <si>
    <t>în % faţă de ianuarie - noiembrie 2021¹</t>
  </si>
  <si>
    <t>ianuarie - noiembrie</t>
  </si>
  <si>
    <r>
      <t xml:space="preserve">ianuarie - noiembrie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</si>
  <si>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 -noiembrie </t>
    </r>
    <r>
      <rPr>
        <b/>
        <vertAlign val="superscript"/>
        <sz val="10"/>
        <rFont val="Times New Roman"/>
        <family val="1"/>
        <charset val="204"/>
      </rPr>
      <t>1,2</t>
    </r>
  </si>
  <si>
    <t>Ianuarie - noiembrie</t>
  </si>
  <si>
    <r>
      <t xml:space="preserve">ianuarie - noiembrie </t>
    </r>
    <r>
      <rPr>
        <b/>
        <vertAlign val="superscript"/>
        <sz val="10"/>
        <color rgb="FF000000"/>
        <rFont val="Times New Roman"/>
        <family val="1"/>
        <charset val="204"/>
      </rPr>
      <t>1,2</t>
    </r>
  </si>
  <si>
    <r>
      <t>ianuarie - noiembrie</t>
    </r>
    <r>
      <rPr>
        <b/>
        <vertAlign val="superscript"/>
        <sz val="10"/>
        <color rgb="FF000000"/>
        <rFont val="Times New Roman"/>
        <family val="1"/>
        <charset val="204"/>
      </rPr>
      <t xml:space="preserve"> 1,2</t>
    </r>
  </si>
  <si>
    <t>Ianuarie - noiembrie 2022 în % faţă de ianuarie - noiembrie 2021¹</t>
  </si>
  <si>
    <t>Cuba</t>
  </si>
  <si>
    <t>de 7,5 ori</t>
  </si>
  <si>
    <t>de 15,0 ori</t>
  </si>
  <si>
    <t>de 6,0 ori</t>
  </si>
  <si>
    <t>de 10,8 ori</t>
  </si>
  <si>
    <t>de 134,2 ori</t>
  </si>
  <si>
    <t>de 7,7 ori</t>
  </si>
  <si>
    <t>de 78,9 ori</t>
  </si>
  <si>
    <t>de 5,5 ori</t>
  </si>
  <si>
    <t>de 7,0 ori</t>
  </si>
  <si>
    <t>de 10,6 ori</t>
  </si>
  <si>
    <t>de 4,6 ori</t>
  </si>
  <si>
    <t>de 3362,6 ori</t>
  </si>
  <si>
    <t>de 13,0 ori</t>
  </si>
  <si>
    <t>de 3358,1 ori</t>
  </si>
  <si>
    <t>de 11,5 ori</t>
  </si>
  <si>
    <t>de 17,5 ori</t>
  </si>
  <si>
    <t>de 106,0 ori</t>
  </si>
  <si>
    <t>de 34,4 ori</t>
  </si>
  <si>
    <t>de 33,5 ori</t>
  </si>
  <si>
    <t>de 16,9 ori</t>
  </si>
  <si>
    <t>de 4,7 ori</t>
  </si>
  <si>
    <t>de 36,5 ori</t>
  </si>
  <si>
    <t>de 92,4 ori</t>
  </si>
  <si>
    <t>de 14,4 ori</t>
  </si>
  <si>
    <t>de 11,1 ori</t>
  </si>
  <si>
    <t>de 79,2 ori</t>
  </si>
  <si>
    <t>Mărfuri produse în UE, la care țara de origine nu poate fi identificată</t>
  </si>
  <si>
    <t xml:space="preserve">Mărfuri produse în UE, la care țara de origine nu poate fi identificată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</si>
</sst>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vertAlign val="superscript"/>
      <sz val="10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indexed="8"/>
      <name val="Times New Roman"/>
      <family val="2"/>
      <charset val="238"/>
    </font>
    <font>
      <sz val="10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1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4" fontId="11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38" fontId="11" fillId="0" borderId="0" xfId="0" applyNumberFormat="1" applyFont="1" applyAlignment="1">
      <alignment horizontal="center" vertical="top"/>
    </xf>
    <xf numFmtId="38" fontId="11" fillId="0" borderId="0" xfId="0" applyNumberFormat="1" applyFont="1" applyAlignment="1">
      <alignment horizontal="left" vertical="top" wrapText="1"/>
    </xf>
    <xf numFmtId="38" fontId="9" fillId="0" borderId="0" xfId="0" applyNumberFormat="1" applyFont="1" applyAlignment="1">
      <alignment horizontal="center" vertical="top"/>
    </xf>
    <xf numFmtId="38" fontId="9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 indent="1"/>
    </xf>
    <xf numFmtId="4" fontId="27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0" fontId="9" fillId="0" borderId="0" xfId="0" applyFont="1" applyAlignment="1">
      <alignment horizontal="left" vertical="top" wrapText="1" indent="1"/>
    </xf>
    <xf numFmtId="4" fontId="9" fillId="0" borderId="3" xfId="0" applyNumberFormat="1" applyFont="1" applyBorder="1" applyAlignment="1">
      <alignment horizontal="right" vertical="top" inden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8" fontId="30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horizontal="right" vertical="top" inden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2" fillId="0" borderId="0" xfId="0" applyNumberFormat="1" applyFont="1" applyAlignment="1">
      <alignment horizontal="right" vertical="top" indent="1"/>
    </xf>
    <xf numFmtId="0" fontId="33" fillId="0" borderId="0" xfId="0" applyFont="1" applyAlignment="1">
      <alignment horizontal="center" vertical="top"/>
    </xf>
    <xf numFmtId="4" fontId="22" fillId="0" borderId="0" xfId="0" applyNumberFormat="1" applyFont="1" applyAlignment="1">
      <alignment horizontal="right" vertical="top" indent="1"/>
    </xf>
    <xf numFmtId="0" fontId="11" fillId="0" borderId="0" xfId="0" applyFont="1" applyAlignment="1">
      <alignment horizontal="left" vertical="top" wrapText="1" indent="1"/>
    </xf>
    <xf numFmtId="38" fontId="9" fillId="0" borderId="0" xfId="0" applyNumberFormat="1" applyFont="1" applyAlignment="1">
      <alignment horizontal="left" vertical="top" wrapText="1" indent="1"/>
    </xf>
    <xf numFmtId="38" fontId="9" fillId="0" borderId="3" xfId="0" applyNumberFormat="1" applyFont="1" applyBorder="1" applyAlignment="1">
      <alignment horizontal="left" vertical="top" wrapText="1" indent="1"/>
    </xf>
    <xf numFmtId="4" fontId="11" fillId="0" borderId="0" xfId="0" applyNumberFormat="1" applyFont="1" applyAlignment="1">
      <alignment horizontal="right" vertical="top" wrapText="1" indent="1"/>
    </xf>
    <xf numFmtId="4" fontId="23" fillId="0" borderId="0" xfId="0" applyNumberFormat="1" applyFont="1" applyAlignment="1">
      <alignment horizontal="right" vertical="top" wrapText="1" indent="1"/>
    </xf>
    <xf numFmtId="4" fontId="25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wrapText="1" indent="1"/>
    </xf>
    <xf numFmtId="0" fontId="9" fillId="0" borderId="0" xfId="0" applyFont="1" applyAlignment="1">
      <alignment horizontal="left" vertical="top" wrapText="1"/>
    </xf>
    <xf numFmtId="4" fontId="24" fillId="0" borderId="0" xfId="0" applyNumberFormat="1" applyFont="1" applyAlignment="1">
      <alignment horizontal="right" vertical="top" indent="1"/>
    </xf>
    <xf numFmtId="49" fontId="9" fillId="0" borderId="0" xfId="0" applyNumberFormat="1" applyFont="1" applyAlignment="1">
      <alignment horizontal="center" vertical="top"/>
    </xf>
    <xf numFmtId="38" fontId="9" fillId="0" borderId="3" xfId="0" applyNumberFormat="1" applyFont="1" applyBorder="1" applyAlignment="1">
      <alignment horizontal="center" vertical="top"/>
    </xf>
    <xf numFmtId="38" fontId="9" fillId="0" borderId="3" xfId="0" applyNumberFormat="1" applyFont="1" applyBorder="1" applyAlignment="1">
      <alignment horizontal="left" vertical="top" wrapText="1"/>
    </xf>
    <xf numFmtId="4" fontId="11" fillId="0" borderId="0" xfId="4" applyNumberFormat="1" applyFont="1" applyAlignment="1">
      <alignment horizontal="right" vertical="top" indent="1"/>
    </xf>
    <xf numFmtId="4" fontId="9" fillId="0" borderId="0" xfId="4" applyNumberFormat="1" applyFont="1" applyAlignment="1">
      <alignment horizontal="right" vertical="top" indent="1"/>
    </xf>
    <xf numFmtId="0" fontId="35" fillId="0" borderId="5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top"/>
    </xf>
    <xf numFmtId="0" fontId="9" fillId="0" borderId="3" xfId="0" applyFont="1" applyBorder="1" applyAlignment="1">
      <alignment horizontal="left" vertical="top" wrapText="1" indent="1"/>
    </xf>
    <xf numFmtId="0" fontId="37" fillId="0" borderId="0" xfId="0" applyFont="1" applyAlignment="1">
      <alignment horizontal="left" vertical="top" wrapText="1" indent="1"/>
    </xf>
    <xf numFmtId="0" fontId="37" fillId="0" borderId="5" xfId="0" applyFont="1" applyBorder="1" applyAlignment="1">
      <alignment horizontal="left" vertical="top" wrapText="1"/>
    </xf>
    <xf numFmtId="0" fontId="39" fillId="0" borderId="0" xfId="0" applyFont="1"/>
    <xf numFmtId="0" fontId="40" fillId="0" borderId="0" xfId="0" applyFont="1"/>
    <xf numFmtId="4" fontId="22" fillId="0" borderId="0" xfId="0" applyNumberFormat="1" applyFont="1" applyAlignment="1">
      <alignment horizontal="right" vertical="top"/>
    </xf>
    <xf numFmtId="4" fontId="37" fillId="0" borderId="5" xfId="0" applyNumberFormat="1" applyFont="1" applyBorder="1" applyAlignment="1">
      <alignment horizontal="right" vertical="top" indent="1"/>
    </xf>
    <xf numFmtId="4" fontId="30" fillId="0" borderId="0" xfId="0" applyNumberFormat="1" applyFont="1" applyAlignment="1">
      <alignment horizontal="left"/>
    </xf>
    <xf numFmtId="4" fontId="12" fillId="0" borderId="0" xfId="0" applyNumberFormat="1" applyFont="1"/>
    <xf numFmtId="0" fontId="37" fillId="0" borderId="5" xfId="0" applyFont="1" applyBorder="1" applyAlignment="1">
      <alignment horizontal="left" vertical="top" wrapText="1" indent="1"/>
    </xf>
    <xf numFmtId="4" fontId="32" fillId="0" borderId="0" xfId="0" applyNumberFormat="1" applyFont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37" fillId="0" borderId="0" xfId="0" applyNumberFormat="1" applyFont="1" applyAlignment="1">
      <alignment horizontal="right" vertical="top" indent="1"/>
    </xf>
    <xf numFmtId="4" fontId="37" fillId="0" borderId="0" xfId="0" applyNumberFormat="1" applyFont="1" applyAlignment="1">
      <alignment horizontal="right" vertical="top" wrapText="1" indent="1"/>
    </xf>
    <xf numFmtId="4" fontId="37" fillId="0" borderId="5" xfId="0" applyNumberFormat="1" applyFont="1" applyBorder="1" applyAlignment="1">
      <alignment horizontal="right" vertical="top" wrapText="1" indent="1"/>
    </xf>
    <xf numFmtId="4" fontId="37" fillId="0" borderId="5" xfId="0" applyNumberFormat="1" applyFont="1" applyBorder="1" applyAlignment="1">
      <alignment horizontal="right" vertical="top"/>
    </xf>
    <xf numFmtId="0" fontId="38" fillId="0" borderId="5" xfId="0" applyFont="1" applyBorder="1" applyAlignment="1">
      <alignment horizontal="center" vertical="top"/>
    </xf>
    <xf numFmtId="4" fontId="32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 indent="1"/>
    </xf>
    <xf numFmtId="2" fontId="32" fillId="0" borderId="0" xfId="0" applyNumberFormat="1" applyFont="1" applyAlignment="1">
      <alignment horizontal="right" vertical="top" indent="1"/>
    </xf>
    <xf numFmtId="2" fontId="9" fillId="0" borderId="0" xfId="4" applyNumberFormat="1" applyFont="1" applyAlignment="1">
      <alignment horizontal="right" vertical="top" indent="1"/>
    </xf>
    <xf numFmtId="2" fontId="9" fillId="0" borderId="3" xfId="4" applyNumberFormat="1" applyFont="1" applyBorder="1" applyAlignment="1">
      <alignment horizontal="right" vertical="top" indent="1"/>
    </xf>
    <xf numFmtId="0" fontId="32" fillId="0" borderId="0" xfId="0" applyFont="1" applyAlignment="1">
      <alignment horizontal="left" vertical="top" wrapText="1" indent="1"/>
    </xf>
    <xf numFmtId="4" fontId="28" fillId="0" borderId="0" xfId="0" applyNumberFormat="1" applyFont="1" applyAlignment="1">
      <alignment horizontal="right" vertical="top" indent="1"/>
    </xf>
    <xf numFmtId="4" fontId="32" fillId="0" borderId="3" xfId="0" applyNumberFormat="1" applyFont="1" applyBorder="1" applyAlignment="1">
      <alignment horizontal="right" vertical="top" indent="1"/>
    </xf>
    <xf numFmtId="4" fontId="0" fillId="0" borderId="0" xfId="0" applyNumberFormat="1" applyAlignment="1">
      <alignment horizontal="right" vertical="top" indent="1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7" fillId="0" borderId="5" xfId="0" applyNumberFormat="1" applyFont="1" applyBorder="1" applyAlignment="1">
      <alignment horizontal="right" vertical="top" indent="1"/>
    </xf>
    <xf numFmtId="2" fontId="11" fillId="0" borderId="0" xfId="0" applyNumberFormat="1" applyFont="1" applyAlignment="1">
      <alignment horizontal="right" vertical="top" indent="1"/>
    </xf>
    <xf numFmtId="2" fontId="9" fillId="0" borderId="0" xfId="0" applyNumberFormat="1" applyFont="1" applyAlignment="1">
      <alignment horizontal="right" vertical="top" indent="1"/>
    </xf>
    <xf numFmtId="2" fontId="9" fillId="0" borderId="3" xfId="0" applyNumberFormat="1" applyFont="1" applyBorder="1" applyAlignment="1">
      <alignment horizontal="right" vertical="top" inden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20"/>
  <sheetViews>
    <sheetView tabSelected="1" zoomScale="99" zoomScaleNormal="99" workbookViewId="0">
      <selection activeCell="C22" sqref="C22"/>
    </sheetView>
  </sheetViews>
  <sheetFormatPr defaultRowHeight="15.75" x14ac:dyDescent="0.25"/>
  <cols>
    <col min="1" max="1" width="29.25" style="6" customWidth="1"/>
    <col min="2" max="2" width="12.125" style="6" customWidth="1"/>
    <col min="3" max="3" width="11.125" style="60" customWidth="1"/>
    <col min="4" max="4" width="9" style="6" customWidth="1"/>
    <col min="5" max="5" width="8.75" style="6" customWidth="1"/>
    <col min="6" max="6" width="9.875" style="6" customWidth="1"/>
    <col min="7" max="7" width="9.625" style="6" customWidth="1"/>
    <col min="9" max="9" width="9.625" customWidth="1"/>
  </cols>
  <sheetData>
    <row r="1" spans="1:7" x14ac:dyDescent="0.25">
      <c r="A1" s="79" t="s">
        <v>294</v>
      </c>
      <c r="B1" s="79"/>
      <c r="C1" s="79"/>
      <c r="D1" s="79"/>
      <c r="E1" s="79"/>
      <c r="F1" s="79"/>
      <c r="G1" s="79"/>
    </row>
    <row r="3" spans="1:7" ht="54" customHeight="1" x14ac:dyDescent="0.25">
      <c r="A3" s="80"/>
      <c r="B3" s="83" t="s">
        <v>380</v>
      </c>
      <c r="C3" s="84"/>
      <c r="D3" s="83" t="s">
        <v>104</v>
      </c>
      <c r="E3" s="84"/>
      <c r="F3" s="85" t="s">
        <v>1</v>
      </c>
      <c r="G3" s="86"/>
    </row>
    <row r="4" spans="1:7" ht="22.5" customHeight="1" x14ac:dyDescent="0.25">
      <c r="A4" s="81"/>
      <c r="B4" s="87" t="s">
        <v>95</v>
      </c>
      <c r="C4" s="89" t="s">
        <v>381</v>
      </c>
      <c r="D4" s="91" t="s">
        <v>382</v>
      </c>
      <c r="E4" s="91"/>
      <c r="F4" s="91" t="s">
        <v>383</v>
      </c>
      <c r="G4" s="83"/>
    </row>
    <row r="5" spans="1:7" ht="28.5" customHeight="1" x14ac:dyDescent="0.25">
      <c r="A5" s="82"/>
      <c r="B5" s="88"/>
      <c r="C5" s="90"/>
      <c r="D5" s="28" t="s">
        <v>306</v>
      </c>
      <c r="E5" s="28" t="s">
        <v>307</v>
      </c>
      <c r="F5" s="28" t="s">
        <v>306</v>
      </c>
      <c r="G5" s="29" t="s">
        <v>307</v>
      </c>
    </row>
    <row r="6" spans="1:7" s="2" customFormat="1" ht="15.75" customHeight="1" x14ac:dyDescent="0.25">
      <c r="A6" s="54" t="s">
        <v>96</v>
      </c>
      <c r="B6" s="67">
        <v>3985350.8750300002</v>
      </c>
      <c r="C6" s="58">
        <f>IF(2819533.73145="","-",3985350.87503/2819533.73145*100)</f>
        <v>141.3478700600775</v>
      </c>
      <c r="D6" s="58">
        <v>100</v>
      </c>
      <c r="E6" s="58">
        <v>100</v>
      </c>
      <c r="F6" s="58">
        <f>IF(2248863.79366="","-",(2819533.73145-2248863.79366)/2248863.79366*100)</f>
        <v>25.375922694777397</v>
      </c>
      <c r="G6" s="58">
        <f>IF(2819533.73145="","-",(3985350.87503-2819533.73145)/2819533.73145*100)</f>
        <v>41.347870060077497</v>
      </c>
    </row>
    <row r="7" spans="1:7" x14ac:dyDescent="0.25">
      <c r="A7" s="43" t="s">
        <v>120</v>
      </c>
      <c r="B7" s="57"/>
      <c r="C7" s="35"/>
      <c r="D7" s="35"/>
      <c r="E7" s="35"/>
      <c r="F7" s="35"/>
      <c r="G7" s="35"/>
    </row>
    <row r="8" spans="1:7" x14ac:dyDescent="0.25">
      <c r="A8" s="36" t="s">
        <v>132</v>
      </c>
      <c r="B8" s="13">
        <v>2354028.6165100001</v>
      </c>
      <c r="C8" s="21">
        <f>IF(1728523.81623="","-",2354028.61651/1728523.81623*100)</f>
        <v>136.18722486822651</v>
      </c>
      <c r="D8" s="21">
        <f>IF(1728523.81623="","-",1728523.81623/2819533.73145*100)</f>
        <v>61.305307219753423</v>
      </c>
      <c r="E8" s="21">
        <f>IF(2354028.61651="","-",2354028.61651/3985350.87503*100)</f>
        <v>59.067035508944485</v>
      </c>
      <c r="F8" s="21">
        <f>IF(2248863.79366="","-",(1728523.81623-1502385.9765)/2248863.79366*100)</f>
        <v>10.055648562066231</v>
      </c>
      <c r="G8" s="21">
        <f>IF(2819533.73145="","-",(2354028.61651-1728523.81623)/2819533.73145*100)</f>
        <v>22.184689379769264</v>
      </c>
    </row>
    <row r="9" spans="1:7" ht="15.75" customHeight="1" x14ac:dyDescent="0.25">
      <c r="A9" s="37" t="s">
        <v>2</v>
      </c>
      <c r="B9" s="14">
        <v>1144631.8763600001</v>
      </c>
      <c r="C9" s="19">
        <f>IF(OR(751578.24299="",1144631.87636=""),"-",1144631.87636/751578.24299*100)</f>
        <v>152.29710107178153</v>
      </c>
      <c r="D9" s="19">
        <f>IF(751578.24299="","-",751578.24299/2819533.73145*100)</f>
        <v>26.656118159064775</v>
      </c>
      <c r="E9" s="19">
        <f>IF(1144631.87636="","-",1144631.87636/3985350.87503*100)</f>
        <v>28.720981219787422</v>
      </c>
      <c r="F9" s="19">
        <f>IF(OR(2248863.79366="",642816.95726="",751578.24299=""),"-",(751578.24299-642816.95726)/2248863.79366*100)</f>
        <v>4.8362771474475235</v>
      </c>
      <c r="G9" s="19">
        <f>IF(OR(2819533.73145="",1144631.87636="",751578.24299=""),"-",(1144631.87636-751578.24299)/2819533.73145*100)</f>
        <v>13.940377055459614</v>
      </c>
    </row>
    <row r="10" spans="1:7" ht="15.75" customHeight="1" x14ac:dyDescent="0.25">
      <c r="A10" s="37" t="s">
        <v>3</v>
      </c>
      <c r="B10" s="14">
        <v>310091.92111</v>
      </c>
      <c r="C10" s="19">
        <f>IF(OR(220026.93342="",310091.92111=""),"-",310091.92111/220026.93342*100)</f>
        <v>140.93361948470135</v>
      </c>
      <c r="D10" s="19">
        <f>IF(220026.93342="","-",220026.93342/2819533.73145*100)</f>
        <v>7.8036638102870608</v>
      </c>
      <c r="E10" s="19">
        <f>IF(310091.92111="","-",310091.92111/3985350.87503*100)</f>
        <v>7.7807934817700524</v>
      </c>
      <c r="F10" s="19">
        <f>IF(OR(2248863.79366="",195165.16077="",220026.93342=""),"-",(220026.93342-195165.16077)/2248863.79366*100)</f>
        <v>1.10552594248217</v>
      </c>
      <c r="G10" s="19">
        <f>IF(OR(2819533.73145="",310091.92111="",220026.93342=""),"-",(310091.92111-220026.93342)/2819533.73145*100)</f>
        <v>3.1943220499682528</v>
      </c>
    </row>
    <row r="11" spans="1:7" ht="13.5" customHeight="1" x14ac:dyDescent="0.25">
      <c r="A11" s="37" t="s">
        <v>4</v>
      </c>
      <c r="B11" s="14">
        <v>217495.05337000001</v>
      </c>
      <c r="C11" s="19">
        <f>IF(OR(232012.55819="",217495.05337=""),"-",217495.05337/232012.55819*100)</f>
        <v>93.742793522361268</v>
      </c>
      <c r="D11" s="19">
        <f>IF(232012.55819="","-",232012.55819/2819533.73145*100)</f>
        <v>8.2287562515055654</v>
      </c>
      <c r="E11" s="19">
        <f>IF(217495.05337="","-",217495.05337/3985350.87503*100)</f>
        <v>5.4573627314147792</v>
      </c>
      <c r="F11" s="19">
        <f>IF(OR(2248863.79366="",209228.01611="",232012.55819=""),"-",(232012.55819-209228.01611)/2248863.79366*100)</f>
        <v>1.0131579397664825</v>
      </c>
      <c r="G11" s="19">
        <f>IF(OR(2819533.73145="",217495.05337="",232012.55819=""),"-",(217495.05337-232012.55819)/2819533.73145*100)</f>
        <v>-0.51489026919830794</v>
      </c>
    </row>
    <row r="12" spans="1:7" ht="15.75" customHeight="1" x14ac:dyDescent="0.25">
      <c r="A12" s="37" t="s">
        <v>6</v>
      </c>
      <c r="B12" s="14">
        <v>139470.08775999999</v>
      </c>
      <c r="C12" s="19" t="s">
        <v>91</v>
      </c>
      <c r="D12" s="19">
        <f>IF(65448.73054="","-",65448.73054/2819533.73145*100)</f>
        <v>2.321260774785685</v>
      </c>
      <c r="E12" s="19">
        <f>IF(139470.08776="","-",139470.08776/3985350.87503*100)</f>
        <v>3.4995685984348901</v>
      </c>
      <c r="F12" s="19">
        <f>IF(OR(2248863.79366="",54261.61928="",65448.73054=""),"-",(65448.73054-54261.61928)/2248863.79366*100)</f>
        <v>0.49745615059207754</v>
      </c>
      <c r="G12" s="19">
        <f>IF(OR(2819533.73145="",139470.08776="",65448.73054=""),"-",(139470.08776-65448.73054)/2819533.73145*100)</f>
        <v>2.6253049003933389</v>
      </c>
    </row>
    <row r="13" spans="1:7" s="9" customFormat="1" x14ac:dyDescent="0.25">
      <c r="A13" s="37" t="s">
        <v>5</v>
      </c>
      <c r="B13" s="14">
        <v>114050.75967</v>
      </c>
      <c r="C13" s="19">
        <f>IF(OR(99486.35369="",114050.75967=""),"-",114050.75967/99486.35369*100)</f>
        <v>114.6396017542092</v>
      </c>
      <c r="D13" s="19">
        <f>IF(99486.35369="","-",99486.35369/2819533.73145*100)</f>
        <v>3.5284682917709662</v>
      </c>
      <c r="E13" s="19">
        <f>IF(114050.75967="","-",114050.75967/3985350.87503*100)</f>
        <v>2.861749523350098</v>
      </c>
      <c r="F13" s="19">
        <f>IF(OR(2248863.79366="",100529.02284="",99486.35369=""),"-",(99486.35369-100529.02284)/2248863.79366*100)</f>
        <v>-4.6364264164841636E-2</v>
      </c>
      <c r="G13" s="19">
        <f>IF(OR(2819533.73145="",114050.75967="",99486.35369=""),"-",(114050.75967-99486.35369)/2819533.73145*100)</f>
        <v>0.51655370593881733</v>
      </c>
    </row>
    <row r="14" spans="1:7" s="9" customFormat="1" x14ac:dyDescent="0.25">
      <c r="A14" s="37" t="s">
        <v>308</v>
      </c>
      <c r="B14" s="14">
        <v>96632.065170000002</v>
      </c>
      <c r="C14" s="19">
        <f>IF(OR(72846.58021="",96632.06517=""),"-",96632.06517/72846.58021*100)</f>
        <v>132.6514777926869</v>
      </c>
      <c r="D14" s="19">
        <f>IF(72846.58021="","-",72846.58021/2819533.73145*100)</f>
        <v>2.5836392520311233</v>
      </c>
      <c r="E14" s="19">
        <f>IF(96632.06517="","-",96632.06517/3985350.87503*100)</f>
        <v>2.4246814948074702</v>
      </c>
      <c r="F14" s="19">
        <f>IF(OR(2248863.79366="",74250.26613="",72846.58021=""),"-",(72846.58021-74250.26613)/2248863.79366*100)</f>
        <v>-6.2417560545786586E-2</v>
      </c>
      <c r="G14" s="19">
        <f>IF(OR(2819533.73145="",96632.06517="",72846.58021=""),"-",(96632.06517-72846.58021)/2819533.73145*100)</f>
        <v>0.84359639662008423</v>
      </c>
    </row>
    <row r="15" spans="1:7" s="9" customFormat="1" x14ac:dyDescent="0.25">
      <c r="A15" s="37" t="s">
        <v>331</v>
      </c>
      <c r="B15" s="14">
        <v>61569.303119999997</v>
      </c>
      <c r="C15" s="19" t="s">
        <v>101</v>
      </c>
      <c r="D15" s="19">
        <f>IF(32766.39989="","-",32766.39989/2819533.73145*100)</f>
        <v>1.1621212232545004</v>
      </c>
      <c r="E15" s="19">
        <f>IF(61569.30312="","-",61569.30312/3985350.87503*100)</f>
        <v>1.5448904011378051</v>
      </c>
      <c r="F15" s="19">
        <f>IF(OR(2248863.79366="",33128.27041="",32766.39989=""),"-",(32766.39989-33128.27041)/2248863.79366*100)</f>
        <v>-1.6091259996278237E-2</v>
      </c>
      <c r="G15" s="19">
        <f>IF(OR(2819533.73145="",61569.30312="",32766.39989=""),"-",(61569.30312-32766.39989)/2819533.73145*100)</f>
        <v>1.0215484535163744</v>
      </c>
    </row>
    <row r="16" spans="1:7" s="9" customFormat="1" x14ac:dyDescent="0.25">
      <c r="A16" s="37" t="s">
        <v>40</v>
      </c>
      <c r="B16" s="14">
        <v>49611.004979999998</v>
      </c>
      <c r="C16" s="19">
        <f>IF(OR(38829.35444="",49611.00498=""),"-",49611.00498/38829.35444*100)</f>
        <v>127.7667519728149</v>
      </c>
      <c r="D16" s="19">
        <f>IF(38829.35444="","-",38829.35444/2819533.73145*100)</f>
        <v>1.3771551660079362</v>
      </c>
      <c r="E16" s="19">
        <f>IF(49611.00498="","-",49611.00498/3985350.87503*100)</f>
        <v>1.2448340569166709</v>
      </c>
      <c r="F16" s="19">
        <f>IF(OR(2248863.79366="",24836.0357="",38829.35444=""),"-",(38829.35444-24836.0357)/2248863.79366*100)</f>
        <v>0.62223949620470509</v>
      </c>
      <c r="G16" s="19">
        <f>IF(OR(2819533.73145="",49611.00498="",38829.35444=""),"-",(49611.00498-38829.35444)/2819533.73145*100)</f>
        <v>0.38239125922623107</v>
      </c>
    </row>
    <row r="17" spans="1:7" s="9" customFormat="1" x14ac:dyDescent="0.25">
      <c r="A17" s="37" t="s">
        <v>298</v>
      </c>
      <c r="B17" s="14">
        <v>34731.23719</v>
      </c>
      <c r="C17" s="19">
        <f>IF(OR(28854.58693="",34731.23719=""),"-",34731.23719/28854.58693*100)</f>
        <v>120.36643350416523</v>
      </c>
      <c r="D17" s="19">
        <f>IF(28854.58693="","-",28854.58693/2819533.73145*100)</f>
        <v>1.0233815119197376</v>
      </c>
      <c r="E17" s="19">
        <f>IF(34731.23719="","-",34731.23719/3985350.87503*100)</f>
        <v>0.87147250716634972</v>
      </c>
      <c r="F17" s="19">
        <f>IF(OR(2248863.79366="",27058.35895="",28854.58693=""),"-",(28854.58693-27058.35895)/2248863.79366*100)</f>
        <v>7.9872688824637939E-2</v>
      </c>
      <c r="G17" s="19">
        <f>IF(OR(2819533.73145="",34731.23719="",28854.58693=""),"-",(34731.23719-28854.58693)/2819533.73145*100)</f>
        <v>0.20842631511905399</v>
      </c>
    </row>
    <row r="18" spans="1:7" s="9" customFormat="1" x14ac:dyDescent="0.25">
      <c r="A18" s="37" t="s">
        <v>38</v>
      </c>
      <c r="B18" s="14">
        <v>34470.638350000001</v>
      </c>
      <c r="C18" s="19">
        <f>IF(OR(44113.14106="",34470.63835=""),"-",34470.63835/44113.14106*100)</f>
        <v>78.141427977470798</v>
      </c>
      <c r="D18" s="19">
        <f>IF(44113.14106="","-",44113.14106/2819533.73145*100)</f>
        <v>1.5645544711151218</v>
      </c>
      <c r="E18" s="19">
        <f>IF(34470.63835="","-",34470.63835/3985350.87503*100)</f>
        <v>0.86493358880830074</v>
      </c>
      <c r="F18" s="19">
        <f>IF(OR(2248863.79366="",29684.68628="",44113.14106=""),"-",(44113.14106-29684.68628)/2248863.79366*100)</f>
        <v>0.64158864670580407</v>
      </c>
      <c r="G18" s="19">
        <f>IF(OR(2819533.73145="",34470.63835="",44113.14106=""),"-",(34470.63835-44113.14106)/2819533.73145*100)</f>
        <v>-0.34198926590039969</v>
      </c>
    </row>
    <row r="19" spans="1:7" s="11" customFormat="1" x14ac:dyDescent="0.25">
      <c r="A19" s="37" t="s">
        <v>8</v>
      </c>
      <c r="B19" s="14">
        <v>30269.563839999999</v>
      </c>
      <c r="C19" s="19">
        <f>IF(OR(35316.78253="",30269.56384=""),"-",30269.56384/35316.78253*100)</f>
        <v>85.708724497446468</v>
      </c>
      <c r="D19" s="19">
        <f>IF(35316.78253="","-",35316.78253/2819533.73145*100)</f>
        <v>1.2525752799501944</v>
      </c>
      <c r="E19" s="19">
        <f>IF(30269.56384="","-",30269.56384/3985350.87503*100)</f>
        <v>0.75952067431884884</v>
      </c>
      <c r="F19" s="19">
        <f>IF(OR(2248863.79366="",25849.03298="",35316.78253=""),"-",(35316.78253-25849.03298)/2248863.79366*100)</f>
        <v>0.42100146646015157</v>
      </c>
      <c r="G19" s="19">
        <f>IF(OR(2819533.73145="",30269.56384="",35316.78253=""),"-",(30269.56384-35316.78253)/2819533.73145*100)</f>
        <v>-0.17900898413456354</v>
      </c>
    </row>
    <row r="20" spans="1:7" s="9" customFormat="1" x14ac:dyDescent="0.25">
      <c r="A20" s="37" t="s">
        <v>49</v>
      </c>
      <c r="B20" s="14">
        <v>22299.004290000001</v>
      </c>
      <c r="C20" s="19">
        <f>IF(OR(16256.44949="",22299.00429=""),"-",22299.00429/16256.44949*100)</f>
        <v>137.17020007177473</v>
      </c>
      <c r="D20" s="19">
        <f>IF(16256.44949="","-",16256.44949/2819533.73145*100)</f>
        <v>0.57656517134979635</v>
      </c>
      <c r="E20" s="19">
        <f>IF(22299.00429="","-",22299.00429/3985350.87503*100)</f>
        <v>0.55952424238762022</v>
      </c>
      <c r="F20" s="19">
        <f>IF(OR(2248863.79366="",9226.89969="",16256.44949=""),"-",(16256.44949-9226.89969)/2248863.79366*100)</f>
        <v>0.31258228354325934</v>
      </c>
      <c r="G20" s="19">
        <f>IF(OR(2819533.73145="",22299.00429="",16256.44949=""),"-",(22299.00429-16256.44949)/2819533.73145*100)</f>
        <v>0.21431042773489001</v>
      </c>
    </row>
    <row r="21" spans="1:7" s="9" customFormat="1" x14ac:dyDescent="0.25">
      <c r="A21" s="37" t="s">
        <v>7</v>
      </c>
      <c r="B21" s="14">
        <v>20160.19267</v>
      </c>
      <c r="C21" s="19">
        <f>IF(OR(20362.80964="",20160.19267=""),"-",20160.19267/20362.80964*100)</f>
        <v>99.004965554448916</v>
      </c>
      <c r="D21" s="19">
        <f>IF(20362.80964="","-",20362.80964/2819533.73145*100)</f>
        <v>0.72220486007550011</v>
      </c>
      <c r="E21" s="19">
        <f>IF(20160.19267="","-",20160.19267/3985350.87503*100)</f>
        <v>0.50585740884981023</v>
      </c>
      <c r="F21" s="19">
        <f>IF(OR(2248863.79366="",21538.35798="",20362.80964=""),"-",(20362.80964-21538.35798)/2248863.79366*100)</f>
        <v>-5.2272989734376482E-2</v>
      </c>
      <c r="G21" s="19">
        <f>IF(OR(2819533.73145="",20160.19267="",20362.80964=""),"-",(20160.19267-20362.80964)/2819533.73145*100)</f>
        <v>-7.1861871251953213E-3</v>
      </c>
    </row>
    <row r="22" spans="1:7" s="9" customFormat="1" x14ac:dyDescent="0.25">
      <c r="A22" s="37" t="s">
        <v>39</v>
      </c>
      <c r="B22" s="14">
        <v>16607.628680000002</v>
      </c>
      <c r="C22" s="19">
        <f>IF(OR(19704.33824="",16607.62868=""),"-",16607.62868/19704.33824*100)</f>
        <v>84.284123007421542</v>
      </c>
      <c r="D22" s="19">
        <f>IF(19704.33824="","-",19704.33824/2819533.73145*100)</f>
        <v>0.69885094901371025</v>
      </c>
      <c r="E22" s="19">
        <f>IF(16607.62868="","-",16607.62868/3985350.87503*100)</f>
        <v>0.41671685130797886</v>
      </c>
      <c r="F22" s="19">
        <f>IF(OR(2248863.79366="",11224.11714="",19704.33824=""),"-",(19704.33824-11224.11714)/2248863.79366*100)</f>
        <v>0.3770891382531682</v>
      </c>
      <c r="G22" s="19">
        <f>IF(OR(2819533.73145="",16607.62868="",19704.33824=""),"-",(16607.62868-19704.33824)/2819533.73145*100)</f>
        <v>-0.10983055550846191</v>
      </c>
    </row>
    <row r="23" spans="1:7" s="9" customFormat="1" x14ac:dyDescent="0.25">
      <c r="A23" s="37" t="s">
        <v>42</v>
      </c>
      <c r="B23" s="14">
        <v>16093.097320000001</v>
      </c>
      <c r="C23" s="19">
        <f>IF(OR(14912.73358="",16093.09732=""),"-",16093.09732/14912.73358*100)</f>
        <v>107.91513999541324</v>
      </c>
      <c r="D23" s="19">
        <f>IF(14912.73358="","-",14912.73358/2819533.73145*100)</f>
        <v>0.52890779115917286</v>
      </c>
      <c r="E23" s="19">
        <f>IF(16093.09732="","-",16093.09732/3985350.87503*100)</f>
        <v>0.40380628518383233</v>
      </c>
      <c r="F23" s="19">
        <f>IF(OR(2248863.79366="",9056.50615="",14912.73358=""),"-",(14912.73358-9056.50615)/2248863.79366*100)</f>
        <v>0.26040827579286419</v>
      </c>
      <c r="G23" s="19">
        <f>IF(OR(2819533.73145="",16093.09732="",14912.73358=""),"-",(16093.09732-14912.73358)/2819533.73145*100)</f>
        <v>4.1863792116896427E-2</v>
      </c>
    </row>
    <row r="24" spans="1:7" s="9" customFormat="1" x14ac:dyDescent="0.25">
      <c r="A24" s="37" t="s">
        <v>45</v>
      </c>
      <c r="B24" s="14">
        <v>14529.66145</v>
      </c>
      <c r="C24" s="19">
        <f>IF(OR(10342.6263="",14529.66145=""),"-",14529.66145/10342.6263*100)</f>
        <v>140.48328759591749</v>
      </c>
      <c r="D24" s="19">
        <f>IF(10342.6263="","-",10342.6263/2819533.73145*100)</f>
        <v>0.36682044923367896</v>
      </c>
      <c r="E24" s="19">
        <f>IF(14529.66145="","-",14529.66145/3985350.87503*100)</f>
        <v>0.36457671872845138</v>
      </c>
      <c r="F24" s="19">
        <f>IF(OR(2248863.79366="",10082.09339="",10342.6263=""),"-",(10342.6263-10082.09339)/2248863.79366*100)</f>
        <v>1.1585090690440863E-2</v>
      </c>
      <c r="G24" s="19">
        <f>IF(OR(2819533.73145="",14529.66145="",10342.6263=""),"-",(14529.66145-10342.6263)/2819533.73145*100)</f>
        <v>0.14850097742390675</v>
      </c>
    </row>
    <row r="25" spans="1:7" s="9" customFormat="1" x14ac:dyDescent="0.25">
      <c r="A25" s="37" t="s">
        <v>41</v>
      </c>
      <c r="B25" s="14">
        <v>13910.19184</v>
      </c>
      <c r="C25" s="19" t="s">
        <v>101</v>
      </c>
      <c r="D25" s="19">
        <f>IF(7326.50012="","-",7326.50012/2819533.73145*100)</f>
        <v>0.25984793294997061</v>
      </c>
      <c r="E25" s="19">
        <f>IF(13910.19184="","-",13910.19184/3985350.87503*100)</f>
        <v>0.3490330532037606</v>
      </c>
      <c r="F25" s="19">
        <f>IF(OR(2248863.79366="",7064.40199="",7326.50012=""),"-",(7326.50012-7064.40199)/2248863.79366*100)</f>
        <v>1.1654691170666131E-2</v>
      </c>
      <c r="G25" s="19">
        <f>IF(OR(2819533.73145="",13910.19184="",7326.50012=""),"-",(13910.19184-7326.50012)/2819533.73145*100)</f>
        <v>0.23350285355920211</v>
      </c>
    </row>
    <row r="26" spans="1:7" s="6" customFormat="1" x14ac:dyDescent="0.25">
      <c r="A26" s="37" t="s">
        <v>43</v>
      </c>
      <c r="B26" s="14">
        <v>6143.2483400000001</v>
      </c>
      <c r="C26" s="19">
        <f>IF(OR(6289.21026="",6143.24834=""),"-",6143.24834/6289.21026*100)</f>
        <v>97.679169339776536</v>
      </c>
      <c r="D26" s="19">
        <f>IF(6289.21026="","-",6289.21026/2819533.73145*100)</f>
        <v>0.22305852169272156</v>
      </c>
      <c r="E26" s="19">
        <f>IF(6143.24834="","-",6143.24834/3985350.87503*100)</f>
        <v>0.15414573352851285</v>
      </c>
      <c r="F26" s="19">
        <f>IF(OR(2248863.79366="",6589.21549="",6289.21026=""),"-",(6289.21026-6589.21549)/2248863.79366*100)</f>
        <v>-1.3340302371614274E-2</v>
      </c>
      <c r="G26" s="19">
        <f>IF(OR(2819533.73145="",6143.24834="",6289.21026=""),"-",(6143.24834-6289.21026)/2819533.73145*100)</f>
        <v>-5.1768105616858857E-3</v>
      </c>
    </row>
    <row r="27" spans="1:7" s="6" customFormat="1" x14ac:dyDescent="0.25">
      <c r="A27" s="37" t="s">
        <v>299</v>
      </c>
      <c r="B27" s="14">
        <v>3668.2334799999999</v>
      </c>
      <c r="C27" s="19" t="s">
        <v>197</v>
      </c>
      <c r="D27" s="19">
        <f>IF(2004.14701="","-",2004.14701/2819533.73145*100)</f>
        <v>7.1080795652312651E-2</v>
      </c>
      <c r="E27" s="19">
        <f>IF(3668.23348="","-",3668.23348/3985350.87503*100)</f>
        <v>9.2042924074342308E-2</v>
      </c>
      <c r="F27" s="19">
        <f>IF(OR(2248863.79366="",2224.37918="",2004.14701=""),"-",(2004.14701-2224.37918)/2248863.79366*100)</f>
        <v>-9.7930417404948605E-3</v>
      </c>
      <c r="G27" s="19">
        <f>IF(OR(2819533.73145="",3668.23348="",2004.14701=""),"-",(3668.23348-2004.14701)/2819533.73145*100)</f>
        <v>5.9019917067784512E-2</v>
      </c>
    </row>
    <row r="28" spans="1:7" s="9" customFormat="1" x14ac:dyDescent="0.25">
      <c r="A28" s="37" t="s">
        <v>44</v>
      </c>
      <c r="B28" s="14">
        <v>3330.6188699999998</v>
      </c>
      <c r="C28" s="19">
        <f>IF(OR(4646.84254="",3330.61887=""),"-",3330.61887/4646.84254*100)</f>
        <v>71.674881197932734</v>
      </c>
      <c r="D28" s="19">
        <f>IF(4646.84254="","-",4646.84254/2819533.73145*100)</f>
        <v>0.16480890042802471</v>
      </c>
      <c r="E28" s="19">
        <f>IF(3330.61887="","-",3330.61887/3985350.87503*100)</f>
        <v>8.3571534212152104E-2</v>
      </c>
      <c r="F28" s="19">
        <f>IF(OR(2248863.79366="",5421.60666="",4646.84254=""),"-",(4646.84254-5421.60666)/2248863.79366*100)</f>
        <v>-3.4451358156248363E-2</v>
      </c>
      <c r="G28" s="19">
        <f>IF(OR(2819533.73145="",3330.61887="",4646.84254=""),"-",(3330.61887-4646.84254)/2819533.73145*100)</f>
        <v>-4.668231684261874E-2</v>
      </c>
    </row>
    <row r="29" spans="1:7" s="9" customFormat="1" x14ac:dyDescent="0.25">
      <c r="A29" s="37" t="s">
        <v>48</v>
      </c>
      <c r="B29" s="14">
        <v>1442.45803</v>
      </c>
      <c r="C29" s="19">
        <f>IF(OR(940.19405="",1442.45803=""),"-",1442.45803/940.19405*100)</f>
        <v>153.42131020718543</v>
      </c>
      <c r="D29" s="19">
        <f>IF(940.19405="","-",940.19405/2819533.73145*100)</f>
        <v>3.3345728036971806E-2</v>
      </c>
      <c r="E29" s="19">
        <f>IF(1442.45803="","-",1442.45803/3985350.87503*100)</f>
        <v>3.6194003369631578E-2</v>
      </c>
      <c r="F29" s="19">
        <f>IF(OR(2248863.79366="",400.11402="",940.19405=""),"-",(940.19405-400.11402)/2248863.79366*100)</f>
        <v>2.401568434347133E-2</v>
      </c>
      <c r="G29" s="19">
        <f>IF(OR(2819533.73145="",1442.45803="",940.19405=""),"-",(1442.45803-940.19405)/2819533.73145*100)</f>
        <v>1.7813724815475111E-2</v>
      </c>
    </row>
    <row r="30" spans="1:7" s="6" customFormat="1" x14ac:dyDescent="0.25">
      <c r="A30" s="37" t="s">
        <v>46</v>
      </c>
      <c r="B30" s="14">
        <v>1298.7894799999999</v>
      </c>
      <c r="C30" s="19">
        <f>IF(OR(1251.34475="",1298.78948=""),"-",1298.78948/1251.34475*100)</f>
        <v>103.79149950483269</v>
      </c>
      <c r="D30" s="19">
        <f>IF(1251.34475="","-",1251.34475/2819533.73145*100)</f>
        <v>4.438126545684104E-2</v>
      </c>
      <c r="E30" s="19">
        <f>IF(1298.78948="","-",1298.78948/3985350.87503*100)</f>
        <v>3.2589087403508056E-2</v>
      </c>
      <c r="F30" s="19">
        <f>IF(OR(2248863.79366="",827.98817="",1251.34475=""),"-",(1251.34475-827.98817)/2248863.79366*100)</f>
        <v>1.8825354438695999E-2</v>
      </c>
      <c r="G30" s="19">
        <f>IF(OR(2819533.73145="",1298.78948="",1251.34475=""),"-",(1298.78948-1251.34475)/2819533.73145*100)</f>
        <v>1.6827154600346122E-3</v>
      </c>
    </row>
    <row r="31" spans="1:7" s="6" customFormat="1" x14ac:dyDescent="0.25">
      <c r="A31" s="37" t="s">
        <v>51</v>
      </c>
      <c r="B31" s="14">
        <v>846.58932000000004</v>
      </c>
      <c r="C31" s="19">
        <f>IF(OR(810.83111="",846.58932=""),"-",846.58932/810.83111*100)</f>
        <v>104.41006882432029</v>
      </c>
      <c r="D31" s="19">
        <f>IF(810.83111="","-",810.83111/2819533.73145*100)</f>
        <v>2.875763112729332E-2</v>
      </c>
      <c r="E31" s="19">
        <f>IF(846.58932="","-",846.58932/3985350.87503*100)</f>
        <v>2.1242529115924509E-2</v>
      </c>
      <c r="F31" s="19">
        <f>IF(OR(2248863.79366="",485.20666="",810.83111=""),"-",(810.83111-485.20666)/2248863.79366*100)</f>
        <v>1.4479509649183774E-2</v>
      </c>
      <c r="G31" s="19">
        <f>IF(OR(2819533.73145="",846.58932="",810.83111=""),"-",(846.58932-810.83111)/2819533.73145*100)</f>
        <v>1.2682313249577875E-3</v>
      </c>
    </row>
    <row r="32" spans="1:7" s="6" customFormat="1" x14ac:dyDescent="0.25">
      <c r="A32" s="37" t="s">
        <v>47</v>
      </c>
      <c r="B32" s="14">
        <v>422.54450000000003</v>
      </c>
      <c r="C32" s="19">
        <f>IF(OR(1647.94714="",422.5445=""),"-",422.5445/1647.94714*100)</f>
        <v>25.640658595396452</v>
      </c>
      <c r="D32" s="19">
        <f>IF(1647.94714="","-",1647.94714/2819533.73145*100)</f>
        <v>5.8447505756652585E-2</v>
      </c>
      <c r="E32" s="19">
        <f>IF(422.5445="","-",422.5445/3985350.87503*100)</f>
        <v>1.060244162308091E-2</v>
      </c>
      <c r="F32" s="19">
        <f>IF(OR(2248863.79366="",1190.51334="",1647.94714=""),"-",(1647.94714-1190.51334)/2248863.79366*100)</f>
        <v>2.0340662751101156E-2</v>
      </c>
      <c r="G32" s="19">
        <f>IF(OR(2819533.73145="",422.5445="",1647.94714=""),"-",(422.5445-1647.94714)/2819533.73145*100)</f>
        <v>-4.3461180348064607E-2</v>
      </c>
    </row>
    <row r="33" spans="1:7" s="6" customFormat="1" x14ac:dyDescent="0.25">
      <c r="A33" s="37" t="s">
        <v>50</v>
      </c>
      <c r="B33" s="14">
        <v>150.68886000000001</v>
      </c>
      <c r="C33" s="19">
        <f>IF(OR(663.71239="",150.68886=""),"-",150.68886/663.71239*100)</f>
        <v>22.703939578406846</v>
      </c>
      <c r="D33" s="19">
        <f>IF(663.71239="","-",663.71239/2819533.73145*100)</f>
        <v>2.3539792505290338E-2</v>
      </c>
      <c r="E33" s="19">
        <f>IF(150.68886="","-",150.68886/3985350.87503*100)</f>
        <v>3.7810688374801046E-3</v>
      </c>
      <c r="F33" s="19">
        <f>IF(OR(2248863.79366="",209.6629="",663.71239=""),"-",(663.71239-209.6629)/2248863.79366*100)</f>
        <v>2.0190172978908592E-2</v>
      </c>
      <c r="G33" s="19">
        <f>IF(OR(2819533.73145="",150.68886="",663.71239=""),"-",(150.68886-663.71239)/2819533.73145*100)</f>
        <v>-1.8195332238006876E-2</v>
      </c>
    </row>
    <row r="34" spans="1:7" s="6" customFormat="1" x14ac:dyDescent="0.25">
      <c r="A34" s="37" t="s">
        <v>52</v>
      </c>
      <c r="B34" s="14">
        <v>90.505989999999997</v>
      </c>
      <c r="C34" s="19" t="s">
        <v>365</v>
      </c>
      <c r="D34" s="19">
        <f>IF(9.78503="","-",9.78503/2819533.73145*100)</f>
        <v>3.4704426093061351E-4</v>
      </c>
      <c r="E34" s="19">
        <f>IF(90.50599="","-",90.50599/3985350.87503*100)</f>
        <v>2.2709666686328766E-3</v>
      </c>
      <c r="F34" s="19">
        <f>IF(OR(2248863.79366="",30.50265="",9.78503=""),"-",(9.78503-30.50265)/2248863.79366*100)</f>
        <v>-9.2124832363823638E-4</v>
      </c>
      <c r="G34" s="19">
        <f>IF(OR(2819533.73145="",90.50599="",9.78503=""),"-",(90.50599-9.78503)/2819533.73145*100)</f>
        <v>2.8629187549562558E-3</v>
      </c>
    </row>
    <row r="35" spans="1:7" s="10" customFormat="1" ht="14.25" customHeight="1" x14ac:dyDescent="0.2">
      <c r="A35" s="37" t="s">
        <v>53</v>
      </c>
      <c r="B35" s="14">
        <v>11.652469999999999</v>
      </c>
      <c r="C35" s="19">
        <f>IF(OR(74.68069="",11.65247=""),"-",11.65247/74.68069*100)</f>
        <v>15.603056158158152</v>
      </c>
      <c r="D35" s="19">
        <f>IF(74.68069="","-",74.68069/2819533.73145*100)</f>
        <v>2.648689361896515E-3</v>
      </c>
      <c r="E35" s="19">
        <f>IF(11.65247="","-",11.65247/3985350.87503*100)</f>
        <v>2.9238253708118692E-4</v>
      </c>
      <c r="F35" s="19">
        <f>IF(OR(2248863.79366="",6.98438="",74.68069=""),"-",(74.68069-6.98438)/2248863.79366*100)</f>
        <v>3.0102450042038798E-3</v>
      </c>
      <c r="G35" s="19">
        <f>IF(OR(2819533.73145="",11.65247="",74.68069=""),"-",(11.65247-74.68069)/2819533.73145*100)</f>
        <v>-2.2354128733046408E-3</v>
      </c>
    </row>
    <row r="36" spans="1:7" s="10" customFormat="1" ht="14.25" customHeight="1" x14ac:dyDescent="0.2">
      <c r="A36" s="36" t="s">
        <v>134</v>
      </c>
      <c r="B36" s="13">
        <v>929293.75300999999</v>
      </c>
      <c r="C36" s="21" t="s">
        <v>196</v>
      </c>
      <c r="D36" s="21">
        <f>IF(422984.18785="","-",422984.18785/2819533.73145*100)</f>
        <v>15.001919754741582</v>
      </c>
      <c r="E36" s="21">
        <f>IF(929293.75301="","-",929293.75301/3985350.87503*100)</f>
        <v>23.317739946874934</v>
      </c>
      <c r="F36" s="21">
        <f>IF(2248863.79366="","-",(422984.18785-339970.97539)/2248863.79366*100)</f>
        <v>3.6913401644879955</v>
      </c>
      <c r="G36" s="21">
        <f>IF(2819533.73145="","-",(929293.75301-422984.18785)/2819533.73145*100)</f>
        <v>17.957209006313978</v>
      </c>
    </row>
    <row r="37" spans="1:7" s="10" customFormat="1" ht="14.25" customHeight="1" x14ac:dyDescent="0.2">
      <c r="A37" s="37" t="s">
        <v>10</v>
      </c>
      <c r="B37" s="14">
        <v>632086.14494999999</v>
      </c>
      <c r="C37" s="19" t="s">
        <v>390</v>
      </c>
      <c r="D37" s="19">
        <f>IF(84260.16904="","-",84260.16904/2819533.73145*100)</f>
        <v>2.9884433762978095</v>
      </c>
      <c r="E37" s="19">
        <f>IF(632086.14495="","-",632086.14495/3985350.87503*100)</f>
        <v>15.860238276893043</v>
      </c>
      <c r="F37" s="19">
        <f>IF(OR(2248863.79366="",59343.58736="",84260.16904=""),"-",(84260.16904-59343.58736)/2248863.79366*100)</f>
        <v>1.1079631301035153</v>
      </c>
      <c r="G37" s="19">
        <f>IF(OR(2819533.73145="",632086.14495="",84260.16904=""),"-",(632086.14495-84260.16904)/2819533.73145*100)</f>
        <v>19.429665614543648</v>
      </c>
    </row>
    <row r="38" spans="1:7" s="8" customFormat="1" ht="14.25" customHeight="1" x14ac:dyDescent="0.2">
      <c r="A38" s="37" t="s">
        <v>300</v>
      </c>
      <c r="B38" s="14">
        <v>179103.06284999999</v>
      </c>
      <c r="C38" s="19">
        <f>IF(OR(251001.55473="",179103.06285=""),"-",179103.06285/251001.55473*100)</f>
        <v>71.35535994693717</v>
      </c>
      <c r="D38" s="19">
        <f>IF(251001.55473="","-",251001.55473/2819533.73145*100)</f>
        <v>8.9022362786529801</v>
      </c>
      <c r="E38" s="19">
        <f>IF(179103.06285="","-",179103.06285/3985350.87503*100)</f>
        <v>4.494034991301783</v>
      </c>
      <c r="F38" s="19">
        <f>IF(OR(2248863.79366="",198046.17923="",251001.55473=""),"-",(251001.55473-198046.17923)/2248863.79366*100)</f>
        <v>2.3547613532349918</v>
      </c>
      <c r="G38" s="19">
        <f>IF(OR(2819533.73145="",179103.06285="",251001.55473=""),"-",(179103.06285-251001.55473)/2819533.73145*100)</f>
        <v>-2.5500135386933223</v>
      </c>
    </row>
    <row r="39" spans="1:7" s="10" customFormat="1" ht="14.25" customHeight="1" x14ac:dyDescent="0.2">
      <c r="A39" s="37" t="s">
        <v>9</v>
      </c>
      <c r="B39" s="14">
        <v>74661.53082</v>
      </c>
      <c r="C39" s="19">
        <f>IF(OR(60517.22835="",74661.53082=""),"-",74661.53082/60517.22835*100)</f>
        <v>123.3723566918775</v>
      </c>
      <c r="D39" s="19">
        <f>IF(60517.22835="","-",60517.22835/2819533.73145*100)</f>
        <v>2.1463558912231151</v>
      </c>
      <c r="E39" s="19">
        <f>IF(74661.53082="","-",74661.53082/3985350.87503*100)</f>
        <v>1.8733991851956566</v>
      </c>
      <c r="F39" s="19">
        <f>IF(OR(2248863.79366="",60401.05191="",60517.22835=""),"-",(60517.22835-60401.05191)/2248863.79366*100)</f>
        <v>5.166006066153069E-3</v>
      </c>
      <c r="G39" s="19">
        <f>IF(OR(2819533.73145="",74661.53082="",60517.22835=""),"-",(74661.53082-60517.22835)/2819533.73145*100)</f>
        <v>0.50165395477379238</v>
      </c>
    </row>
    <row r="40" spans="1:7" s="8" customFormat="1" ht="14.25" customHeight="1" x14ac:dyDescent="0.2">
      <c r="A40" s="37" t="s">
        <v>11</v>
      </c>
      <c r="B40" s="14">
        <v>23544.168989999998</v>
      </c>
      <c r="C40" s="19" t="s">
        <v>197</v>
      </c>
      <c r="D40" s="19">
        <f>IF(13113.33087="","-",13113.33087/2819533.73145*100)</f>
        <v>0.46508863234121389</v>
      </c>
      <c r="E40" s="19">
        <f>IF(23544.16899="","-",23544.16899/3985350.87503*100)</f>
        <v>0.59076778251859108</v>
      </c>
      <c r="F40" s="19">
        <f>IF(OR(2248863.79366="",12802.5205="",13113.33087=""),"-",(13113.33087-12802.5205)/2248863.79366*100)</f>
        <v>1.3820773444627295E-2</v>
      </c>
      <c r="G40" s="19">
        <f>IF(OR(2819533.73145="",23544.16899="",13113.33087=""),"-",(23544.16899-13113.33087)/2819533.73145*100)</f>
        <v>0.36994904524996541</v>
      </c>
    </row>
    <row r="41" spans="1:7" s="8" customFormat="1" ht="14.25" customHeight="1" x14ac:dyDescent="0.2">
      <c r="A41" s="37" t="s">
        <v>13</v>
      </c>
      <c r="B41" s="14">
        <v>7237.65373</v>
      </c>
      <c r="C41" s="19">
        <f>IF(OR(6639.25298="",7237.65373=""),"-",7237.65373/6639.25298*100)</f>
        <v>109.01307348586677</v>
      </c>
      <c r="D41" s="19">
        <f>IF(6639.25298="","-",6639.25298/2819533.73145*100)</f>
        <v>0.23547343682906166</v>
      </c>
      <c r="E41" s="19">
        <f>IF(7237.65373="","-",7237.65373/3985350.87503*100)</f>
        <v>0.18160643709810162</v>
      </c>
      <c r="F41" s="19">
        <f>IF(OR(2248863.79366="",4146.38298="",6639.25298=""),"-",(6639.25298-4146.38298)/2248863.79366*100)</f>
        <v>0.11085019942194377</v>
      </c>
      <c r="G41" s="19">
        <f>IF(OR(2819533.73145="",7237.65373="",6639.25298=""),"-",(7237.65373-6639.25298)/2819533.73145*100)</f>
        <v>2.1223393901099407E-2</v>
      </c>
    </row>
    <row r="42" spans="1:7" s="8" customFormat="1" ht="14.25" customHeight="1" x14ac:dyDescent="0.2">
      <c r="A42" s="37" t="s">
        <v>309</v>
      </c>
      <c r="B42" s="14">
        <v>3984.44724</v>
      </c>
      <c r="C42" s="19" t="s">
        <v>345</v>
      </c>
      <c r="D42" s="19">
        <f>IF(1623.36274="","-",1623.36274/2819533.73145*100)</f>
        <v>5.7575574354457329E-2</v>
      </c>
      <c r="E42" s="19">
        <f>IF(3984.44724="","-",3984.44724/3985350.87503*100)</f>
        <v>9.9977326086000046E-2</v>
      </c>
      <c r="F42" s="19">
        <f>IF(OR(2248863.79366="",648.48671="",1623.36274=""),"-",(1623.36274-648.48671)/2248863.79366*100)</f>
        <v>4.3349714320110089E-2</v>
      </c>
      <c r="G42" s="19">
        <f>IF(OR(2819533.73145="",3984.44724="",1623.36274=""),"-",(3984.44724-1623.36274)/2819533.73145*100)</f>
        <v>8.3740246611121991E-2</v>
      </c>
    </row>
    <row r="43" spans="1:7" s="8" customFormat="1" ht="12.75" x14ac:dyDescent="0.2">
      <c r="A43" s="37" t="s">
        <v>12</v>
      </c>
      <c r="B43" s="14">
        <v>3872.2755299999999</v>
      </c>
      <c r="C43" s="19">
        <f>IF(OR(4009.15468="",3872.27553=""),"-",3872.27553/4009.15468*100)</f>
        <v>96.585835146674853</v>
      </c>
      <c r="D43" s="19">
        <f>IF(4009.15468="","-",4009.15468/2819533.73145*100)</f>
        <v>0.14219211620987471</v>
      </c>
      <c r="E43" s="19">
        <f>IF(3872.27553="","-",3872.27553/3985350.87503*100)</f>
        <v>9.7162725476984527E-2</v>
      </c>
      <c r="F43" s="19">
        <f>IF(OR(2248863.79366="",2682.26694="",4009.15468=""),"-",(4009.15468-2682.26694)/2248863.79366*100)</f>
        <v>5.9002583604252243E-2</v>
      </c>
      <c r="G43" s="19">
        <f>IF(OR(2819533.73145="",3872.27553="",4009.15468=""),"-",(3872.27553-4009.15468)/2819533.73145*100)</f>
        <v>-4.8546732558367887E-3</v>
      </c>
    </row>
    <row r="44" spans="1:7" s="6" customFormat="1" x14ac:dyDescent="0.25">
      <c r="A44" s="37" t="s">
        <v>15</v>
      </c>
      <c r="B44" s="14">
        <v>3158.6848300000001</v>
      </c>
      <c r="C44" s="19" t="s">
        <v>351</v>
      </c>
      <c r="D44" s="19">
        <f>IF(976.28063="","-",976.28063/2819533.73145*100)</f>
        <v>3.4625605613802277E-2</v>
      </c>
      <c r="E44" s="19">
        <f>IF(3158.68483="","-",3158.68483/3985350.87503*100)</f>
        <v>7.9257383579211776E-2</v>
      </c>
      <c r="F44" s="19">
        <f>IF(OR(2248863.79366="",1143.28554="",976.28063=""),"-",(976.28063-1143.28554)/2248863.79366*100)</f>
        <v>-7.4261905265592607E-3</v>
      </c>
      <c r="G44" s="19">
        <f>IF(OR(2819533.73145="",3158.68483="",976.28063=""),"-",(3158.68483-976.28063)/2819533.73145*100)</f>
        <v>7.740301794075917E-2</v>
      </c>
    </row>
    <row r="45" spans="1:7" s="6" customFormat="1" x14ac:dyDescent="0.25">
      <c r="A45" s="37" t="s">
        <v>14</v>
      </c>
      <c r="B45" s="14">
        <v>1403.6804299999999</v>
      </c>
      <c r="C45" s="19" t="s">
        <v>349</v>
      </c>
      <c r="D45" s="19">
        <f>IF(623.74607="","-",623.74607/2819533.73145*100)</f>
        <v>2.2122312744214858E-2</v>
      </c>
      <c r="E45" s="19">
        <f>IF(1403.68043="","-",1403.68043/3985350.87503*100)</f>
        <v>3.5220999957486392E-2</v>
      </c>
      <c r="F45" s="19">
        <f>IF(OR(2248863.79366="",505.16886="",623.74607=""),"-",(623.74607-505.16886)/2248863.79366*100)</f>
        <v>5.2727608641436208E-3</v>
      </c>
      <c r="G45" s="19">
        <f>IF(OR(2819533.73145="",1403.68043="",623.74607=""),"-",(1403.68043-623.74607)/2819533.73145*100)</f>
        <v>2.7661820509552956E-2</v>
      </c>
    </row>
    <row r="46" spans="1:7" s="9" customFormat="1" x14ac:dyDescent="0.25">
      <c r="A46" s="37" t="s">
        <v>16</v>
      </c>
      <c r="B46" s="14">
        <v>242.10364000000001</v>
      </c>
      <c r="C46" s="19">
        <f>IF(OR(220.10776="",242.10364=""),"-",242.10364/220.10776*100)</f>
        <v>109.99323240579977</v>
      </c>
      <c r="D46" s="19">
        <f>IF(220.10776="","-",220.10776/2819533.73145*100)</f>
        <v>7.8065304750514668E-3</v>
      </c>
      <c r="E46" s="19">
        <f>IF(242.10364="","-",242.10364/3985350.87503*100)</f>
        <v>6.0748387680715204E-3</v>
      </c>
      <c r="F46" s="19">
        <f>IF(OR(2248863.79366="",252.04536="",220.10776=""),"-",(220.10776-252.04536)/2248863.79366*100)</f>
        <v>-1.4201660451841726E-3</v>
      </c>
      <c r="G46" s="19">
        <f>IF(OR(2819533.73145="",242.10364="",220.10776=""),"-",(242.10364-220.10776)/2819533.73145*100)</f>
        <v>7.8012473320147836E-4</v>
      </c>
    </row>
    <row r="47" spans="1:7" s="6" customFormat="1" x14ac:dyDescent="0.25">
      <c r="A47" s="36" t="s">
        <v>135</v>
      </c>
      <c r="B47" s="13">
        <v>702028.50551000005</v>
      </c>
      <c r="C47" s="21">
        <f>IF(668025.72737="","-",702028.50551/668025.72737*100)</f>
        <v>105.09004021055716</v>
      </c>
      <c r="D47" s="21">
        <f>IF(668025.72737="","-",668025.72737/2819533.73145*100)</f>
        <v>23.692773025504994</v>
      </c>
      <c r="E47" s="21">
        <f>IF(702028.50551="","-",702028.50551/3985350.87503*100)</f>
        <v>17.615224544180577</v>
      </c>
      <c r="F47" s="21">
        <f>IF(2248863.79366="","-",(668025.72737-406506.84177)/2248863.79366*100)</f>
        <v>11.628933968223171</v>
      </c>
      <c r="G47" s="21">
        <f>IF(2819533.73145="","-",(702028.50551-668025.72737)/2819533.73145*100)</f>
        <v>1.2059716739942488</v>
      </c>
    </row>
    <row r="48" spans="1:7" s="11" customFormat="1" x14ac:dyDescent="0.25">
      <c r="A48" s="37" t="s">
        <v>54</v>
      </c>
      <c r="B48" s="62">
        <v>286756.52730000002</v>
      </c>
      <c r="C48" s="19">
        <f>IF(OR(273373.36749="",286756.5273=""),"-",286756.5273/273373.36749*100)</f>
        <v>104.89556094394952</v>
      </c>
      <c r="D48" s="19">
        <f>IF(273373.36749="","-",273373.36749/2819533.73145*100)</f>
        <v>9.6956941653403259</v>
      </c>
      <c r="E48" s="19">
        <f>IF(286756.5273="","-",286756.5273/3985350.87503*100)</f>
        <v>7.1952642638483226</v>
      </c>
      <c r="F48" s="19">
        <f>IF(OR(2248863.79366="",150316.63756="",273373.36749=""),"-",(273373.36749-150316.63756)/2248863.79366*100)</f>
        <v>5.4719512260778833</v>
      </c>
      <c r="G48" s="19">
        <f>IF(OR(2819533.73145="",286756.5273="",273373.36749=""),"-",(286756.5273-273373.36749)/2819533.73145*100)</f>
        <v>0.4746586168031936</v>
      </c>
    </row>
    <row r="49" spans="1:7" s="9" customFormat="1" x14ac:dyDescent="0.25">
      <c r="A49" s="37" t="s">
        <v>301</v>
      </c>
      <c r="B49" s="14">
        <v>62264.925329999998</v>
      </c>
      <c r="C49" s="19">
        <f>IF(OR(102832.02411="",62264.9253299999=""),"-",62264.9253299999/102832.02411*100)</f>
        <v>60.55013102085276</v>
      </c>
      <c r="D49" s="19">
        <f>IF(102832.02411="","-",102832.02411/2819533.73145*100)</f>
        <v>3.6471287065296654</v>
      </c>
      <c r="E49" s="19">
        <f>IF(62264.9253299999="","-",62264.9253299999/3985350.87503*100)</f>
        <v>1.5623448795968611</v>
      </c>
      <c r="F49" s="19">
        <f>IF(OR(2248863.79366="",55259.94842="",102832.02411=""),"-",(102832.02411-55259.94842)/2248863.79366*100)</f>
        <v>2.1153827023279606</v>
      </c>
      <c r="G49" s="19">
        <f>IF(OR(2819533.73145="",62264.9253299999="",102832.02411=""),"-",(62264.9253299999-102832.02411)/2819533.73145*100)</f>
        <v>-1.4387874962268206</v>
      </c>
    </row>
    <row r="50" spans="1:7" s="6" customFormat="1" ht="25.5" x14ac:dyDescent="0.25">
      <c r="A50" s="37" t="s">
        <v>302</v>
      </c>
      <c r="B50" s="14">
        <v>59183.186070000003</v>
      </c>
      <c r="C50" s="19">
        <f>IF(OR(57409.70377="",59183.18607=""),"-",59183.18607/57409.70377*100)</f>
        <v>103.08916817809248</v>
      </c>
      <c r="D50" s="19">
        <f>IF(57409.70377="","-",57409.70377/2819533.73145*100)</f>
        <v>2.036141760945557</v>
      </c>
      <c r="E50" s="19">
        <f>IF(59183.18607="","-",59183.18607/3985350.87503*100)</f>
        <v>1.4850182060708643</v>
      </c>
      <c r="F50" s="19">
        <f>IF(OR(2248863.79366="",39095.27104="",57409.70377=""),"-",(57409.70377-39095.27104)/2248863.79366*100)</f>
        <v>0.81438603714605018</v>
      </c>
      <c r="G50" s="19">
        <f>IF(OR(2819533.73145="",59183.18607="",57409.70377=""),"-",(59183.18607-57409.70377)/2819533.73145*100)</f>
        <v>6.2899843339982164E-2</v>
      </c>
    </row>
    <row r="51" spans="1:7" s="6" customFormat="1" x14ac:dyDescent="0.25">
      <c r="A51" s="37" t="s">
        <v>70</v>
      </c>
      <c r="B51" s="14">
        <v>51848.508889999997</v>
      </c>
      <c r="C51" s="19" t="s">
        <v>352</v>
      </c>
      <c r="D51" s="19">
        <f>IF(17.81651="","-",17.81651/2819533.73145*100)</f>
        <v>6.3189561455742952E-4</v>
      </c>
      <c r="E51" s="19">
        <f>IF(51848.50889="","-",51848.50889/3985350.87503*100)</f>
        <v>1.3009772668914554</v>
      </c>
      <c r="F51" s="19">
        <f>IF(OR(2248863.79366="",70.05237="",17.81651=""),"-",(17.81651-70.05237)/2248863.79366*100)</f>
        <v>-2.3227667299043813E-3</v>
      </c>
      <c r="G51" s="19">
        <f>IF(OR(2819533.73145="",51848.50889="",17.81651=""),"-",(51848.50889-17.81651)/2819533.73145*100)</f>
        <v>1.8382717611023245</v>
      </c>
    </row>
    <row r="52" spans="1:7" s="11" customFormat="1" x14ac:dyDescent="0.25">
      <c r="A52" s="37" t="s">
        <v>17</v>
      </c>
      <c r="B52" s="14">
        <v>44298.63841</v>
      </c>
      <c r="C52" s="19">
        <f>IF(OR(28862.08892="",44298.63841=""),"-",44298.63841/28862.08892*100)</f>
        <v>153.48382624967672</v>
      </c>
      <c r="D52" s="19">
        <f>IF(28862.08892="","-",28862.08892/2819533.73145*100)</f>
        <v>1.0236475839271875</v>
      </c>
      <c r="E52" s="19">
        <f>IF(44298.63841="","-",44298.63841/3985350.87503*100)</f>
        <v>1.111536720331219</v>
      </c>
      <c r="F52" s="19">
        <f>IF(OR(2248863.79366="",23922.34371="",28862.08892=""),"-",(28862.08892-23922.34371)/2248863.79366*100)</f>
        <v>0.21965515314560777</v>
      </c>
      <c r="G52" s="19">
        <f>IF(OR(2819533.73145="",44298.63841="",28862.08892=""),"-",(44298.63841-28862.08892)/2819533.73145*100)</f>
        <v>0.54748589519663082</v>
      </c>
    </row>
    <row r="53" spans="1:7" s="6" customFormat="1" x14ac:dyDescent="0.25">
      <c r="A53" s="37" t="s">
        <v>55</v>
      </c>
      <c r="B53" s="14">
        <v>17164.538260000001</v>
      </c>
      <c r="C53" s="19" t="s">
        <v>351</v>
      </c>
      <c r="D53" s="19">
        <f>IF(5402.1017="","-",5402.1017/2819533.73145*100)</f>
        <v>0.1915955691447559</v>
      </c>
      <c r="E53" s="19">
        <f>IF(17164.53826="","-",17164.53826/3985350.87503*100)</f>
        <v>0.43069076721810073</v>
      </c>
      <c r="F53" s="19">
        <f>IF(OR(2248863.79366="",5947.90059="",5402.1017=""),"-",(5402.1017-5947.90059)/2248863.79366*100)</f>
        <v>-2.4269984315578249E-2</v>
      </c>
      <c r="G53" s="19">
        <f>IF(OR(2819533.73145="",17164.53826="",5402.1017=""),"-",(17164.53826-5402.1017)/2819533.73145*100)</f>
        <v>0.41717665686343613</v>
      </c>
    </row>
    <row r="54" spans="1:7" s="9" customFormat="1" x14ac:dyDescent="0.25">
      <c r="A54" s="37" t="s">
        <v>58</v>
      </c>
      <c r="B54" s="14">
        <v>17022.764149999999</v>
      </c>
      <c r="C54" s="19">
        <f>IF(OR(24261.03739="",17022.76415=""),"-",17022.76415/24261.03739*100)</f>
        <v>70.1650299463967</v>
      </c>
      <c r="D54" s="19">
        <f>IF(24261.03739="","-",24261.03739/2819533.73145*100)</f>
        <v>0.86046274670824008</v>
      </c>
      <c r="E54" s="19">
        <f>IF(17022.76415="","-",17022.76415/3985350.87503*100)</f>
        <v>0.42713338633883413</v>
      </c>
      <c r="F54" s="19">
        <f>IF(OR(2248863.79366="",11024.54337="",24261.03739=""),"-",(24261.03739-11024.54337)/2248863.79366*100)</f>
        <v>0.58858584754293897</v>
      </c>
      <c r="G54" s="19">
        <f>IF(OR(2819533.73145="",17022.76415="",24261.03739=""),"-",(17022.76415-24261.03739)/2819533.73145*100)</f>
        <v>-0.25671880280281589</v>
      </c>
    </row>
    <row r="55" spans="1:7" s="6" customFormat="1" x14ac:dyDescent="0.25">
      <c r="A55" s="37" t="s">
        <v>56</v>
      </c>
      <c r="B55" s="14">
        <v>16332.82792</v>
      </c>
      <c r="C55" s="19">
        <f>IF(OR(17907.00808="",16332.82792=""),"-",16332.82792/17907.00808*100)</f>
        <v>91.209139165139646</v>
      </c>
      <c r="D55" s="19">
        <f>IF(17907.00808="","-",17907.00808/2819533.73145*100)</f>
        <v>0.63510529703047647</v>
      </c>
      <c r="E55" s="19">
        <f>IF(16332.82792="","-",16332.82792/3985350.87503*100)</f>
        <v>0.40982157988478374</v>
      </c>
      <c r="F55" s="19">
        <f>IF(OR(2248863.79366="",22067.6354="",17907.00808=""),"-",(17907.00808-22067.6354)/2248863.79366*100)</f>
        <v>-0.18501019633690782</v>
      </c>
      <c r="G55" s="19">
        <f>IF(OR(2819533.73145="",16332.82792="",17907.00808=""),"-",(16332.82792-17907.00808)/2819533.73145*100)</f>
        <v>-5.5831222816775709E-2</v>
      </c>
    </row>
    <row r="56" spans="1:7" s="9" customFormat="1" x14ac:dyDescent="0.25">
      <c r="A56" s="37" t="s">
        <v>64</v>
      </c>
      <c r="B56" s="14">
        <v>15174.690570000001</v>
      </c>
      <c r="C56" s="19">
        <f>IF(OR(15802.20905="",15174.69057=""),"-",15174.69057/15802.20905*100)</f>
        <v>96.028919260500487</v>
      </c>
      <c r="D56" s="19">
        <f>IF(15802.20905="","-",15802.20905/2819533.73145*100)</f>
        <v>0.56045469056592589</v>
      </c>
      <c r="E56" s="19">
        <f>IF(15174.69057="","-",15174.69057/3985350.87503*100)</f>
        <v>0.3807617207577933</v>
      </c>
      <c r="F56" s="19">
        <f>IF(OR(2248863.79366="",8622.35359="",15802.20905=""),"-",(15802.20905-8622.35359)/2248863.79366*100)</f>
        <v>0.31926591020058476</v>
      </c>
      <c r="G56" s="19">
        <f>IF(OR(2819533.73145="",15174.69057="",15802.20905=""),"-",(15174.69057-15802.20905)/2819533.73145*100)</f>
        <v>-2.2256108270685068E-2</v>
      </c>
    </row>
    <row r="57" spans="1:7" s="6" customFormat="1" x14ac:dyDescent="0.25">
      <c r="A57" s="37" t="s">
        <v>66</v>
      </c>
      <c r="B57" s="14">
        <v>12150.37515</v>
      </c>
      <c r="C57" s="19" t="s">
        <v>197</v>
      </c>
      <c r="D57" s="19">
        <f>IF(6585.56466="","-",6585.56466/2819533.73145*100)</f>
        <v>0.23356928085457754</v>
      </c>
      <c r="E57" s="19">
        <f>IF(12150.37515="","-",12150.37515/3985350.87503*100)</f>
        <v>0.30487592011352166</v>
      </c>
      <c r="F57" s="19">
        <f>IF(OR(2248863.79366="",4390.16506="",6585.56466=""),"-",(6585.56466-4390.16506)/2248863.79366*100)</f>
        <v>9.7622613080848797E-2</v>
      </c>
      <c r="G57" s="19">
        <f>IF(OR(2819533.73145="",12150.37515="",6585.56466=""),"-",(12150.37515-6585.56466)/2819533.73145*100)</f>
        <v>0.19736633855194874</v>
      </c>
    </row>
    <row r="58" spans="1:7" s="9" customFormat="1" x14ac:dyDescent="0.25">
      <c r="A58" s="37" t="s">
        <v>57</v>
      </c>
      <c r="B58" s="14">
        <v>8942.9689299999991</v>
      </c>
      <c r="C58" s="19">
        <f>IF(OR(11550.66941="",8942.96893=""),"-",8942.96893/11550.66941*100)</f>
        <v>77.423815127611718</v>
      </c>
      <c r="D58" s="19">
        <f>IF(11550.66941="","-",11550.66941/2819533.73145*100)</f>
        <v>0.40966594161155306</v>
      </c>
      <c r="E58" s="19">
        <f>IF(8942.96893="","-",8942.96893/3985350.87503*100)</f>
        <v>0.22439602460179067</v>
      </c>
      <c r="F58" s="19">
        <f>IF(OR(2248863.79366="",11579.41418="",11550.66941=""),"-",(11550.66941-11579.41418)/2248863.79366*100)</f>
        <v>-1.2781907948821371E-3</v>
      </c>
      <c r="G58" s="19">
        <f>IF(OR(2819533.73145="",8942.96893="",11550.66941=""),"-",(8942.96893-11550.66941)/2819533.73145*100)</f>
        <v>-9.2486940337434473E-2</v>
      </c>
    </row>
    <row r="59" spans="1:7" s="6" customFormat="1" x14ac:dyDescent="0.25">
      <c r="A59" s="37" t="s">
        <v>61</v>
      </c>
      <c r="B59" s="14">
        <v>7900.6410299999998</v>
      </c>
      <c r="C59" s="19" t="s">
        <v>197</v>
      </c>
      <c r="D59" s="19">
        <f>IF(4347.15172="","-",4347.15172/2819533.73145*100)</f>
        <v>0.15417980893473449</v>
      </c>
      <c r="E59" s="19">
        <f>IF(7900.64103="","-",7900.64103/3985350.87503*100)</f>
        <v>0.19824204386873534</v>
      </c>
      <c r="F59" s="19">
        <f>IF(OR(2248863.79366="",347.45692="",4347.15172=""),"-",(4347.15172-347.45692)/2248863.79366*100)</f>
        <v>0.17785402616538826</v>
      </c>
      <c r="G59" s="19">
        <f>IF(OR(2819533.73145="",7900.64103="",4347.15172=""),"-",(7900.64103-4347.15172)/2819533.73145*100)</f>
        <v>0.12603109763728734</v>
      </c>
    </row>
    <row r="60" spans="1:7" s="6" customFormat="1" x14ac:dyDescent="0.25">
      <c r="A60" s="37" t="s">
        <v>35</v>
      </c>
      <c r="B60" s="14">
        <v>7410.4655700000003</v>
      </c>
      <c r="C60" s="19" t="s">
        <v>197</v>
      </c>
      <c r="D60" s="19">
        <f>IF(4046.21705="","-",4046.21705/2819533.73145*100)</f>
        <v>0.14350660199121484</v>
      </c>
      <c r="E60" s="19">
        <f>IF(7410.46557="","-",7410.46557/3985350.87503*100)</f>
        <v>0.18594261339521875</v>
      </c>
      <c r="F60" s="19">
        <f>IF(OR(2248863.79366="",3701.55668="",4046.21705=""),"-",(4046.21705-3701.55668)/2248863.79366*100)</f>
        <v>1.5325977988158601E-2</v>
      </c>
      <c r="G60" s="19">
        <f>IF(OR(2819533.73145="",7410.46557="",4046.21705=""),"-",(7410.46557-4046.21705)/2819533.73145*100)</f>
        <v>0.11931932157697117</v>
      </c>
    </row>
    <row r="61" spans="1:7" s="9" customFormat="1" x14ac:dyDescent="0.25">
      <c r="A61" s="37" t="s">
        <v>60</v>
      </c>
      <c r="B61" s="14">
        <v>7156.3215799999998</v>
      </c>
      <c r="C61" s="19">
        <f>IF(OR(11492.57018="",7156.32158=""),"-",7156.32158/11492.57018*100)</f>
        <v>62.269113591786649</v>
      </c>
      <c r="D61" s="19">
        <f>IF(11492.57018="","-",11492.57018/2819533.73145*100)</f>
        <v>0.40760534452232722</v>
      </c>
      <c r="E61" s="19">
        <f>IF(7156.32158="","-",7156.32158/3985350.87503*100)</f>
        <v>0.17956565944638764</v>
      </c>
      <c r="F61" s="19">
        <f>IF(OR(2248863.79366="",4668.43733="",11492.57018=""),"-",(11492.57018-4668.43733)/2248863.79366*100)</f>
        <v>0.30344802869958626</v>
      </c>
      <c r="G61" s="19">
        <f>IF(OR(2819533.73145="",7156.32158="",11492.57018=""),"-",(7156.32158-11492.57018)/2819533.73145*100)</f>
        <v>-0.15379310953552597</v>
      </c>
    </row>
    <row r="62" spans="1:7" s="11" customFormat="1" x14ac:dyDescent="0.25">
      <c r="A62" s="37" t="s">
        <v>72</v>
      </c>
      <c r="B62" s="14">
        <v>4377.4982200000004</v>
      </c>
      <c r="C62" s="19">
        <f>IF(OR(14136.6927="",4377.49822=""),"-",4377.49822/14136.6927*100)</f>
        <v>30.965504541242524</v>
      </c>
      <c r="D62" s="19">
        <f>IF(14136.6927="","-",14136.6927/2819533.73145*100)</f>
        <v>0.5013840601484818</v>
      </c>
      <c r="E62" s="19">
        <f>IF(4377.49822="","-",4377.49822/3985350.87503*100)</f>
        <v>0.10983971944420197</v>
      </c>
      <c r="F62" s="19">
        <f>IF(OR(2248863.79366="",564.93463="",14136.6927=""),"-",(14136.6927-564.93463)/2248863.79366*100)</f>
        <v>0.60349400031524891</v>
      </c>
      <c r="G62" s="19">
        <f>IF(OR(2819533.73145="",4377.49822="",14136.6927=""),"-",(4377.49822-14136.6927)/2819533.73145*100)</f>
        <v>-0.34612795623413745</v>
      </c>
    </row>
    <row r="63" spans="1:7" s="6" customFormat="1" x14ac:dyDescent="0.25">
      <c r="A63" s="37" t="s">
        <v>116</v>
      </c>
      <c r="B63" s="14">
        <v>4083.0096600000002</v>
      </c>
      <c r="C63" s="19">
        <f>IF(OR(5106.5331="",4083.00966=""),"-",4083.00966/5106.5331*100)</f>
        <v>79.956588551242334</v>
      </c>
      <c r="D63" s="19">
        <f>IF(5106.5331="","-",5106.5331/2819533.73145*100)</f>
        <v>0.18111267983922527</v>
      </c>
      <c r="E63" s="19">
        <f>IF(4083.00966="","-",4083.00966/3985350.87503*100)</f>
        <v>0.10245044383875648</v>
      </c>
      <c r="F63" s="19">
        <f>IF(OR(2248863.79366="",3777.24465="",5106.5331=""),"-",(5106.5331-3777.24465)/2248863.79366*100)</f>
        <v>5.9109335734228607E-2</v>
      </c>
      <c r="G63" s="19">
        <f>IF(OR(2819533.73145="",4083.00966="",5106.5331=""),"-",(4083.00966-5106.5331)/2819533.73145*100)</f>
        <v>-3.6301159606047087E-2</v>
      </c>
    </row>
    <row r="64" spans="1:7" s="6" customFormat="1" x14ac:dyDescent="0.25">
      <c r="A64" s="37" t="s">
        <v>65</v>
      </c>
      <c r="B64" s="14">
        <v>3701.6358599999999</v>
      </c>
      <c r="C64" s="19" t="s">
        <v>371</v>
      </c>
      <c r="D64" s="19">
        <f>IF(974.01527="","-",974.01527/2819533.73145*100)</f>
        <v>3.4545260414355593E-2</v>
      </c>
      <c r="E64" s="19">
        <f>IF(3701.63586="","-",3701.63586/3985350.87503*100)</f>
        <v>9.2881053038325903E-2</v>
      </c>
      <c r="F64" s="19">
        <f>IF(OR(2248863.79366="",3143.24012="",974.01527=""),"-",(974.01527-3143.24012)/2248863.79366*100)</f>
        <v>-9.6458703106674662E-2</v>
      </c>
      <c r="G64" s="19">
        <f>IF(OR(2819533.73145="",3701.63586="",974.01527=""),"-",(3701.63586-974.01527)/2819533.73145*100)</f>
        <v>9.6740129744688957E-2</v>
      </c>
    </row>
    <row r="65" spans="1:7" s="6" customFormat="1" x14ac:dyDescent="0.25">
      <c r="A65" s="37" t="s">
        <v>122</v>
      </c>
      <c r="B65" s="14">
        <v>2979.28584</v>
      </c>
      <c r="C65" s="19">
        <f>IF(OR(3081.51829="",2979.28584=""),"-",2979.28584/3081.51829*100)</f>
        <v>96.68240002560556</v>
      </c>
      <c r="D65" s="19">
        <f>IF(3081.51829="","-",3081.51829/2819533.73145*100)</f>
        <v>0.10929176890589175</v>
      </c>
      <c r="E65" s="19">
        <f>IF(2979.28584="","-",2979.28584/3985350.87503*100)</f>
        <v>7.4755923215357373E-2</v>
      </c>
      <c r="F65" s="19">
        <f>IF(OR(2248863.79366="",1505.42758="",3081.51829=""),"-",(3081.51829-1505.42758)/2248863.79366*100)</f>
        <v>7.0083866992892901E-2</v>
      </c>
      <c r="G65" s="19">
        <f>IF(OR(2819533.73145="",2979.28584="",3081.51829=""),"-",(2979.28584-3081.51829)/2819533.73145*100)</f>
        <v>-3.6258636972370945E-3</v>
      </c>
    </row>
    <row r="66" spans="1:7" s="6" customFormat="1" x14ac:dyDescent="0.25">
      <c r="A66" s="37" t="s">
        <v>73</v>
      </c>
      <c r="B66" s="14">
        <v>2770.7295800000002</v>
      </c>
      <c r="C66" s="19">
        <f>IF(OR(2971.97465="",2770.72958=""),"-",2770.72958/2971.97465*100)</f>
        <v>93.228573803615717</v>
      </c>
      <c r="D66" s="19">
        <f>IF(2971.97465="","-",2971.97465/2819533.73145*100)</f>
        <v>0.10540660027754323</v>
      </c>
      <c r="E66" s="19">
        <f>IF(2770.72958="","-",2770.72958/3985350.87503*100)</f>
        <v>6.9522851735837263E-2</v>
      </c>
      <c r="F66" s="19">
        <f>IF(OR(2248863.79366="",2002.70171="",2971.97465=""),"-",(2971.97465-2002.70171)/2248863.79366*100)</f>
        <v>4.3100562280942743E-2</v>
      </c>
      <c r="G66" s="19">
        <f>IF(OR(2819533.73145="",2770.72958="",2971.97465=""),"-",(2770.72958-2971.97465)/2819533.73145*100)</f>
        <v>-7.1375301439116235E-3</v>
      </c>
    </row>
    <row r="67" spans="1:7" s="6" customFormat="1" x14ac:dyDescent="0.25">
      <c r="A67" s="37" t="s">
        <v>34</v>
      </c>
      <c r="B67" s="14">
        <v>2363.61877</v>
      </c>
      <c r="C67" s="19">
        <f>IF(OR(1720.78391="",2363.61877=""),"-",2363.61877/1720.78391*100)</f>
        <v>137.35709383754059</v>
      </c>
      <c r="D67" s="19">
        <f>IF(1720.78391="","-",1720.78391/2819533.73145*100)</f>
        <v>6.1030797071367313E-2</v>
      </c>
      <c r="E67" s="19">
        <f>IF(2363.61877="","-",2363.61877/3985350.87503*100)</f>
        <v>5.9307670619646695E-2</v>
      </c>
      <c r="F67" s="19">
        <f>IF(OR(2248863.79366="",681.02799="",1720.78391=""),"-",(1720.78391-681.02799)/2248863.79366*100)</f>
        <v>4.6234721859602236E-2</v>
      </c>
      <c r="G67" s="19">
        <f>IF(OR(2819533.73145="",2363.61877="",1720.78391=""),"-",(2363.61877-1720.78391)/2819533.73145*100)</f>
        <v>2.2799332131749658E-2</v>
      </c>
    </row>
    <row r="68" spans="1:7" s="6" customFormat="1" x14ac:dyDescent="0.25">
      <c r="A68" s="37" t="s">
        <v>75</v>
      </c>
      <c r="B68" s="14">
        <v>2050.2460999999998</v>
      </c>
      <c r="C68" s="19" t="s">
        <v>345</v>
      </c>
      <c r="D68" s="19">
        <f>IF(822.71893="","-",822.71893/2819533.73145*100)</f>
        <v>2.9179254740708524E-2</v>
      </c>
      <c r="E68" s="19">
        <f>IF(2050.2461="","-",2050.2461/3985350.87503*100)</f>
        <v>5.1444556935895051E-2</v>
      </c>
      <c r="F68" s="19">
        <f>IF(OR(2248863.79366="",222.64="",822.71893=""),"-",(822.71893-222.64)/2248863.79366*100)</f>
        <v>2.668364939182815E-2</v>
      </c>
      <c r="G68" s="19">
        <f>IF(OR(2819533.73145="",2050.2461="",822.71893=""),"-",(2050.2461-822.71893)/2819533.73145*100)</f>
        <v>4.3536530750022992E-2</v>
      </c>
    </row>
    <row r="69" spans="1:7" s="6" customFormat="1" x14ac:dyDescent="0.25">
      <c r="A69" s="37" t="s">
        <v>74</v>
      </c>
      <c r="B69" s="14">
        <v>1983.9228599999999</v>
      </c>
      <c r="C69" s="19">
        <f>IF(OR(2150.46952="",1983.92286=""),"-",1983.92286/2150.46952*100)</f>
        <v>92.255335011676891</v>
      </c>
      <c r="D69" s="19">
        <f>IF(2150.46952="","-",2150.46952/2819533.73145*100)</f>
        <v>7.6270395208007657E-2</v>
      </c>
      <c r="E69" s="19">
        <f>IF(1983.92286="","-",1983.92286/3985350.87503*100)</f>
        <v>4.9780381256520255E-2</v>
      </c>
      <c r="F69" s="19">
        <f>IF(OR(2248863.79366="",1187.56132="",2150.46952=""),"-",(2150.46952-1187.56132)/2248863.79366*100)</f>
        <v>4.2817542027873468E-2</v>
      </c>
      <c r="G69" s="19">
        <f>IF(OR(2819533.73145="",1983.92286="",2150.46952=""),"-",(1983.92286-2150.46952)/2819533.73145*100)</f>
        <v>-5.9068865941302416E-3</v>
      </c>
    </row>
    <row r="70" spans="1:7" s="6" customFormat="1" x14ac:dyDescent="0.25">
      <c r="A70" s="37" t="s">
        <v>303</v>
      </c>
      <c r="B70" s="14">
        <v>1797.5742600000001</v>
      </c>
      <c r="C70" s="19">
        <f>IF(OR(1411.38833="",1797.57426=""),"-",1797.57426/1411.38833*100)</f>
        <v>127.36213144117468</v>
      </c>
      <c r="D70" s="19">
        <f>IF(1411.38833="","-",1411.38833/2819533.73145*100)</f>
        <v>5.0057508241767565E-2</v>
      </c>
      <c r="E70" s="19">
        <f>IF(1797.57426="","-",1797.57426/3985350.87503*100)</f>
        <v>4.510454201818475E-2</v>
      </c>
      <c r="F70" s="19">
        <f>IF(OR(2248863.79366="",1524.28477="",1411.38833=""),"-",(1411.38833-1524.28477)/2248863.79366*100)</f>
        <v>-5.0201546362335404E-3</v>
      </c>
      <c r="G70" s="19">
        <f>IF(OR(2819533.73145="",1797.57426="",1411.38833=""),"-",(1797.57426-1411.38833)/2819533.73145*100)</f>
        <v>1.3696801201289284E-2</v>
      </c>
    </row>
    <row r="71" spans="1:7" s="6" customFormat="1" x14ac:dyDescent="0.25">
      <c r="A71" s="37" t="s">
        <v>98</v>
      </c>
      <c r="B71" s="14">
        <v>1782.2233900000001</v>
      </c>
      <c r="C71" s="19" t="s">
        <v>304</v>
      </c>
      <c r="D71" s="19">
        <f>IF(634.39015="","-",634.39015/2819533.73145*100)</f>
        <v>2.2499824808754905E-2</v>
      </c>
      <c r="E71" s="19">
        <f>IF(1782.22339="","-",1782.22339/3985350.87503*100)</f>
        <v>4.4719359621919967E-2</v>
      </c>
      <c r="F71" s="19">
        <f>IF(OR(2248863.79366="",566.3703="",634.39015=""),"-",(634.39015-566.3703)/2248863.79366*100)</f>
        <v>3.0246318248246763E-3</v>
      </c>
      <c r="G71" s="19">
        <f>IF(OR(2819533.73145="",1782.22339="",634.39015=""),"-",(1782.22339-634.39015)/2819533.73145*100)</f>
        <v>4.0710037521335299E-2</v>
      </c>
    </row>
    <row r="72" spans="1:7" x14ac:dyDescent="0.25">
      <c r="A72" s="37" t="s">
        <v>81</v>
      </c>
      <c r="B72" s="14">
        <v>1765.4242200000001</v>
      </c>
      <c r="C72" s="19" t="s">
        <v>371</v>
      </c>
      <c r="D72" s="19">
        <f>IF(460.03135="","-",460.03135/2819533.73145*100)</f>
        <v>1.6315866161438684E-2</v>
      </c>
      <c r="E72" s="19">
        <f>IF(1765.42422="","-",1765.42422/3985350.87503*100)</f>
        <v>4.4297836636196068E-2</v>
      </c>
      <c r="F72" s="19">
        <f>IF(OR(2248863.79366="",21.53737="",460.03135=""),"-",(460.03135-21.53737)/2248863.79366*100)</f>
        <v>1.9498467681155384E-2</v>
      </c>
      <c r="G72" s="19">
        <f>IF(OR(2819533.73145="",1765.42422="",460.03135=""),"-",(1765.42422-460.03135)/2819533.73145*100)</f>
        <v>4.629818240651714E-2</v>
      </c>
    </row>
    <row r="73" spans="1:7" x14ac:dyDescent="0.25">
      <c r="A73" s="37" t="s">
        <v>82</v>
      </c>
      <c r="B73" s="14">
        <v>1756.9358</v>
      </c>
      <c r="C73" s="19" t="s">
        <v>391</v>
      </c>
      <c r="D73" s="19">
        <f>IF(116.77744="","-",116.77744/2819533.73145*100)</f>
        <v>4.1417287793873965E-3</v>
      </c>
      <c r="E73" s="19">
        <f>IF(1756.9358="","-",1756.9358/3985350.87503*100)</f>
        <v>4.4084846104968725E-2</v>
      </c>
      <c r="F73" s="19">
        <f>IF(OR(2248863.79366="",1176.44867="",116.77744=""),"-",(116.77744-1176.44867)/2248863.79366*100)</f>
        <v>-4.7120293945210313E-2</v>
      </c>
      <c r="G73" s="19">
        <f>IF(OR(2819533.73145="",1756.9358="",116.77744=""),"-",(1756.9358-116.77744)/2819533.73145*100)</f>
        <v>5.8171262209248925E-2</v>
      </c>
    </row>
    <row r="74" spans="1:7" x14ac:dyDescent="0.25">
      <c r="A74" s="37" t="s">
        <v>87</v>
      </c>
      <c r="B74" s="62">
        <v>1645.88123</v>
      </c>
      <c r="C74" s="19">
        <f>IF(OR(2040.91176="",1645.88123=""),"-",1645.88123/2040.91176*100)</f>
        <v>80.644409143881845</v>
      </c>
      <c r="D74" s="19">
        <f>IF(2040.91176="","-",2040.91176/2819533.73145*100)</f>
        <v>7.2384725787636578E-2</v>
      </c>
      <c r="E74" s="19">
        <f>IF(1645.88123="","-",1645.88123/3985350.87503*100)</f>
        <v>4.1298276653937288E-2</v>
      </c>
      <c r="F74" s="19">
        <f>IF(OR(2248863.79366="",338.43874="",2040.91176=""),"-",(2040.91176-338.43874)/2248863.79366*100)</f>
        <v>7.5703696453276292E-2</v>
      </c>
      <c r="G74" s="19">
        <f>IF(OR(2819533.73145="",1645.88123="",2040.91176=""),"-",(1645.88123-2040.91176)/2819533.73145*100)</f>
        <v>-1.4010491365777982E-2</v>
      </c>
    </row>
    <row r="75" spans="1:7" x14ac:dyDescent="0.25">
      <c r="A75" s="37" t="s">
        <v>92</v>
      </c>
      <c r="B75" s="14">
        <v>1605.90425</v>
      </c>
      <c r="C75" s="19" t="s">
        <v>99</v>
      </c>
      <c r="D75" s="19">
        <f>IF(962.55267="","-",962.55267/2819533.73145*100)</f>
        <v>3.4138718017925208E-2</v>
      </c>
      <c r="E75" s="19">
        <f>IF(1605.90425="","-",1605.90425/3985350.87503*100)</f>
        <v>4.0295178526480721E-2</v>
      </c>
      <c r="F75" s="19">
        <f>IF(OR(2248863.79366="",460.22179="",962.55267=""),"-",(962.55267-460.22179)/2248863.79366*100)</f>
        <v>2.2337096689278024E-2</v>
      </c>
      <c r="G75" s="19">
        <f>IF(OR(2819533.73145="",1605.90425="",962.55267=""),"-",(1605.90425-962.55267)/2819533.73145*100)</f>
        <v>2.2817658566161008E-2</v>
      </c>
    </row>
    <row r="76" spans="1:7" x14ac:dyDescent="0.25">
      <c r="A76" s="37" t="s">
        <v>69</v>
      </c>
      <c r="B76" s="62">
        <v>1366.2951800000001</v>
      </c>
      <c r="C76" s="19" t="s">
        <v>101</v>
      </c>
      <c r="D76" s="19">
        <f>IF(720.67245="","-",720.67245/2819533.73145*100)</f>
        <v>2.5559986814890141E-2</v>
      </c>
      <c r="E76" s="19">
        <f>IF(1366.29518="","-",1366.29518/3985350.87503*100)</f>
        <v>3.4282933243355018E-2</v>
      </c>
      <c r="F76" s="19">
        <f>IF(OR(2248863.79366="",980.37172="",720.67245=""),"-",(720.67245-980.37172)/2248863.79366*100)</f>
        <v>-1.1548021304453588E-2</v>
      </c>
      <c r="G76" s="19">
        <f>IF(OR(2819533.73145="",1366.29518="",720.67245=""),"-",(1366.29518-720.67245)/2819533.73145*100)</f>
        <v>2.2898209118710419E-2</v>
      </c>
    </row>
    <row r="77" spans="1:7" x14ac:dyDescent="0.25">
      <c r="A77" s="37" t="s">
        <v>138</v>
      </c>
      <c r="B77" s="14">
        <v>1353.6699900000001</v>
      </c>
      <c r="C77" s="19">
        <f>IF(OR(1060.65036="",1353.66999=""),"-",1353.66999/1060.65036*100)</f>
        <v>127.62641121434211</v>
      </c>
      <c r="D77" s="19">
        <f>IF(1060.65036="","-",1060.65036/2819533.73145*100)</f>
        <v>3.7617934773014401E-2</v>
      </c>
      <c r="E77" s="19">
        <f>IF(1353.66999="","-",1353.66999/3985350.87503*100)</f>
        <v>3.3966143319559286E-2</v>
      </c>
      <c r="F77" s="19">
        <f>IF(OR(2248863.79366="",418.78835="",1060.65036=""),"-",(1060.65036-418.78835)/2248863.79366*100)</f>
        <v>2.8541613405380011E-2</v>
      </c>
      <c r="G77" s="19">
        <f>IF(OR(2819533.73145="",1353.66999="",1060.65036=""),"-",(1353.66999-1060.65036)/2819533.73145*100)</f>
        <v>1.0392485350735952E-2</v>
      </c>
    </row>
    <row r="78" spans="1:7" x14ac:dyDescent="0.25">
      <c r="A78" s="37" t="s">
        <v>37</v>
      </c>
      <c r="B78" s="14">
        <v>1156.2923599999999</v>
      </c>
      <c r="C78" s="19">
        <f>IF(OR(763.45408="",1156.29236=""),"-",1156.29236/763.45408*100)</f>
        <v>151.4553907420339</v>
      </c>
      <c r="D78" s="19">
        <f>IF(763.45408="","-",763.45408/2819533.73145*100)</f>
        <v>2.7077316773485766E-2</v>
      </c>
      <c r="E78" s="19">
        <f>IF(1156.29236="","-",1156.29236/3985350.87503*100)</f>
        <v>2.9013564834270603E-2</v>
      </c>
      <c r="F78" s="19">
        <f>IF(OR(2248863.79366="",1882.15806="",763.45408=""),"-",(763.45408-1882.15806)/2248863.79366*100)</f>
        <v>-4.9745297298744898E-2</v>
      </c>
      <c r="G78" s="19">
        <f>IF(OR(2819533.73145="",1156.29236="",763.45408=""),"-",(1156.29236-763.45408)/2819533.73145*100)</f>
        <v>1.3932739148255383E-2</v>
      </c>
    </row>
    <row r="79" spans="1:7" x14ac:dyDescent="0.25">
      <c r="A79" s="37" t="s">
        <v>89</v>
      </c>
      <c r="B79" s="14">
        <v>1150.53558</v>
      </c>
      <c r="C79" s="19">
        <f>IF(OR(829.79817="",1150.53558=""),"-",1150.53558/829.79817*100)</f>
        <v>138.65246051337999</v>
      </c>
      <c r="D79" s="19">
        <f>IF(829.79817="","-",829.79817/2819533.73145*100)</f>
        <v>2.9430333134310836E-2</v>
      </c>
      <c r="E79" s="19">
        <f>IF(1150.53558="","-",1150.53558/3985350.87503*100)</f>
        <v>2.8869116323197996E-2</v>
      </c>
      <c r="F79" s="19">
        <f>IF(OR(2248863.79366="",761.57689="",829.79817=""),"-",(829.79817-761.57689)/2248863.79366*100)</f>
        <v>3.0335887923639269E-3</v>
      </c>
      <c r="G79" s="19">
        <f>IF(OR(2819533.73145="",1150.53558="",829.79817=""),"-",(1150.53558-829.79817)/2819533.73145*100)</f>
        <v>1.137554789369569E-2</v>
      </c>
    </row>
    <row r="80" spans="1:7" x14ac:dyDescent="0.25">
      <c r="A80" s="37" t="s">
        <v>78</v>
      </c>
      <c r="B80" s="14">
        <v>1091.87077</v>
      </c>
      <c r="C80" s="19" t="s">
        <v>353</v>
      </c>
      <c r="D80" s="19">
        <f>IF(375.40028="","-",375.40028/2819533.73145*100)</f>
        <v>1.3314268093786668E-2</v>
      </c>
      <c r="E80" s="19">
        <f>IF(1091.87077="","-",1091.87077/3985350.87503*100)</f>
        <v>2.7397105154305414E-2</v>
      </c>
      <c r="F80" s="19">
        <f>IF(OR(2248863.79366="",11.756="",375.40028=""),"-",(375.40028-11.756)/2248863.79366*100)</f>
        <v>1.6170133603697408E-2</v>
      </c>
      <c r="G80" s="19">
        <f>IF(OR(2819533.73145="",1091.87077="",375.40028=""),"-",(1091.87077-375.40028)/2819533.73145*100)</f>
        <v>2.5410956499943734E-2</v>
      </c>
    </row>
    <row r="81" spans="1:7" x14ac:dyDescent="0.25">
      <c r="A81" s="37" t="s">
        <v>318</v>
      </c>
      <c r="B81" s="14">
        <v>1086.3481400000001</v>
      </c>
      <c r="C81" s="19">
        <f>IF(OR(917.86663="",1086.34814=""),"-",1086.34814/917.86663*100)</f>
        <v>118.35577245029599</v>
      </c>
      <c r="D81" s="19">
        <f>IF(917.86663="","-",917.86663/2819533.73145*100)</f>
        <v>3.2553844621960572E-2</v>
      </c>
      <c r="E81" s="19">
        <f>IF(1086.34814="","-",1086.34814/3985350.87503*100)</f>
        <v>2.7258531910112491E-2</v>
      </c>
      <c r="F81" s="19">
        <f>IF(OR(2248863.79366="",607.33178="",917.86663=""),"-",(917.86663-607.33178)/2248863.79366*100)</f>
        <v>1.3808521924514074E-2</v>
      </c>
      <c r="G81" s="19">
        <f>IF(OR(2819533.73145="",1086.34814="",917.86663=""),"-",(1086.34814-917.86663)/2819533.73145*100)</f>
        <v>5.9755096426299956E-3</v>
      </c>
    </row>
    <row r="82" spans="1:7" x14ac:dyDescent="0.25">
      <c r="A82" s="37" t="s">
        <v>36</v>
      </c>
      <c r="B82" s="14">
        <v>903.55174</v>
      </c>
      <c r="C82" s="19">
        <f>IF(OR(1109.37808="",903.55174=""),"-",903.55174/1109.37808*100)</f>
        <v>81.446691284904432</v>
      </c>
      <c r="D82" s="19">
        <f>IF(1109.37808="","-",1109.37808/2819533.73145*100)</f>
        <v>3.934615385606615E-2</v>
      </c>
      <c r="E82" s="19">
        <f>IF(903.55174="","-",903.55174/3985350.87503*100)</f>
        <v>2.267182409612048E-2</v>
      </c>
      <c r="F82" s="19">
        <f>IF(OR(2248863.79366="",1435.14311="",1109.37808=""),"-",(1109.37808-1435.14311)/2248863.79366*100)</f>
        <v>-1.4485760805896615E-2</v>
      </c>
      <c r="G82" s="19">
        <f>IF(OR(2819533.73145="",903.55174="",1109.37808=""),"-",(903.55174-1109.37808)/2819533.73145*100)</f>
        <v>-7.3000133924324348E-3</v>
      </c>
    </row>
    <row r="83" spans="1:7" x14ac:dyDescent="0.25">
      <c r="A83" s="37" t="s">
        <v>68</v>
      </c>
      <c r="B83" s="14">
        <v>854.59609999999998</v>
      </c>
      <c r="C83" s="19">
        <f>IF(OR(3323.84276="",854.5961=""),"-",854.5961/3323.84276*100)</f>
        <v>25.7110868866733</v>
      </c>
      <c r="D83" s="19">
        <f>IF(3323.84276="","-",3323.84276/2819533.73145*100)</f>
        <v>0.11788625626020263</v>
      </c>
      <c r="E83" s="19">
        <f>IF(854.5961="","-",854.5961/3985350.87503*100)</f>
        <v>2.1443434387532236E-2</v>
      </c>
      <c r="F83" s="19">
        <f>IF(OR(2248863.79366="",312.37617="",3323.84276=""),"-",(3323.84276-312.37617)/2248863.79366*100)</f>
        <v>0.13391058180090457</v>
      </c>
      <c r="G83" s="19">
        <f>IF(OR(2819533.73145="",854.5961="",3323.84276=""),"-",(854.5961-3323.84276)/2819533.73145*100)</f>
        <v>-8.757641848569557E-2</v>
      </c>
    </row>
    <row r="84" spans="1:7" x14ac:dyDescent="0.25">
      <c r="A84" s="37" t="s">
        <v>84</v>
      </c>
      <c r="B84" s="14">
        <v>848.88520000000005</v>
      </c>
      <c r="C84" s="19">
        <f>IF(OR(809.52015="",848.8852=""),"-",848.8852/809.52015*100)</f>
        <v>104.86276345313949</v>
      </c>
      <c r="D84" s="19">
        <f>IF(809.52015="","-",809.52015/2819533.73145*100)</f>
        <v>2.8711135496282517E-2</v>
      </c>
      <c r="E84" s="19">
        <f>IF(848.8852="","-",848.8852/3985350.87503*100)</f>
        <v>2.1300137092536673E-2</v>
      </c>
      <c r="F84" s="19">
        <f>IF(OR(2248863.79366="",1207.96508="",809.52015=""),"-",(809.52015-1207.96508)/2248863.79366*100)</f>
        <v>-1.7717610605110744E-2</v>
      </c>
      <c r="G84" s="19">
        <f>IF(OR(2819533.73145="",848.8852="",809.52015=""),"-",(848.8852-809.52015)/2819533.73145*100)</f>
        <v>1.3961546038945905E-3</v>
      </c>
    </row>
    <row r="85" spans="1:7" x14ac:dyDescent="0.25">
      <c r="A85" s="37" t="s">
        <v>131</v>
      </c>
      <c r="B85" s="14">
        <v>781.90606000000002</v>
      </c>
      <c r="C85" s="19">
        <f>IF(OR(670.70211="",781.90606=""),"-",781.90606/670.70211*100)</f>
        <v>116.58022963428579</v>
      </c>
      <c r="D85" s="19">
        <f>IF(670.70211="","-",670.70211/2819533.73145*100)</f>
        <v>2.3787695905843214E-2</v>
      </c>
      <c r="E85" s="19">
        <f>IF(781.90606="","-",781.90606/3985350.87503*100)</f>
        <v>1.961950364016855E-2</v>
      </c>
      <c r="F85" s="19">
        <f>IF(OR(2248863.79366="",419.82077="",670.70211=""),"-",(670.70211-419.82077)/2248863.79366*100)</f>
        <v>1.1155915298529195E-2</v>
      </c>
      <c r="G85" s="19">
        <f>IF(OR(2819533.73145="",781.90606="",670.70211=""),"-",(781.90606-670.70211)/2819533.73145*100)</f>
        <v>3.9440546058944039E-3</v>
      </c>
    </row>
    <row r="86" spans="1:7" x14ac:dyDescent="0.25">
      <c r="A86" s="37" t="s">
        <v>83</v>
      </c>
      <c r="B86" s="14">
        <v>682.39233000000002</v>
      </c>
      <c r="C86" s="19" t="s">
        <v>345</v>
      </c>
      <c r="D86" s="19">
        <f>IF(276.42323="","-",276.42323/2819533.73145*100)</f>
        <v>9.8038632032199161E-3</v>
      </c>
      <c r="E86" s="19">
        <f>IF(682.39233="","-",682.39233/3985350.87503*100)</f>
        <v>1.7122515718138952E-2</v>
      </c>
      <c r="F86" s="19">
        <f>IF(OR(2248863.79366="",324.46997="",276.42323=""),"-",(276.42323-324.46997)/2248863.79366*100)</f>
        <v>-2.1364895524332525E-3</v>
      </c>
      <c r="G86" s="19">
        <f>IF(OR(2819533.73145="",682.39233="",276.42323=""),"-",(682.39233-276.42323)/2819533.73145*100)</f>
        <v>1.4398448065071472E-2</v>
      </c>
    </row>
    <row r="87" spans="1:7" x14ac:dyDescent="0.25">
      <c r="A87" s="37" t="s">
        <v>103</v>
      </c>
      <c r="B87" s="14">
        <v>628.55749000000003</v>
      </c>
      <c r="C87" s="19">
        <f>IF(OR(701.63872="",628.55749=""),"-",628.55749/701.63872*100)</f>
        <v>89.584207952491553</v>
      </c>
      <c r="D87" s="19">
        <f>IF(701.63872="","-",701.63872/2819533.73145*100)</f>
        <v>2.4884920232508399E-2</v>
      </c>
      <c r="E87" s="19">
        <f>IF(628.55749="","-",628.55749/3985350.87503*100)</f>
        <v>1.5771697642438284E-2</v>
      </c>
      <c r="F87" s="19">
        <f>IF(OR(2248863.79366="",140.09979="",701.63872=""),"-",(701.63872-140.09979)/2248863.79366*100)</f>
        <v>2.4969895090271421E-2</v>
      </c>
      <c r="G87" s="19">
        <f>IF(OR(2819533.73145="",628.55749="",701.63872=""),"-",(628.55749-701.63872)/2819533.73145*100)</f>
        <v>-2.5919615426064284E-3</v>
      </c>
    </row>
    <row r="88" spans="1:7" x14ac:dyDescent="0.25">
      <c r="A88" s="37" t="s">
        <v>123</v>
      </c>
      <c r="B88" s="14">
        <v>517.05444999999997</v>
      </c>
      <c r="C88" s="19">
        <f>IF(OR(606.0642="",517.05445=""),"-",517.05445/606.0642*100)</f>
        <v>85.313478341073434</v>
      </c>
      <c r="D88" s="19">
        <f>IF(606.0642="","-",606.0642/2819533.73145*100)</f>
        <v>2.1495192387300143E-2</v>
      </c>
      <c r="E88" s="19">
        <f>IF(517.05445="","-",517.05445/3985350.87503*100)</f>
        <v>1.2973875229896984E-2</v>
      </c>
      <c r="F88" s="19">
        <f>IF(OR(2248863.79366="",191.7536="",606.0642=""),"-",(606.0642-191.7536)/2248863.79366*100)</f>
        <v>1.8423107756371244E-2</v>
      </c>
      <c r="G88" s="19">
        <f>IF(OR(2819533.73145="",517.05445="",606.0642=""),"-",(517.05445-606.0642)/2819533.73145*100)</f>
        <v>-3.1568960855887706E-3</v>
      </c>
    </row>
    <row r="89" spans="1:7" x14ac:dyDescent="0.25">
      <c r="A89" s="37" t="s">
        <v>204</v>
      </c>
      <c r="B89" s="14">
        <v>502.01533000000001</v>
      </c>
      <c r="C89" s="19">
        <f>IF(OR(809.73272="",502.01533=""),"-",502.01533/809.73272*100)</f>
        <v>61.997658931208811</v>
      </c>
      <c r="D89" s="19">
        <f>IF(809.73272="","-",809.73272/2819533.73145*100)</f>
        <v>2.8718674686100641E-2</v>
      </c>
      <c r="E89" s="19">
        <f>IF(502.01533="","-",502.01533/3985350.87503*100)</f>
        <v>1.2596515231453016E-2</v>
      </c>
      <c r="F89" s="19">
        <f>IF(OR(2248863.79366="",121.09235="",809.73272=""),"-",(809.73272-121.09235)/2248863.79366*100)</f>
        <v>3.0621702031995705E-2</v>
      </c>
      <c r="G89" s="19">
        <f>IF(OR(2819533.73145="",502.01533="",809.73272=""),"-",(502.01533-809.73272)/2819533.73145*100)</f>
        <v>-1.0913768704648564E-2</v>
      </c>
    </row>
    <row r="90" spans="1:7" x14ac:dyDescent="0.25">
      <c r="A90" s="37" t="s">
        <v>136</v>
      </c>
      <c r="B90" s="14">
        <v>487.15267</v>
      </c>
      <c r="C90" s="19">
        <f>IF(OR(332.148="",487.15267=""),"-",487.15267/332.148*100)</f>
        <v>146.66735009694472</v>
      </c>
      <c r="D90" s="19">
        <f>IF(332.148="","-",332.148/2819533.73145*100)</f>
        <v>1.178024565888724E-2</v>
      </c>
      <c r="E90" s="19">
        <f>IF(487.15267="","-",487.15267/3985350.87503*100)</f>
        <v>1.2223582948548613E-2</v>
      </c>
      <c r="F90" s="19">
        <f>IF(OR(2248863.79366="",223.9968="",332.148=""),"-",(332.148-223.9968)/2248863.79366*100)</f>
        <v>4.8091485266871228E-3</v>
      </c>
      <c r="G90" s="19">
        <f>IF(OR(2819533.73145="",487.15267="",332.148=""),"-",(487.15267-332.148)/2819533.73145*100)</f>
        <v>5.4975284839130414E-3</v>
      </c>
    </row>
    <row r="91" spans="1:7" x14ac:dyDescent="0.25">
      <c r="A91" s="37" t="s">
        <v>80</v>
      </c>
      <c r="B91" s="14">
        <v>456.33465999999999</v>
      </c>
      <c r="C91" s="19">
        <f>IF(OR(523.44822="",456.33466=""),"-",456.33466/523.44822*100)</f>
        <v>87.178567538160706</v>
      </c>
      <c r="D91" s="19">
        <f>IF(523.44822="","-",523.44822/2819533.73145*100)</f>
        <v>1.8565063228763241E-2</v>
      </c>
      <c r="E91" s="19">
        <f>IF(456.33466="","-",456.33466/3985350.87503*100)</f>
        <v>1.1450300721553529E-2</v>
      </c>
      <c r="F91" s="19">
        <f>IF(OR(2248863.79366="",212.65668="",523.44822=""),"-",(523.44822-212.65668)/2248863.79366*100)</f>
        <v>1.3819936132912271E-2</v>
      </c>
      <c r="G91" s="19">
        <f>IF(OR(2819533.73145="",456.33466="",523.44822=""),"-",(456.33466-523.44822)/2819533.73145*100)</f>
        <v>-2.3803070433736418E-3</v>
      </c>
    </row>
    <row r="92" spans="1:7" x14ac:dyDescent="0.25">
      <c r="A92" s="37" t="s">
        <v>119</v>
      </c>
      <c r="B92" s="14">
        <v>382.52483000000001</v>
      </c>
      <c r="C92" s="19">
        <f>IF(OR(571.48393="",382.52483=""),"-",382.52483/571.48393*100)</f>
        <v>66.935360719591884</v>
      </c>
      <c r="D92" s="19">
        <f>IF(571.48393="","-",571.48393/2819533.73145*100)</f>
        <v>2.0268738892018977E-2</v>
      </c>
      <c r="E92" s="19">
        <f>IF(382.52483="","-",382.52483/3985350.87503*100)</f>
        <v>9.5982723226877859E-3</v>
      </c>
      <c r="F92" s="19">
        <f>IF(OR(2248863.79366="",1130.49079="",571.48393=""),"-",(571.48393-1130.49079)/2248863.79366*100)</f>
        <v>-2.4857301788394345E-2</v>
      </c>
      <c r="G92" s="19">
        <f>IF(OR(2819533.73145="",382.52483="",571.48393=""),"-",(382.52483-571.48393)/2819533.73145*100)</f>
        <v>-6.701785401333862E-3</v>
      </c>
    </row>
    <row r="93" spans="1:7" x14ac:dyDescent="0.25">
      <c r="A93" s="37" t="s">
        <v>63</v>
      </c>
      <c r="B93" s="14">
        <v>320.38916999999998</v>
      </c>
      <c r="C93" s="19">
        <f>IF(OR(6884.50732="",320.38917=""),"-",320.38917/6884.50732*100)</f>
        <v>4.6537704894182612</v>
      </c>
      <c r="D93" s="19">
        <f>IF(6884.50732="","-",6884.50732/2819533.73145*100)</f>
        <v>0.24417183746404439</v>
      </c>
      <c r="E93" s="19">
        <f>IF(320.38917="","-",320.38917/3985350.87503*100)</f>
        <v>8.039170954993723E-3</v>
      </c>
      <c r="F93" s="19">
        <f>IF(OR(2248863.79366="",5087.49438="",6884.50732=""),"-",(6884.50732-5087.49438)/2248863.79366*100)</f>
        <v>7.9907593561964085E-2</v>
      </c>
      <c r="G93" s="19">
        <f>IF(OR(2819533.73145="",320.38917="",6884.50732=""),"-",(320.38917-6884.50732)/2819533.73145*100)</f>
        <v>-0.23280864054867237</v>
      </c>
    </row>
    <row r="94" spans="1:7" x14ac:dyDescent="0.25">
      <c r="A94" s="37" t="s">
        <v>311</v>
      </c>
      <c r="B94" s="14">
        <v>319.04727000000003</v>
      </c>
      <c r="C94" s="19">
        <f>IF(OR(1006.67648="",319.04727=""),"-",319.04727/1006.67648*100)</f>
        <v>31.693128461688115</v>
      </c>
      <c r="D94" s="19">
        <f>IF(1006.67648="","-",1006.67648/2819533.73145*100)</f>
        <v>3.5703650882810932E-2</v>
      </c>
      <c r="E94" s="19">
        <f>IF(319.04727="","-",319.04727/3985350.87503*100)</f>
        <v>8.0055001430105795E-3</v>
      </c>
      <c r="F94" s="19">
        <f>IF(OR(2248863.79366="",950.17541="",1006.67648=""),"-",(1006.67648-950.17541)/2248863.79366*100)</f>
        <v>2.5124273937482478E-3</v>
      </c>
      <c r="G94" s="19">
        <f>IF(OR(2819533.73145="",319.04727="",1006.67648=""),"-",(319.04727-1006.67648)/2819533.73145*100)</f>
        <v>-2.4388046943009025E-2</v>
      </c>
    </row>
    <row r="95" spans="1:7" x14ac:dyDescent="0.25">
      <c r="A95" s="37" t="s">
        <v>59</v>
      </c>
      <c r="B95" s="14">
        <v>317.27485000000001</v>
      </c>
      <c r="C95" s="19">
        <f>IF(OR(3981.13617="",317.27485=""),"-",317.27485/3981.13617*100)</f>
        <v>7.9694548604199085</v>
      </c>
      <c r="D95" s="19">
        <f>IF(3981.13617="","-",3981.13617/2819533.73145*100)</f>
        <v>0.14119838771897308</v>
      </c>
      <c r="E95" s="19">
        <f>IF(317.27485="","-",317.27485/3985350.87503*100)</f>
        <v>7.9610267690071752E-3</v>
      </c>
      <c r="F95" s="19">
        <f>IF(OR(2248863.79366="",2595.6631="",3981.13617=""),"-",(3981.13617-2595.6631)/2248863.79366*100)</f>
        <v>6.1607691577672583E-2</v>
      </c>
      <c r="G95" s="19">
        <f>IF(OR(2819533.73145="",317.27485="",3981.13617=""),"-",(317.27485-3981.13617)/2819533.73145*100)</f>
        <v>-0.12994564594606883</v>
      </c>
    </row>
    <row r="96" spans="1:7" x14ac:dyDescent="0.25">
      <c r="A96" s="37" t="s">
        <v>356</v>
      </c>
      <c r="B96" s="14">
        <v>281.83136999999999</v>
      </c>
      <c r="C96" s="19" t="s">
        <v>18</v>
      </c>
      <c r="D96" s="19">
        <f>IF(139.09809="","-",139.09809/2819533.73145*100)</f>
        <v>4.9333720837759273E-3</v>
      </c>
      <c r="E96" s="19">
        <f>IF(281.83137="","-",281.83137/3985350.87503*100)</f>
        <v>7.0716827410554775E-3</v>
      </c>
      <c r="F96" s="19">
        <f>IF(OR(2248863.79366="",361.77183="",139.09809=""),"-",(139.09809-361.77183)/2248863.79366*100)</f>
        <v>-9.9016107879793397E-3</v>
      </c>
      <c r="G96" s="19">
        <f>IF(OR(2819533.73145="",281.83137="",139.09809=""),"-",(281.83137-139.09809)/2819533.73145*100)</f>
        <v>5.0623008481120967E-3</v>
      </c>
    </row>
    <row r="97" spans="1:7" x14ac:dyDescent="0.25">
      <c r="A97" s="37" t="s">
        <v>369</v>
      </c>
      <c r="B97" s="62">
        <v>263.53181999999998</v>
      </c>
      <c r="C97" s="19" t="str">
        <f>IF(OR(""="",263.53182=""),"-",263.53182/""*100)</f>
        <v>-</v>
      </c>
      <c r="D97" s="19" t="str">
        <f>IF(""="","-",""/2819533.73145*100)</f>
        <v>-</v>
      </c>
      <c r="E97" s="19">
        <f>IF(263.53182="","-",263.53182/3985350.87503*100)</f>
        <v>6.6125123800552747E-3</v>
      </c>
      <c r="F97" s="19" t="str">
        <f>IF(OR(2248863.79366="",""="",""=""),"-",(""-"")/2248863.79366*100)</f>
        <v>-</v>
      </c>
      <c r="G97" s="19" t="str">
        <f>IF(OR(2819533.73145="",263.53182="",""=""),"-",(263.53182-"")/2819533.73145*100)</f>
        <v>-</v>
      </c>
    </row>
    <row r="98" spans="1:7" x14ac:dyDescent="0.25">
      <c r="A98" s="37" t="s">
        <v>85</v>
      </c>
      <c r="B98" s="14">
        <v>249.1943</v>
      </c>
      <c r="C98" s="19">
        <f>IF(OR(1144.49431="",249.1943=""),"-",249.1943/1144.49431*100)</f>
        <v>21.773310519997256</v>
      </c>
      <c r="D98" s="19">
        <f>IF(1144.49431="","-",1144.49431/2819533.73145*100)</f>
        <v>4.0591616168089671E-2</v>
      </c>
      <c r="E98" s="19">
        <f>IF(249.1943="","-",249.1943/3985350.87503*100)</f>
        <v>6.2527568541408335E-3</v>
      </c>
      <c r="F98" s="19">
        <f>IF(OR(2248863.79366="",98.8642="",1144.49431=""),"-",(1144.49431-98.8642)/2248863.79366*100)</f>
        <v>4.6495928875187637E-2</v>
      </c>
      <c r="G98" s="19">
        <f>IF(OR(2819533.73145="",249.1943="",1144.49431=""),"-",(249.1943-1144.49431)/2819533.73145*100)</f>
        <v>-3.1753477534726092E-2</v>
      </c>
    </row>
    <row r="99" spans="1:7" x14ac:dyDescent="0.25">
      <c r="A99" s="37" t="s">
        <v>94</v>
      </c>
      <c r="B99" s="14">
        <v>228.36518000000001</v>
      </c>
      <c r="C99" s="19" t="s">
        <v>197</v>
      </c>
      <c r="D99" s="19">
        <f>IF(130.35845="","-",130.35845/2819533.73145*100)</f>
        <v>4.6234045206105991E-3</v>
      </c>
      <c r="E99" s="19">
        <f>IF(228.36518="","-",228.36518/3985350.87503*100)</f>
        <v>5.7301147919198193E-3</v>
      </c>
      <c r="F99" s="19">
        <f>IF(OR(2248863.79366="",129.41661="",130.35845=""),"-",(130.35845-129.41661)/2248863.79366*100)</f>
        <v>4.1880704498656168E-5</v>
      </c>
      <c r="G99" s="19">
        <f>IF(OR(2819533.73145="",228.36518="",130.35845=""),"-",(228.36518-130.35845)/2819533.73145*100)</f>
        <v>3.4759906897655073E-3</v>
      </c>
    </row>
    <row r="100" spans="1:7" x14ac:dyDescent="0.25">
      <c r="A100" s="37" t="s">
        <v>317</v>
      </c>
      <c r="B100" s="14">
        <v>225.15938</v>
      </c>
      <c r="C100" s="19" t="s">
        <v>366</v>
      </c>
      <c r="D100" s="19">
        <f>IF(27.73313="","-",27.73313/2819533.73145*100)</f>
        <v>9.8360695921654033E-4</v>
      </c>
      <c r="E100" s="19">
        <f>IF(225.15938="","-",225.15938/3985350.87503*100)</f>
        <v>5.6496751995093802E-3</v>
      </c>
      <c r="F100" s="19">
        <f>IF(OR(2248863.79366="",15.27831="",27.73313=""),"-",(27.73313-15.27831)/2248863.79366*100)</f>
        <v>5.5382722755876307E-4</v>
      </c>
      <c r="G100" s="19">
        <f>IF(OR(2819533.73145="",225.15938="",27.73313=""),"-",(225.15938-27.73313)/2819533.73145*100)</f>
        <v>7.0020886006024021E-3</v>
      </c>
    </row>
    <row r="101" spans="1:7" x14ac:dyDescent="0.25">
      <c r="A101" s="37" t="s">
        <v>79</v>
      </c>
      <c r="B101" s="62">
        <v>219.56353999999999</v>
      </c>
      <c r="C101" s="19" t="s">
        <v>392</v>
      </c>
      <c r="D101" s="19">
        <f>IF(36.84126="","-",36.84126/2819533.73145*100)</f>
        <v>1.3066437045622314E-3</v>
      </c>
      <c r="E101" s="19">
        <f>IF(219.56354="","-",219.56354/3985350.87503*100)</f>
        <v>5.5092649777881151E-3</v>
      </c>
      <c r="F101" s="19">
        <f>IF(OR(2248863.79366="",381.0321="",36.84126=""),"-",(36.84126-381.0321)/2248863.79366*100)</f>
        <v>-1.5305099444899391E-2</v>
      </c>
      <c r="G101" s="19">
        <f>IF(OR(2819533.73145="",219.56354="",36.84126=""),"-",(219.56354-36.84126)/2819533.73145*100)</f>
        <v>6.4805849975070702E-3</v>
      </c>
    </row>
    <row r="102" spans="1:7" x14ac:dyDescent="0.25">
      <c r="A102" s="37" t="s">
        <v>76</v>
      </c>
      <c r="B102" s="14">
        <v>199.22037</v>
      </c>
      <c r="C102" s="19" t="s">
        <v>324</v>
      </c>
      <c r="D102" s="19">
        <f>IF(56.25423="","-",56.25423/2819533.73145*100)</f>
        <v>1.995160737838386E-3</v>
      </c>
      <c r="E102" s="19">
        <f>IF(199.22037="","-",199.22037/3985350.87503*100)</f>
        <v>4.9988163212480096E-3</v>
      </c>
      <c r="F102" s="19">
        <f>IF(OR(2248863.79366="",19.0101="",56.25423=""),"-",(56.25423-19.0101)/2248863.79366*100)</f>
        <v>1.6561309806756061E-3</v>
      </c>
      <c r="G102" s="19">
        <f>IF(OR(2819533.73145="",199.22037="",56.25423=""),"-",(199.22037-56.25423)/2819533.73145*100)</f>
        <v>5.0705596604611958E-3</v>
      </c>
    </row>
    <row r="103" spans="1:7" x14ac:dyDescent="0.25">
      <c r="A103" s="37" t="s">
        <v>67</v>
      </c>
      <c r="B103" s="14">
        <v>191.32889</v>
      </c>
      <c r="C103" s="19">
        <f>IF(OR(199.94476="",191.32889=""),"-",191.32889/199.94476*100)</f>
        <v>95.690874819625179</v>
      </c>
      <c r="D103" s="19">
        <f>IF(199.94476="","-",199.94476/2819533.73145*100)</f>
        <v>7.0914122349291604E-3</v>
      </c>
      <c r="E103" s="19">
        <f>IF(191.32889="","-",191.32889/3985350.87503*100)</f>
        <v>4.8008041449690356E-3</v>
      </c>
      <c r="F103" s="19">
        <f>IF(OR(2248863.79366="",67.6831="",199.94476=""),"-",(199.94476-67.6831)/2248863.79366*100)</f>
        <v>5.8812659251695132E-3</v>
      </c>
      <c r="G103" s="19">
        <f>IF(OR(2819533.73145="",191.32889="",199.94476=""),"-",(191.32889-199.94476)/2819533.73145*100)</f>
        <v>-3.0557783025951323E-4</v>
      </c>
    </row>
    <row r="104" spans="1:7" x14ac:dyDescent="0.25">
      <c r="A104" s="37" t="s">
        <v>293</v>
      </c>
      <c r="B104" s="14">
        <v>176.90536</v>
      </c>
      <c r="C104" s="19">
        <f>IF(OR(211.45377="",176.90536=""),"-",176.90536/211.45377*100)</f>
        <v>83.661483075000277</v>
      </c>
      <c r="D104" s="19">
        <f>IF(211.45377="","-",211.45377/2819533.73145*100)</f>
        <v>7.4996006481985152E-3</v>
      </c>
      <c r="E104" s="19">
        <f>IF(176.90536="","-",176.90536/3985350.87503*100)</f>
        <v>4.4388904652885378E-3</v>
      </c>
      <c r="F104" s="19">
        <f>IF(OR(2248863.79366="",129.72873="",211.45377=""),"-",(211.45377-129.72873)/2248863.79366*100)</f>
        <v>3.6340591293434195E-3</v>
      </c>
      <c r="G104" s="19">
        <f>IF(OR(2819533.73145="",176.90536="",211.45377=""),"-",(176.90536-211.45377)/2819533.73145*100)</f>
        <v>-1.2253235212133036E-3</v>
      </c>
    </row>
    <row r="105" spans="1:7" x14ac:dyDescent="0.25">
      <c r="A105" s="37" t="s">
        <v>97</v>
      </c>
      <c r="B105" s="14">
        <v>166.46709999999999</v>
      </c>
      <c r="C105" s="19">
        <f>IF(OR(682.18517="",166.4671=""),"-",166.4671/682.18517*100)</f>
        <v>24.402040284751426</v>
      </c>
      <c r="D105" s="19">
        <f>IF(682.18517="","-",682.18517/2819533.73145*100)</f>
        <v>2.4194963954170288E-2</v>
      </c>
      <c r="E105" s="19">
        <f>IF(166.4671="","-",166.4671/3985350.87503*100)</f>
        <v>4.1769747563003947E-3</v>
      </c>
      <c r="F105" s="19">
        <f>IF(OR(2248863.79366="",214.90947="",682.18517=""),"-",(682.18517-214.90947)/2248863.79366*100)</f>
        <v>2.0778301527969115E-2</v>
      </c>
      <c r="G105" s="19">
        <f>IF(OR(2819533.73145="",166.4671="",682.18517=""),"-",(166.4671-682.18517)/2819533.73145*100)</f>
        <v>-1.8290899103192572E-2</v>
      </c>
    </row>
    <row r="106" spans="1:7" x14ac:dyDescent="0.25">
      <c r="A106" s="37" t="s">
        <v>126</v>
      </c>
      <c r="B106" s="14">
        <v>164.21538000000001</v>
      </c>
      <c r="C106" s="19">
        <f>IF(OR(562.13988="",164.21538=""),"-",164.21538/562.13988*100)</f>
        <v>29.212547595804807</v>
      </c>
      <c r="D106" s="19">
        <f>IF(562.13988="","-",562.13988/2819533.73145*100)</f>
        <v>1.9937334805741395E-2</v>
      </c>
      <c r="E106" s="19">
        <f>IF(164.21538="","-",164.21538/3985350.87503*100)</f>
        <v>4.1204748377083331E-3</v>
      </c>
      <c r="F106" s="19">
        <f>IF(OR(2248863.79366="",93.00495="",562.13988=""),"-",(562.13988-93.00495)/2248863.79366*100)</f>
        <v>2.0860975721276931E-2</v>
      </c>
      <c r="G106" s="19">
        <f>IF(OR(2819533.73145="",164.21538="",562.13988=""),"-",(164.21538-562.13988)/2819533.73145*100)</f>
        <v>-1.4113131386279232E-2</v>
      </c>
    </row>
    <row r="107" spans="1:7" x14ac:dyDescent="0.25">
      <c r="A107" s="37" t="s">
        <v>358</v>
      </c>
      <c r="B107" s="62">
        <v>159.32383999999999</v>
      </c>
      <c r="C107" s="19">
        <f>IF(OR(168.79079="",159.32384=""),"-",159.32384/168.79079*100)</f>
        <v>94.391311279483915</v>
      </c>
      <c r="D107" s="19">
        <f>IF(168.79079="","-",168.79079/2819533.73145*100)</f>
        <v>5.9864788322002462E-3</v>
      </c>
      <c r="E107" s="19">
        <f>IF(159.32384="","-",159.32384/3985350.87503*100)</f>
        <v>3.9977368366292381E-3</v>
      </c>
      <c r="F107" s="19">
        <f>IF(OR(2248863.79366="",16.97773="",168.79079=""),"-",(168.79079-16.97773)/2248863.79366*100)</f>
        <v>6.7506560614294013E-3</v>
      </c>
      <c r="G107" s="19">
        <f>IF(OR(2819533.73145="",159.32384="",168.79079=""),"-",(159.32384-168.79079)/2819533.73145*100)</f>
        <v>-3.3576296301769849E-4</v>
      </c>
    </row>
    <row r="108" spans="1:7" x14ac:dyDescent="0.25">
      <c r="A108" s="37" t="s">
        <v>357</v>
      </c>
      <c r="B108" s="14">
        <v>148.29127</v>
      </c>
      <c r="C108" s="19">
        <f>IF(OR(96.75683="",148.29127=""),"-",148.29127/96.75683*100)</f>
        <v>153.26181107834972</v>
      </c>
      <c r="D108" s="19">
        <f>IF(96.75683="","-",96.75683/2819533.73145*100)</f>
        <v>3.4316606650504912E-3</v>
      </c>
      <c r="E108" s="19">
        <f>IF(148.29127="","-",148.29127/3985350.87503*100)</f>
        <v>3.7209087643728161E-3</v>
      </c>
      <c r="F108" s="19">
        <f>IF(OR(2248863.79366="",72.2805="",96.75683=""),"-",(96.75683-72.2805)/2248863.79366*100)</f>
        <v>1.0883865029533446E-3</v>
      </c>
      <c r="G108" s="19">
        <f>IF(OR(2819533.73145="",148.29127="",96.75683=""),"-",(148.29127-96.75683)/2819533.73145*100)</f>
        <v>1.8277646202692322E-3</v>
      </c>
    </row>
    <row r="109" spans="1:7" x14ac:dyDescent="0.25">
      <c r="A109" s="37" t="s">
        <v>337</v>
      </c>
      <c r="B109" s="14">
        <v>144.29552000000001</v>
      </c>
      <c r="C109" s="19" t="s">
        <v>373</v>
      </c>
      <c r="D109" s="19">
        <f>IF(25.64="","-",25.64/2819533.73145*100)</f>
        <v>9.0937021657173554E-4</v>
      </c>
      <c r="E109" s="19">
        <f>IF(144.29552="","-",144.29552/3985350.87503*100)</f>
        <v>3.620647830635836E-3</v>
      </c>
      <c r="F109" s="19">
        <f>IF(OR(2248863.79366="",0.42518="",25.64=""),"-",(25.64-0.42518)/2248863.79366*100)</f>
        <v>1.1212248634659713E-3</v>
      </c>
      <c r="G109" s="19">
        <f>IF(OR(2819533.73145="",144.29552="",25.64=""),"-",(144.29552-25.64)/2819533.73145*100)</f>
        <v>4.2083383744084208E-3</v>
      </c>
    </row>
    <row r="110" spans="1:7" x14ac:dyDescent="0.25">
      <c r="A110" s="37" t="s">
        <v>332</v>
      </c>
      <c r="B110" s="14">
        <v>142.4144</v>
      </c>
      <c r="C110" s="19">
        <f>IF(OR(363.13017="",142.4144=""),"-",142.4144/363.13017*100)</f>
        <v>39.218553501076485</v>
      </c>
      <c r="D110" s="19">
        <f>IF(363.13017="","-",363.13017/2819533.73145*100)</f>
        <v>1.2879085855562838E-2</v>
      </c>
      <c r="E110" s="19">
        <f>IF(142.4144="","-",142.4144/3985350.87503*100)</f>
        <v>3.5734469678012468E-3</v>
      </c>
      <c r="F110" s="19">
        <f>IF(OR(2248863.79366="",329.95236="",363.13017=""),"-",(363.13017-329.95236)/2248863.79366*100)</f>
        <v>1.4753143384465947E-3</v>
      </c>
      <c r="G110" s="19">
        <f>IF(OR(2819533.73145="",142.4144="",363.13017=""),"-",(142.4144-363.13017)/2819533.73145*100)</f>
        <v>-7.8280946788493507E-3</v>
      </c>
    </row>
    <row r="111" spans="1:7" x14ac:dyDescent="0.25">
      <c r="A111" s="37" t="s">
        <v>316</v>
      </c>
      <c r="B111" s="14">
        <v>118.09535</v>
      </c>
      <c r="C111" s="19" t="s">
        <v>197</v>
      </c>
      <c r="D111" s="19">
        <f>IF(64.96126="","-",64.96126/2819533.73145*100)</f>
        <v>2.3039717267930118E-3</v>
      </c>
      <c r="E111" s="19">
        <f>IF(118.09535="","-",118.09535/3985350.87503*100)</f>
        <v>2.9632359534494191E-3</v>
      </c>
      <c r="F111" s="19">
        <f>IF(OR(2248863.79366="",85.73571="",64.96126=""),"-",(64.96126-85.73571)/2248863.79366*100)</f>
        <v>-9.2377537752919329E-4</v>
      </c>
      <c r="G111" s="19">
        <f>IF(OR(2819533.73145="",118.09535="",64.96126=""),"-",(118.09535-64.96126)/2819533.73145*100)</f>
        <v>1.8844991782621717E-3</v>
      </c>
    </row>
    <row r="112" spans="1:7" x14ac:dyDescent="0.25">
      <c r="A112" s="37" t="s">
        <v>310</v>
      </c>
      <c r="B112" s="14">
        <v>105.76481</v>
      </c>
      <c r="C112" s="19" t="s">
        <v>319</v>
      </c>
      <c r="D112" s="19">
        <f>IF(24.63456="","-",24.63456/2819533.73145*100)</f>
        <v>8.73710419748417E-4</v>
      </c>
      <c r="E112" s="19">
        <f>IF(105.76481="","-",105.76481/3985350.87503*100)</f>
        <v>2.6538393560944329E-3</v>
      </c>
      <c r="F112" s="19" t="str">
        <f>IF(OR(2248863.79366="",""="",24.63456=""),"-",(24.63456-"")/2248863.79366*100)</f>
        <v>-</v>
      </c>
      <c r="G112" s="19">
        <f>IF(OR(2819533.73145="",105.76481="",24.63456=""),"-",(105.76481-24.63456)/2819533.73145*100)</f>
        <v>2.8774349849071388E-3</v>
      </c>
    </row>
    <row r="113" spans="1:7" x14ac:dyDescent="0.25">
      <c r="A113" s="37" t="s">
        <v>93</v>
      </c>
      <c r="B113" s="14">
        <v>87.142390000000006</v>
      </c>
      <c r="C113" s="19" t="s">
        <v>353</v>
      </c>
      <c r="D113" s="19">
        <f>IF(29.80973="","-",29.80973/2819533.73145*100)</f>
        <v>1.057257434713142E-3</v>
      </c>
      <c r="E113" s="19">
        <f>IF(87.14239="","-",87.14239/3985350.87503*100)</f>
        <v>2.1865675754169081E-3</v>
      </c>
      <c r="F113" s="19" t="str">
        <f>IF(OR(2248863.79366="",""="",29.80973=""),"-",(29.80973-"")/2248863.79366*100)</f>
        <v>-</v>
      </c>
      <c r="G113" s="19">
        <f>IF(OR(2819533.73145="",87.14239="",29.80973=""),"-",(87.14239-29.80973)/2819533.73145*100)</f>
        <v>2.0334092605629362E-3</v>
      </c>
    </row>
    <row r="114" spans="1:7" x14ac:dyDescent="0.25">
      <c r="A114" s="37" t="s">
        <v>203</v>
      </c>
      <c r="B114" s="14">
        <v>84.655280000000005</v>
      </c>
      <c r="C114" s="19">
        <f>IF(OR(2095.80486="",84.65528=""),"-",84.65528/2095.80486*100)</f>
        <v>4.0392730075070062</v>
      </c>
      <c r="D114" s="19">
        <f>IF(2095.80486="","-",2095.80486/2819533.73145*100)</f>
        <v>7.4331611522242436E-2</v>
      </c>
      <c r="E114" s="19">
        <f>IF(84.65528="","-",84.65528/3985350.87503*100)</f>
        <v>2.1241612759971291E-3</v>
      </c>
      <c r="F114" s="19">
        <f>IF(OR(2248863.79366="",15.83932="",2095.80486=""),"-",(2095.80486-15.83932)/2248863.79366*100)</f>
        <v>9.2489618351446728E-2</v>
      </c>
      <c r="G114" s="19">
        <f>IF(OR(2819533.73145="",84.65528="",2095.80486=""),"-",(84.65528-2095.80486)/2819533.73145*100)</f>
        <v>-7.132915480197953E-2</v>
      </c>
    </row>
    <row r="115" spans="1:7" x14ac:dyDescent="0.25">
      <c r="A115" s="37" t="s">
        <v>90</v>
      </c>
      <c r="B115" s="14">
        <v>75.636290000000002</v>
      </c>
      <c r="C115" s="19">
        <f>IF(OR(50.39944="",75.63629=""),"-",75.63629/50.39944*100)</f>
        <v>150.07367145349235</v>
      </c>
      <c r="D115" s="19">
        <f>IF(50.39944="","-",50.39944/2819533.73145*100)</f>
        <v>1.7875097374373708E-3</v>
      </c>
      <c r="E115" s="19">
        <f>IF(75.63629="","-",75.63629/3985350.87503*100)</f>
        <v>1.8978577387977324E-3</v>
      </c>
      <c r="F115" s="19">
        <f>IF(OR(2248863.79366="",116.12427="",50.39944=""),"-",(50.39944-116.12427)/2248863.79366*100)</f>
        <v>-2.9225794014422542E-3</v>
      </c>
      <c r="G115" s="19">
        <f>IF(OR(2819533.73145="",75.63629="",50.39944=""),"-",(75.63629-50.39944)/2819533.73145*100)</f>
        <v>8.9507175312357294E-4</v>
      </c>
    </row>
    <row r="116" spans="1:7" x14ac:dyDescent="0.25">
      <c r="A116" s="37" t="s">
        <v>325</v>
      </c>
      <c r="B116" s="14">
        <v>72.69</v>
      </c>
      <c r="C116" s="19" t="s">
        <v>197</v>
      </c>
      <c r="D116" s="19">
        <f>IF(39.46925="","-",39.46925/2819533.73145*100)</f>
        <v>1.3998502504065512E-3</v>
      </c>
      <c r="E116" s="19">
        <f>IF(72.69="","-",72.69/3985350.87503*100)</f>
        <v>1.823929743687946E-3</v>
      </c>
      <c r="F116" s="19" t="str">
        <f>IF(OR(2248863.79366="",""="",39.46925=""),"-",(39.46925-"")/2248863.79366*100)</f>
        <v>-</v>
      </c>
      <c r="G116" s="19">
        <f>IF(OR(2819533.73145="",72.69="",39.46925=""),"-",(72.69-39.46925)/2819533.73145*100)</f>
        <v>1.1782355936885913E-3</v>
      </c>
    </row>
    <row r="117" spans="1:7" x14ac:dyDescent="0.25">
      <c r="A117" s="37" t="s">
        <v>71</v>
      </c>
      <c r="B117" s="14">
        <v>63.565240000000003</v>
      </c>
      <c r="C117" s="19">
        <f>IF(OR(151.18419="",63.56524=""),"-",63.56524/151.18419*100)</f>
        <v>42.044899006966276</v>
      </c>
      <c r="D117" s="19">
        <f>IF(151.18419="","-",151.18419/2819533.73145*100)</f>
        <v>5.3620280656209987E-3</v>
      </c>
      <c r="E117" s="19">
        <f>IF(63.56524="","-",63.56524/3985350.87503*100)</f>
        <v>1.5949722369055276E-3</v>
      </c>
      <c r="F117" s="19">
        <f>IF(OR(2248863.79366="",215.83129="",151.18419=""),"-",(151.18419-215.83129)/2248863.79366*100)</f>
        <v>-2.874656089988784E-3</v>
      </c>
      <c r="G117" s="19">
        <f>IF(OR(2819533.73145="",63.56524="",151.18419=""),"-",(63.56524-151.18419)/2819533.73145*100)</f>
        <v>-3.1075687807054627E-3</v>
      </c>
    </row>
    <row r="118" spans="1:7" x14ac:dyDescent="0.25">
      <c r="A118" s="38" t="s">
        <v>354</v>
      </c>
      <c r="B118" s="63">
        <v>62.633279999999999</v>
      </c>
      <c r="C118" s="23" t="s">
        <v>393</v>
      </c>
      <c r="D118" s="23">
        <f>IF(5.81="","-",5.81/2819533.73145*100)</f>
        <v>2.0606243987058437E-4</v>
      </c>
      <c r="E118" s="23">
        <f>IF(62.63328="","-",62.63328/3985350.87503*100)</f>
        <v>1.5715875957729448E-3</v>
      </c>
      <c r="F118" s="23">
        <f>IF(OR(2248863.79366="",2.9="",5.81=""),"-",(5.81-2.9)/2248863.79366*100)</f>
        <v>1.2939867715438684E-4</v>
      </c>
      <c r="G118" s="23">
        <f>IF(OR(2819533.73145="",62.63328="",5.81=""),"-",(62.63328-5.81)/2819533.73145*100)</f>
        <v>2.0153431528828532E-3</v>
      </c>
    </row>
    <row r="119" spans="1:7" x14ac:dyDescent="0.25">
      <c r="A119" s="24" t="s">
        <v>281</v>
      </c>
      <c r="B119" s="25"/>
      <c r="C119" s="59"/>
      <c r="D119" s="25"/>
      <c r="E119" s="25"/>
    </row>
    <row r="120" spans="1:7" x14ac:dyDescent="0.25">
      <c r="A120" s="78" t="s">
        <v>296</v>
      </c>
      <c r="B120" s="78"/>
      <c r="C120" s="78"/>
      <c r="D120" s="78"/>
      <c r="E120" s="78"/>
    </row>
  </sheetData>
  <mergeCells count="10">
    <mergeCell ref="A120:E120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26"/>
  <sheetViews>
    <sheetView zoomScaleNormal="100" workbookViewId="0">
      <selection activeCell="C11" sqref="C11"/>
    </sheetView>
  </sheetViews>
  <sheetFormatPr defaultRowHeight="15.75" x14ac:dyDescent="0.25"/>
  <cols>
    <col min="1" max="1" width="30.5" customWidth="1"/>
    <col min="2" max="2" width="11.75" customWidth="1"/>
    <col min="3" max="3" width="10.25" customWidth="1"/>
    <col min="4" max="5" width="8.875" customWidth="1"/>
    <col min="6" max="6" width="9.625" customWidth="1"/>
    <col min="7" max="7" width="10.125" customWidth="1"/>
  </cols>
  <sheetData>
    <row r="1" spans="1:7" x14ac:dyDescent="0.25">
      <c r="A1" s="92" t="s">
        <v>295</v>
      </c>
      <c r="B1" s="92"/>
      <c r="C1" s="92"/>
      <c r="D1" s="92"/>
      <c r="E1" s="92"/>
      <c r="F1" s="92"/>
      <c r="G1" s="92"/>
    </row>
    <row r="2" spans="1:7" x14ac:dyDescent="0.25">
      <c r="A2" s="1"/>
    </row>
    <row r="3" spans="1:7" ht="55.5" customHeight="1" x14ac:dyDescent="0.25">
      <c r="A3" s="80"/>
      <c r="B3" s="83" t="s">
        <v>380</v>
      </c>
      <c r="C3" s="84"/>
      <c r="D3" s="83" t="s">
        <v>104</v>
      </c>
      <c r="E3" s="84"/>
      <c r="F3" s="85" t="s">
        <v>114</v>
      </c>
      <c r="G3" s="86"/>
    </row>
    <row r="4" spans="1:7" ht="21" customHeight="1" x14ac:dyDescent="0.25">
      <c r="A4" s="81"/>
      <c r="B4" s="87" t="s">
        <v>95</v>
      </c>
      <c r="C4" s="93" t="s">
        <v>381</v>
      </c>
      <c r="D4" s="91" t="s">
        <v>382</v>
      </c>
      <c r="E4" s="91"/>
      <c r="F4" s="91" t="s">
        <v>384</v>
      </c>
      <c r="G4" s="83"/>
    </row>
    <row r="5" spans="1:7" ht="30" customHeight="1" x14ac:dyDescent="0.25">
      <c r="A5" s="82"/>
      <c r="B5" s="88"/>
      <c r="C5" s="94"/>
      <c r="D5" s="28" t="s">
        <v>306</v>
      </c>
      <c r="E5" s="28" t="s">
        <v>307</v>
      </c>
      <c r="F5" s="28" t="s">
        <v>306</v>
      </c>
      <c r="G5" s="29" t="s">
        <v>307</v>
      </c>
    </row>
    <row r="6" spans="1:7" s="56" customFormat="1" ht="14.25" x14ac:dyDescent="0.2">
      <c r="A6" s="61" t="s">
        <v>117</v>
      </c>
      <c r="B6" s="67">
        <v>8346249.7198099997</v>
      </c>
      <c r="C6" s="58">
        <f>IF(6422564.27315="","-",8346249.71981/6422564.27315*100)</f>
        <v>129.95198436085892</v>
      </c>
      <c r="D6" s="58">
        <v>100</v>
      </c>
      <c r="E6" s="58">
        <v>100</v>
      </c>
      <c r="F6" s="58">
        <f>IF(4848686.17434="","-",(6422564.27315-4848686.17434)/4848686.17434*100)</f>
        <v>32.459887941174799</v>
      </c>
      <c r="G6" s="58">
        <f>IF(6422564.27315="","-",(8346249.71981-6422564.27315)/6422564.27315*100)</f>
        <v>29.951984360858912</v>
      </c>
    </row>
    <row r="7" spans="1:7" s="2" customFormat="1" ht="15" x14ac:dyDescent="0.25">
      <c r="A7" s="22" t="s">
        <v>120</v>
      </c>
      <c r="B7" s="57"/>
      <c r="C7" s="35"/>
      <c r="D7" s="35"/>
      <c r="E7" s="35"/>
      <c r="F7" s="35"/>
      <c r="G7" s="35"/>
    </row>
    <row r="8" spans="1:7" ht="16.5" customHeight="1" x14ac:dyDescent="0.25">
      <c r="A8" s="36" t="s">
        <v>132</v>
      </c>
      <c r="B8" s="13">
        <v>3890527.9499499998</v>
      </c>
      <c r="C8" s="21">
        <f>IF(2854858.17268="","-",3890527.94995/2854858.17268*100)</f>
        <v>136.27745108954971</v>
      </c>
      <c r="D8" s="21">
        <f>IF(2854858.17268="","-",2854858.17268/6422564.27315*100)</f>
        <v>44.450441463309964</v>
      </c>
      <c r="E8" s="21">
        <f>IF(3890527.94995="","-",3890527.94995/8346249.71981*100)</f>
        <v>46.614085134737223</v>
      </c>
      <c r="F8" s="21">
        <f>IF(4848686.17434="","-",(2854858.17268-2223151.28718)/4848686.17434*100)</f>
        <v>13.028413528660417</v>
      </c>
      <c r="G8" s="21">
        <f>IF(6422564.27315="","-",(3890527.94995-2854858.17268)/6422564.27315*100)</f>
        <v>16.125487160941205</v>
      </c>
    </row>
    <row r="9" spans="1:7" x14ac:dyDescent="0.25">
      <c r="A9" s="37" t="s">
        <v>2</v>
      </c>
      <c r="B9" s="14">
        <v>1500391.1650700001</v>
      </c>
      <c r="C9" s="19" t="s">
        <v>18</v>
      </c>
      <c r="D9" s="19">
        <f>IF(756088.79237="","-",756088.79237/6422564.27315*100)</f>
        <v>11.77238187449341</v>
      </c>
      <c r="E9" s="19">
        <f>IF(1500391.16507="","-",1500391.16507/8346249.71981*100)</f>
        <v>17.97683049799948</v>
      </c>
      <c r="F9" s="19">
        <f>IF(OR(4848686.17434="",568670.79495="",756088.79237=""),"-",(756088.79237-568670.79495)/4848686.17434*100)</f>
        <v>3.8653356946845756</v>
      </c>
      <c r="G9" s="19">
        <f>IF(OR(6422564.27315="",1500391.16507="",756088.79237=""),"-",(1500391.16507-756088.79237)/6422564.27315*100)</f>
        <v>11.588866082844989</v>
      </c>
    </row>
    <row r="10" spans="1:7" s="6" customFormat="1" x14ac:dyDescent="0.25">
      <c r="A10" s="37" t="s">
        <v>4</v>
      </c>
      <c r="B10" s="62">
        <v>527443.67301999999</v>
      </c>
      <c r="C10" s="19">
        <f>IF(OR(493417.18887="",527443.67302=""),"-",527443.67302/493417.18887*100)</f>
        <v>106.89608812127641</v>
      </c>
      <c r="D10" s="19">
        <f>IF(493417.18887="","-",493417.18887/6422564.27315*100)</f>
        <v>7.682557431659605</v>
      </c>
      <c r="E10" s="19">
        <f>IF(527443.67302="","-",527443.67302/8346249.71981*100)</f>
        <v>6.3195290187412114</v>
      </c>
      <c r="F10" s="19">
        <f>IF(OR(4848686.17434="",409551.66503="",493417.18887=""),"-",(493417.18887-409551.66503)/4848686.17434*100)</f>
        <v>1.7296546079601811</v>
      </c>
      <c r="G10" s="19">
        <f>IF(OR(6422564.27315="",527443.67302="",493417.18887=""),"-",(527443.67302-493417.18887)/6422564.27315*100)</f>
        <v>0.5297959304549148</v>
      </c>
    </row>
    <row r="11" spans="1:7" s="6" customFormat="1" x14ac:dyDescent="0.25">
      <c r="A11" s="37" t="s">
        <v>3</v>
      </c>
      <c r="B11" s="14">
        <v>397895.74436999997</v>
      </c>
      <c r="C11" s="19">
        <f>IF(OR(406619.00632="",397895.74437=""),"-",397895.74437/406619.00632*100)</f>
        <v>97.85468416025418</v>
      </c>
      <c r="D11" s="19">
        <f>IF(406619.00632="","-",406619.00632/6422564.27315*100)</f>
        <v>6.3311006169280466</v>
      </c>
      <c r="E11" s="19">
        <f>IF(397895.74437="","-",397895.74437/8346249.71981*100)</f>
        <v>4.7673596852198896</v>
      </c>
      <c r="F11" s="19">
        <f>IF(OR(4848686.17434="",312133.697="",406619.00632=""),"-",(406619.00632-312133.697)/4848686.17434*100)</f>
        <v>1.9486785888521909</v>
      </c>
      <c r="G11" s="19">
        <f>IF(OR(6422564.27315="",397895.74437="",406619.00632=""),"-",(397895.74437-406619.00632)/6422564.27315*100)</f>
        <v>-0.1358221043652027</v>
      </c>
    </row>
    <row r="12" spans="1:7" s="6" customFormat="1" x14ac:dyDescent="0.25">
      <c r="A12" s="37" t="s">
        <v>5</v>
      </c>
      <c r="B12" s="14">
        <v>277762.53842</v>
      </c>
      <c r="C12" s="19">
        <f>IF(OR(236897.77291="",277762.53842=""),"-",277762.53842/236897.77291*100)</f>
        <v>117.24995765389696</v>
      </c>
      <c r="D12" s="19">
        <f>IF(236897.77291="","-",236897.77291/6422564.27315*100)</f>
        <v>3.6885231947053994</v>
      </c>
      <c r="E12" s="19">
        <f>IF(277762.53842="","-",277762.53842/8346249.71981*100)</f>
        <v>3.3279921850495886</v>
      </c>
      <c r="F12" s="19">
        <f>IF(OR(4848686.17434="",195946.36311="",236897.77291=""),"-",(236897.77291-195946.36311)/4848686.17434*100)</f>
        <v>0.84458775692106469</v>
      </c>
      <c r="G12" s="19">
        <f>IF(OR(6422564.27315="",277762.53842="",236897.77291=""),"-",(277762.53842-236897.77291)/6422564.27315*100)</f>
        <v>0.636268689140849</v>
      </c>
    </row>
    <row r="13" spans="1:7" s="6" customFormat="1" x14ac:dyDescent="0.25">
      <c r="A13" s="37" t="s">
        <v>40</v>
      </c>
      <c r="B13" s="14">
        <v>164555.18976000001</v>
      </c>
      <c r="C13" s="19">
        <f>IF(OR(111888.40104="",164555.18976=""),"-",164555.18976/111888.40104*100)</f>
        <v>147.07082077361324</v>
      </c>
      <c r="D13" s="19">
        <f>IF(111888.40104="","-",111888.40104/6422564.27315*100)</f>
        <v>1.7421141506945699</v>
      </c>
      <c r="E13" s="19">
        <f>IF(164555.18976="","-",164555.18976/8346249.71981*100)</f>
        <v>1.9716063535629036</v>
      </c>
      <c r="F13" s="19">
        <f>IF(OR(4848686.17434="",92228.8933="",111888.40104=""),"-",(111888.40104-92228.8933)/4848686.17434*100)</f>
        <v>0.40546051101515224</v>
      </c>
      <c r="G13" s="19">
        <f>IF(OR(6422564.27315="",164555.18976="",111888.40104=""),"-",(164555.18976-111888.40104)/6422564.27315*100)</f>
        <v>0.82002742954519547</v>
      </c>
    </row>
    <row r="14" spans="1:7" s="6" customFormat="1" x14ac:dyDescent="0.25">
      <c r="A14" s="37" t="s">
        <v>298</v>
      </c>
      <c r="B14" s="14">
        <v>164235.3365</v>
      </c>
      <c r="C14" s="19">
        <f>IF(OR(153877.7323="",164235.3365=""),"-",164235.3365/153877.7323*100)</f>
        <v>106.73106111273256</v>
      </c>
      <c r="D14" s="19">
        <f>IF(153877.7323="","-",153877.7323/6422564.27315*100)</f>
        <v>2.3958924466244289</v>
      </c>
      <c r="E14" s="19">
        <f>IF(164235.3365="","-",164235.3365/8346249.71981*100)</f>
        <v>1.967774054377788</v>
      </c>
      <c r="F14" s="19">
        <f>IF(OR(4848686.17434="",108097.69151="",153877.7323=""),"-",(153877.7323-108097.69151)/4848686.17434*100)</f>
        <v>0.94417413591902644</v>
      </c>
      <c r="G14" s="19">
        <f>IF(OR(6422564.27315="",164235.3365="",153877.7323=""),"-",(164235.3365-153877.7323)/6422564.27315*100)</f>
        <v>0.16126898477763352</v>
      </c>
    </row>
    <row r="15" spans="1:7" s="6" customFormat="1" x14ac:dyDescent="0.25">
      <c r="A15" s="37" t="s">
        <v>6</v>
      </c>
      <c r="B15" s="14">
        <v>132751.14004</v>
      </c>
      <c r="C15" s="19" t="s">
        <v>197</v>
      </c>
      <c r="D15" s="19">
        <f>IF(72441.56019="","-",72441.56019/6422564.27315*100)</f>
        <v>1.1279226973694487</v>
      </c>
      <c r="E15" s="19">
        <f>IF(132751.14004="","-",132751.14004/8346249.71981*100)</f>
        <v>1.5905483839635466</v>
      </c>
      <c r="F15" s="19">
        <f>IF(OR(4848686.17434="",58133.48854="",72441.56019=""),"-",(72441.56019-58133.48854)/4848686.17434*100)</f>
        <v>0.29509172455253013</v>
      </c>
      <c r="G15" s="19">
        <f>IF(OR(6422564.27315="",132751.14004="",72441.56019=""),"-",(132751.14004-72441.56019)/6422564.27315*100)</f>
        <v>0.93902648981075365</v>
      </c>
    </row>
    <row r="16" spans="1:7" s="6" customFormat="1" x14ac:dyDescent="0.25">
      <c r="A16" s="37" t="s">
        <v>308</v>
      </c>
      <c r="B16" s="14">
        <v>126984.34109</v>
      </c>
      <c r="C16" s="19">
        <f>IF(OR(104992.28567="",126984.34109=""),"-",126984.34109/104992.28567*100)</f>
        <v>120.94635361032427</v>
      </c>
      <c r="D16" s="19">
        <f>IF(104992.28567="","-",104992.28567/6422564.27315*100)</f>
        <v>1.6347409104012853</v>
      </c>
      <c r="E16" s="19">
        <f>IF(126984.34109="","-",126984.34109/8346249.71981*100)</f>
        <v>1.5214538907049473</v>
      </c>
      <c r="F16" s="19">
        <f>IF(OR(4848686.17434="",86029.88099="",104992.28567=""),"-",(104992.28567-86029.88099)/4848686.17434*100)</f>
        <v>0.39108335739178135</v>
      </c>
      <c r="G16" s="19">
        <f>IF(OR(6422564.27315="",126984.34109="",104992.28567=""),"-",(126984.34109-104992.28567)/6422564.27315*100)</f>
        <v>0.34241861170528726</v>
      </c>
    </row>
    <row r="17" spans="1:7" s="6" customFormat="1" x14ac:dyDescent="0.25">
      <c r="A17" s="37" t="s">
        <v>38</v>
      </c>
      <c r="B17" s="14">
        <v>96595.214519999994</v>
      </c>
      <c r="C17" s="19">
        <f>IF(OR(83938.71588="",96595.21452=""),"-",96595.21452/83938.71588*100)</f>
        <v>115.07826097565503</v>
      </c>
      <c r="D17" s="19">
        <f>IF(83938.71588="","-",83938.71588/6422564.27315*100)</f>
        <v>1.3069346184811566</v>
      </c>
      <c r="E17" s="19">
        <f>IF(96595.21452="","-",96595.21452/8346249.71981*100)</f>
        <v>1.1573487226332231</v>
      </c>
      <c r="F17" s="19">
        <f>IF(OR(4848686.17434="",70811.17289="",83938.71588=""),"-",(83938.71588-70811.17289)/4848686.17434*100)</f>
        <v>0.27074433192795599</v>
      </c>
      <c r="G17" s="19">
        <f>IF(OR(6422564.27315="",96595.21452="",83938.71588=""),"-",(96595.21452-83938.71588)/6422564.27315*100)</f>
        <v>0.19706301255577016</v>
      </c>
    </row>
    <row r="18" spans="1:7" s="6" customFormat="1" x14ac:dyDescent="0.25">
      <c r="A18" s="37" t="s">
        <v>331</v>
      </c>
      <c r="B18" s="14">
        <v>79956.18028</v>
      </c>
      <c r="C18" s="19">
        <f>IF(OR(66855.92103="",79956.18028=""),"-",79956.18028/66855.92103*100)</f>
        <v>119.59476295917241</v>
      </c>
      <c r="D18" s="19">
        <f>IF(66855.92103="","-",66855.92103/6422564.27315*100)</f>
        <v>1.0409537092450138</v>
      </c>
      <c r="E18" s="19">
        <f>IF(79956.18028="","-",79956.18028/8346249.71981*100)</f>
        <v>0.95798931213647154</v>
      </c>
      <c r="F18" s="19">
        <f>IF(OR(4848686.17434="",52673.04271="",66855.92103=""),"-",(66855.92103-52673.04271)/4848686.17434*100)</f>
        <v>0.29250971933506414</v>
      </c>
      <c r="G18" s="19">
        <f>IF(OR(6422564.27315="",79956.18028="",66855.92103=""),"-",(79956.18028-66855.92103)/6422564.27315*100)</f>
        <v>0.20397241184127338</v>
      </c>
    </row>
    <row r="19" spans="1:7" s="6" customFormat="1" x14ac:dyDescent="0.25">
      <c r="A19" s="37" t="s">
        <v>7</v>
      </c>
      <c r="B19" s="62">
        <v>75733.787190000003</v>
      </c>
      <c r="C19" s="19">
        <f>IF(OR(91109.33337="",75733.78719=""),"-",75733.78719/91109.33337*100)</f>
        <v>83.124071254523329</v>
      </c>
      <c r="D19" s="19">
        <f>IF(91109.33337="","-",91109.33337/6422564.27315*100)</f>
        <v>1.4185818856011956</v>
      </c>
      <c r="E19" s="19">
        <f>IF(75733.78719="","-",75733.78719/8346249.71981*100)</f>
        <v>0.90739900832638942</v>
      </c>
      <c r="F19" s="19">
        <f>IF(OR(4848686.17434="",57413.38979="",91109.33337=""),"-",(91109.33337-57413.38979)/4848686.17434*100)</f>
        <v>0.69494997961146987</v>
      </c>
      <c r="G19" s="19">
        <f>IF(OR(6422564.27315="",75733.78719="",91109.33337=""),"-",(75733.78719-91109.33337)/6422564.27315*100)</f>
        <v>-0.23939886821029704</v>
      </c>
    </row>
    <row r="20" spans="1:7" s="6" customFormat="1" ht="15.75" customHeight="1" x14ac:dyDescent="0.25">
      <c r="A20" s="37" t="s">
        <v>8</v>
      </c>
      <c r="B20" s="62">
        <v>61892.527909999997</v>
      </c>
      <c r="C20" s="19">
        <f>IF(OR(39257.11899="",61892.52791=""),"-",61892.52791/39257.11899*100)</f>
        <v>157.65937364320069</v>
      </c>
      <c r="D20" s="19">
        <f>IF(39257.11899="","-",39257.11899/6422564.27315*100)</f>
        <v>0.61123746404714485</v>
      </c>
      <c r="E20" s="19">
        <f>IF(61892.52791="","-",61892.52791/8346249.71981*100)</f>
        <v>0.74156094039574183</v>
      </c>
      <c r="F20" s="19">
        <f>IF(OR(4848686.17434="",21690.11141="",39257.11899=""),"-",(39257.11899-21690.11141)/4848686.17434*100)</f>
        <v>0.36230448720247826</v>
      </c>
      <c r="G20" s="19">
        <f>IF(OR(6422564.27315="",61892.52791="",39257.11899=""),"-",(61892.52791-39257.11899)/6422564.27315*100)</f>
        <v>0.35243569324216772</v>
      </c>
    </row>
    <row r="21" spans="1:7" s="6" customFormat="1" x14ac:dyDescent="0.25">
      <c r="A21" s="37" t="s">
        <v>42</v>
      </c>
      <c r="B21" s="62">
        <v>56832.031840000003</v>
      </c>
      <c r="C21" s="19">
        <f>IF(OR(35837.25613="",56832.03184=""),"-",56832.03184/35837.25613*100)</f>
        <v>158.58365839684055</v>
      </c>
      <c r="D21" s="19">
        <f>IF(35837.25613="","-",35837.25613/6422564.27315*100)</f>
        <v>0.5579898402857606</v>
      </c>
      <c r="E21" s="19">
        <f>IF(56832.03184="","-",56832.03184/8346249.71981*100)</f>
        <v>0.68092896507886624</v>
      </c>
      <c r="F21" s="19">
        <f>IF(OR(4848686.17434="",27576.27149="",35837.25613=""),"-",(35837.25613-27576.27149)/4848686.17434*100)</f>
        <v>0.17037573361044514</v>
      </c>
      <c r="G21" s="19">
        <f>IF(OR(6422564.27315="",56832.03184="",35837.25613=""),"-",(56832.03184-35837.25613)/6422564.27315*100)</f>
        <v>0.32689086192208611</v>
      </c>
    </row>
    <row r="22" spans="1:7" s="6" customFormat="1" x14ac:dyDescent="0.25">
      <c r="A22" s="37" t="s">
        <v>39</v>
      </c>
      <c r="B22" s="14">
        <v>48805.269509999998</v>
      </c>
      <c r="C22" s="19">
        <f>IF(OR(46967.5359="",48805.26951=""),"-",48805.26951/46967.5359*100)</f>
        <v>103.91277416365374</v>
      </c>
      <c r="D22" s="19">
        <f>IF(46967.5359="","-",46967.5359/6422564.27315*100)</f>
        <v>0.73128946480693424</v>
      </c>
      <c r="E22" s="19">
        <f>IF(48805.26951="","-",48805.26951/8346249.71981*100)</f>
        <v>0.58475688061620845</v>
      </c>
      <c r="F22" s="19">
        <f>IF(OR(4848686.17434="",36785.42588="",46967.5359=""),"-",(46967.5359-36785.42588)/4848686.17434*100)</f>
        <v>0.20999729934853911</v>
      </c>
      <c r="G22" s="19">
        <f>IF(OR(6422564.27315="",48805.26951="",46967.5359=""),"-",(48805.26951-46967.5359)/6422564.27315*100)</f>
        <v>2.8613705240487446E-2</v>
      </c>
    </row>
    <row r="23" spans="1:7" s="6" customFormat="1" x14ac:dyDescent="0.25">
      <c r="A23" s="74" t="s">
        <v>48</v>
      </c>
      <c r="B23" s="62">
        <v>31694.480960000001</v>
      </c>
      <c r="C23" s="19">
        <f>IF(OR(23771.17381="",31694.48096=""),"-",31694.48096/23771.17381*100)</f>
        <v>133.33157720073058</v>
      </c>
      <c r="D23" s="19">
        <f>IF(23771.17381="","-",23771.17381/6422564.27315*100)</f>
        <v>0.37011967181670929</v>
      </c>
      <c r="E23" s="19">
        <f>IF(31694.48096="","-",31694.48096/8346249.71981*100)</f>
        <v>0.37974517926024287</v>
      </c>
      <c r="F23" s="19">
        <f>IF(OR(4848686.17434="",18963.49249="",23771.17381=""),"-",(23771.17381-18963.49249)/4848686.17434*100)</f>
        <v>9.9154309995210577E-2</v>
      </c>
      <c r="G23" s="19">
        <f>IF(OR(6422564.27315="",31694.48096="",23771.17381=""),"-",(31694.48096-23771.17381)/6422564.27315*100)</f>
        <v>0.12336672414667714</v>
      </c>
    </row>
    <row r="24" spans="1:7" s="6" customFormat="1" x14ac:dyDescent="0.25">
      <c r="A24" s="37" t="s">
        <v>50</v>
      </c>
      <c r="B24" s="14">
        <v>26304.62516</v>
      </c>
      <c r="C24" s="19">
        <f>IF(OR(27497.8201="",26304.62516=""),"-",26304.62516/27497.8201*100)</f>
        <v>95.660765341904323</v>
      </c>
      <c r="D24" s="19">
        <f>IF(27497.8201="","-",27497.8201/6422564.27315*100)</f>
        <v>0.42814394579057236</v>
      </c>
      <c r="E24" s="19">
        <f>IF(26304.62516="","-",26304.62516/8346249.71981*100)</f>
        <v>0.31516700366112244</v>
      </c>
      <c r="F24" s="19">
        <f>IF(OR(4848686.17434="",23945.07653="",27497.8201=""),"-",(27497.8201-23945.07653)/4848686.17434*100)</f>
        <v>7.3272293612271153E-2</v>
      </c>
      <c r="G24" s="19">
        <f>IF(OR(6422564.27315="",26304.62516="",27497.8201=""),"-",(26304.62516-27497.8201)/6422564.27315*100)</f>
        <v>-1.857817048228291E-2</v>
      </c>
    </row>
    <row r="25" spans="1:7" s="6" customFormat="1" x14ac:dyDescent="0.25">
      <c r="A25" s="37" t="s">
        <v>49</v>
      </c>
      <c r="B25" s="14">
        <v>24231.924490000001</v>
      </c>
      <c r="C25" s="19">
        <f>IF(OR(24190.08324="",24231.92449=""),"-",24231.92449/24190.08324*100)</f>
        <v>100.17296860694887</v>
      </c>
      <c r="D25" s="19">
        <f>IF(24190.08324="","-",24190.08324/6422564.27315*100)</f>
        <v>0.37664213562063387</v>
      </c>
      <c r="E25" s="19">
        <f>IF(24231.92449="","-",24231.92449/8346249.71981*100)</f>
        <v>0.29033308735640889</v>
      </c>
      <c r="F25" s="19">
        <f>IF(OR(4848686.17434="",18326.89735="",24190.08324=""),"-",(24190.08324-18326.89735)/4848686.17434*100)</f>
        <v>0.12092318783238416</v>
      </c>
      <c r="G25" s="19">
        <f>IF(OR(6422564.27315="",24231.92449="",24190.08324=""),"-",(24231.92449-24190.08324)/6422564.27315*100)</f>
        <v>6.5147265516550328E-4</v>
      </c>
    </row>
    <row r="26" spans="1:7" s="6" customFormat="1" x14ac:dyDescent="0.25">
      <c r="A26" s="37" t="s">
        <v>47</v>
      </c>
      <c r="B26" s="14">
        <v>18871.311529999999</v>
      </c>
      <c r="C26" s="19">
        <f>IF(OR(13610.04807="",18871.31153=""),"-",18871.31153/13610.04807*100)</f>
        <v>138.65719968761286</v>
      </c>
      <c r="D26" s="19">
        <f>IF(13610.04807="","-",13610.04807/6422564.27315*100)</f>
        <v>0.21190987728838784</v>
      </c>
      <c r="E26" s="19">
        <f>IF(18871.31153="","-",18871.31153/8346249.71981*100)</f>
        <v>0.226105282773993</v>
      </c>
      <c r="F26" s="19">
        <f>IF(OR(4848686.17434="",10956.95425="",13610.04807=""),"-",(13610.04807-10956.95425)/4848686.17434*100)</f>
        <v>5.471778796575006E-2</v>
      </c>
      <c r="G26" s="19">
        <f>IF(OR(6422564.27315="",18871.31153="",13610.04807=""),"-",(18871.31153-13610.04807)/6422564.27315*100)</f>
        <v>8.1918424421147412E-2</v>
      </c>
    </row>
    <row r="27" spans="1:7" s="6" customFormat="1" x14ac:dyDescent="0.25">
      <c r="A27" s="37" t="s">
        <v>46</v>
      </c>
      <c r="B27" s="14">
        <v>18341.52735</v>
      </c>
      <c r="C27" s="19">
        <f>IF(OR(14981.17717="",18341.52735=""),"-",18341.52735/14981.17717*100)</f>
        <v>122.43048154272644</v>
      </c>
      <c r="D27" s="19">
        <f>IF(14981.17717="","-",14981.17717/6422564.27315*100)</f>
        <v>0.23325850132212625</v>
      </c>
      <c r="E27" s="19">
        <f>IF(18341.52735="","-",18341.52735/8346249.71981*100)</f>
        <v>0.21975771113660783</v>
      </c>
      <c r="F27" s="19">
        <f>IF(OR(4848686.17434="",12360.86819="",14981.17717=""),"-",(14981.17717-12360.86819)/4848686.17434*100)</f>
        <v>5.404162871722E-2</v>
      </c>
      <c r="G27" s="19">
        <f>IF(OR(6422564.27315="",18341.52735="",14981.17717=""),"-",(18341.52735-14981.17717)/6422564.27315*100)</f>
        <v>5.2321005085899874E-2</v>
      </c>
    </row>
    <row r="28" spans="1:7" s="6" customFormat="1" x14ac:dyDescent="0.25">
      <c r="A28" s="37" t="s">
        <v>43</v>
      </c>
      <c r="B28" s="14">
        <v>17095.32547</v>
      </c>
      <c r="C28" s="19">
        <f>IF(OR(13797.67468="",17095.32547=""),"-",17095.32547/13797.67468*100)</f>
        <v>123.90004741001763</v>
      </c>
      <c r="D28" s="19">
        <f>IF(13797.67468="","-",13797.67468/6422564.27315*100)</f>
        <v>0.21483124330389639</v>
      </c>
      <c r="E28" s="19">
        <f>IF(17095.32547="","-",17095.32547/8346249.71981*100)</f>
        <v>0.20482643155792335</v>
      </c>
      <c r="F28" s="19">
        <f>IF(OR(4848686.17434="",10952.05552="",13797.67468=""),"-",(13797.67468-10952.05552)/4848686.17434*100)</f>
        <v>5.8688458227291726E-2</v>
      </c>
      <c r="G28" s="19">
        <f>IF(OR(6422564.27315="",17095.32547="",13797.67468=""),"-",(17095.32547-13797.67468)/6422564.27315*100)</f>
        <v>5.1344769001161576E-2</v>
      </c>
    </row>
    <row r="29" spans="1:7" s="6" customFormat="1" x14ac:dyDescent="0.25">
      <c r="A29" s="37" t="s">
        <v>41</v>
      </c>
      <c r="B29" s="14">
        <v>15604.591909999999</v>
      </c>
      <c r="C29" s="19">
        <f>IF(OR(13970.67117="",15604.59191=""),"-",15604.59191/13970.67117*100)</f>
        <v>111.69536323715505</v>
      </c>
      <c r="D29" s="19">
        <f>IF(13970.67117="","-",13970.67117/6422564.27315*100)</f>
        <v>0.21752481681507513</v>
      </c>
      <c r="E29" s="19">
        <f>IF(15604.59191="","-",15604.59191/8346249.71981*100)</f>
        <v>0.18696531297119198</v>
      </c>
      <c r="F29" s="19">
        <f>IF(OR(4848686.17434="",11984.23244="",13970.67117=""),"-",(13970.67117-11984.23244)/4848686.17434*100)</f>
        <v>4.0968597648421583E-2</v>
      </c>
      <c r="G29" s="19">
        <f>IF(OR(6422564.27315="",15604.59191="",13970.67117=""),"-",(15604.59191-13970.67117)/6422564.27315*100)</f>
        <v>2.544031745747917E-2</v>
      </c>
    </row>
    <row r="30" spans="1:7" s="6" customFormat="1" x14ac:dyDescent="0.25">
      <c r="A30" s="37" t="s">
        <v>299</v>
      </c>
      <c r="B30" s="14">
        <v>9549.36996</v>
      </c>
      <c r="C30" s="19">
        <f>IF(OR(7215.73771="",9549.36996=""),"-",9549.36996/7215.73771*100)</f>
        <v>132.34086858182098</v>
      </c>
      <c r="D30" s="19">
        <f>IF(7215.73771="","-",7215.73771/6422564.27315*100)</f>
        <v>0.1123497936823446</v>
      </c>
      <c r="E30" s="19">
        <f>IF(9549.36996="","-",9549.36996/8346249.71981*100)</f>
        <v>0.1144150999620149</v>
      </c>
      <c r="F30" s="19">
        <f>IF(OR(4848686.17434="",5750.64267="",7215.73771=""),"-",(7215.73771-5750.64267)/4848686.17434*100)</f>
        <v>3.0216330513480341E-2</v>
      </c>
      <c r="G30" s="19">
        <f>IF(OR(6422564.27315="",9549.36996="",7215.73771=""),"-",(9549.36996-7215.73771)/6422564.27315*100)</f>
        <v>3.633489912675409E-2</v>
      </c>
    </row>
    <row r="31" spans="1:7" s="6" customFormat="1" x14ac:dyDescent="0.25">
      <c r="A31" s="37" t="s">
        <v>51</v>
      </c>
      <c r="B31" s="14">
        <v>8164.8608400000003</v>
      </c>
      <c r="C31" s="19">
        <f>IF(OR(7048.41581="",8164.86084=""),"-",8164.86084/7048.41581*100)</f>
        <v>115.83965901126369</v>
      </c>
      <c r="D31" s="19">
        <f>IF(7048.41581="","-",7048.41581/6422564.27315*100)</f>
        <v>0.1097445741332075</v>
      </c>
      <c r="E31" s="19">
        <f>IF(8164.86084="","-",8164.86084/8346249.71981*100)</f>
        <v>9.7826701981136882E-2</v>
      </c>
      <c r="F31" s="19">
        <f>IF(OR(4848686.17434="",6333.39589="",7048.41581=""),"-",(7048.41581-6333.39589)/4848686.17434*100)</f>
        <v>1.4746673517127116E-2</v>
      </c>
      <c r="G31" s="19">
        <f>IF(OR(6422564.27315="",8164.86084="",7048.41581=""),"-",(8164.86084-7048.41581)/6422564.27315*100)</f>
        <v>1.7383166326063564E-2</v>
      </c>
    </row>
    <row r="32" spans="1:7" s="6" customFormat="1" x14ac:dyDescent="0.25">
      <c r="A32" s="37" t="s">
        <v>44</v>
      </c>
      <c r="B32" s="14">
        <v>5130.39012</v>
      </c>
      <c r="C32" s="19">
        <f>IF(OR(5223.20279="",5130.39012=""),"-",5130.39012/5223.20279*100)</f>
        <v>98.223069757550036</v>
      </c>
      <c r="D32" s="19">
        <f>IF(5223.20279="","-",5223.20279/6422564.27315*100)</f>
        <v>8.1325815793482706E-2</v>
      </c>
      <c r="E32" s="19">
        <f>IF(5130.39012="","-",5130.39012/8346249.71981*100)</f>
        <v>6.1469405927585784E-2</v>
      </c>
      <c r="F32" s="19">
        <f>IF(OR(4848686.17434="",3757.54725="",5223.20279=""),"-",(5223.20279-3757.54725)/4848686.17434*100)</f>
        <v>3.0227890345976127E-2</v>
      </c>
      <c r="G32" s="19">
        <f>IF(OR(6422564.27315="",5130.39012="",5223.20279=""),"-",(5130.39012-5223.20279)/6422564.27315*100)</f>
        <v>-1.4451030157535427E-3</v>
      </c>
    </row>
    <row r="33" spans="1:7" s="6" customFormat="1" x14ac:dyDescent="0.25">
      <c r="A33" s="37" t="s">
        <v>52</v>
      </c>
      <c r="B33" s="14">
        <v>2806.2930799999999</v>
      </c>
      <c r="C33" s="19">
        <f>IF(OR(2244.96561="",2806.29308=""),"-",2806.29308/2244.96561*100)</f>
        <v>125.00383380037611</v>
      </c>
      <c r="D33" s="19">
        <f>IF(2244.96561="","-",2244.96561/6422564.27315*100)</f>
        <v>3.4954350233367744E-2</v>
      </c>
      <c r="E33" s="19">
        <f>IF(2806.29308="","-",2806.29308/8346249.71981*100)</f>
        <v>3.3623401817695485E-2</v>
      </c>
      <c r="F33" s="19">
        <f>IF(OR(4848686.17434="",1228.4325="",2244.96561=""),"-",(2244.96561-1228.4325)/4848686.17434*100)</f>
        <v>2.0965124849276724E-2</v>
      </c>
      <c r="G33" s="19">
        <f>IF(OR(6422564.27315="",2806.29308="",2244.96561=""),"-",(2806.29308-2244.96561)/6422564.27315*100)</f>
        <v>8.7399276383526483E-3</v>
      </c>
    </row>
    <row r="34" spans="1:7" s="6" customFormat="1" x14ac:dyDescent="0.25">
      <c r="A34" s="37" t="s">
        <v>45</v>
      </c>
      <c r="B34" s="14">
        <v>714.08289000000002</v>
      </c>
      <c r="C34" s="19">
        <f>IF(OR(994.72213="",714.08289=""),"-",714.08289/994.72213*100)</f>
        <v>71.787172363401623</v>
      </c>
      <c r="D34" s="19">
        <f>IF(994.72213="","-",994.72213/6422564.27315*100)</f>
        <v>1.5487927994095889E-2</v>
      </c>
      <c r="E34" s="19">
        <f>IF(714.08289="","-",714.08289/8346249.71981*100)</f>
        <v>8.5557335806177616E-3</v>
      </c>
      <c r="F34" s="19">
        <f>IF(OR(4848686.17434="",580.57122="",994.72213=""),"-",(994.72213-580.57122)/4848686.17434*100)</f>
        <v>8.5415078458109094E-3</v>
      </c>
      <c r="G34" s="19">
        <f>IF(OR(6422564.27315="",714.08289="",994.72213=""),"-",(714.08289-994.72213)/6422564.27315*100)</f>
        <v>-4.3695824294547412E-3</v>
      </c>
    </row>
    <row r="35" spans="1:7" s="6" customFormat="1" x14ac:dyDescent="0.25">
      <c r="A35" s="37" t="s">
        <v>53</v>
      </c>
      <c r="B35" s="14">
        <v>46.621899999999997</v>
      </c>
      <c r="C35" s="19">
        <f>IF(OR(81.01853="",46.6219=""),"-",46.6219/81.01853*100)</f>
        <v>57.544736987945846</v>
      </c>
      <c r="D35" s="19">
        <f>IF(81.01853="","-",81.01853/6422564.27315*100)</f>
        <v>1.261467017756504E-3</v>
      </c>
      <c r="E35" s="19">
        <f>IF(46.6219="","-",46.6219/8346249.71981*100)</f>
        <v>5.5859699344176024E-4</v>
      </c>
      <c r="F35" s="19">
        <f>IF(OR(4848686.17434="",110.1994="",81.01853=""),"-",(81.01853-110.1994)/4848686.17434*100)</f>
        <v>-6.0183045366865953E-4</v>
      </c>
      <c r="G35" s="19">
        <f>IF(OR(6422564.27315="",46.6219="",81.01853=""),"-",(46.6219-81.01853)/6422564.27315*100)</f>
        <v>-5.3555914019883975E-4</v>
      </c>
    </row>
    <row r="36" spans="1:7" s="6" customFormat="1" ht="25.5" x14ac:dyDescent="0.25">
      <c r="A36" s="37" t="s">
        <v>416</v>
      </c>
      <c r="B36" s="14">
        <v>138.40477000000001</v>
      </c>
      <c r="C36" s="19" t="s">
        <v>351</v>
      </c>
      <c r="D36" s="19">
        <f>IF(42.84089="","-",42.84089/6422564.27315*100)</f>
        <v>6.6703715491177686E-4</v>
      </c>
      <c r="E36" s="19">
        <f>IF(138.40477="","-",138.40477/8346249.71981*100)</f>
        <v>1.6582869509822282E-3</v>
      </c>
      <c r="F36" s="19">
        <f>IF(OR(4848686.17434="",159.03288="",42.84089=""),"-",(42.84089-159.03288)/4848686.17434*100)</f>
        <v>-2.3963602885851026E-3</v>
      </c>
      <c r="G36" s="19">
        <f>IF(OR(6422564.27315="",138.40477="",42.84089=""),"-",(138.40477-42.84089)/6422564.27315*100)</f>
        <v>1.4879396442868125E-3</v>
      </c>
    </row>
    <row r="37" spans="1:7" s="6" customFormat="1" x14ac:dyDescent="0.25">
      <c r="A37" s="36" t="s">
        <v>198</v>
      </c>
      <c r="B37" s="13">
        <v>2058893.3990100001</v>
      </c>
      <c r="C37" s="21">
        <f>IF(1671841.81948="","-",2058893.39901/1671841.81948*100)</f>
        <v>123.15120814781307</v>
      </c>
      <c r="D37" s="21">
        <f>IF(1671841.81948="","-",1671841.81948/6422564.27315*100)</f>
        <v>26.030752646092729</v>
      </c>
      <c r="E37" s="21">
        <f>IF(2058893.39901="","-",2058893.39901/8346249.71981*100)</f>
        <v>24.668485465072692</v>
      </c>
      <c r="F37" s="21">
        <f>IF(4848686.17434="","-",(1671841.81948-1182832.08163)/4848686.17434*100)</f>
        <v>10.085407062183476</v>
      </c>
      <c r="G37" s="21">
        <f>IF(6422564.27315="","-",(2058893.39901-1671841.81948)/6422564.27315*100)</f>
        <v>6.0264337275392865</v>
      </c>
    </row>
    <row r="38" spans="1:7" s="6" customFormat="1" x14ac:dyDescent="0.25">
      <c r="A38" s="37" t="s">
        <v>300</v>
      </c>
      <c r="B38" s="14">
        <v>1104511.71331</v>
      </c>
      <c r="C38" s="19">
        <f>IF(OR(901238.11846="",1104511.71331=""),"-",1104511.71331/901238.11846*100)</f>
        <v>122.55492646020632</v>
      </c>
      <c r="D38" s="19">
        <f>IF(901238.11846="","-",901238.11846/6422564.27315*100)</f>
        <v>14.032372120084371</v>
      </c>
      <c r="E38" s="19">
        <f>IF(1104511.71331="","-",1104511.71331/8346249.71981*100)</f>
        <v>13.233628879907799</v>
      </c>
      <c r="F38" s="19">
        <f>IF(OR(4848686.17434="",530705.38639="",901238.11846=""),"-",(901238.11846-530705.38639)/4848686.17434*100)</f>
        <v>7.6419202799908295</v>
      </c>
      <c r="G38" s="19">
        <f>IF(OR(6422564.27315="",1104511.71331="",901238.11846=""),"-",(1104511.71331-901238.11846)/6422564.27315*100)</f>
        <v>3.1649912123075228</v>
      </c>
    </row>
    <row r="39" spans="1:7" s="6" customFormat="1" x14ac:dyDescent="0.25">
      <c r="A39" s="37" t="s">
        <v>10</v>
      </c>
      <c r="B39" s="14">
        <v>792224.41769999999</v>
      </c>
      <c r="C39" s="19">
        <f>IF(OR(605371.70182="",792224.4177=""),"-",792224.4177/605371.70182*100)</f>
        <v>130.86578300872716</v>
      </c>
      <c r="D39" s="19">
        <f>IF(605371.70182="","-",605371.70182/6422564.27315*100)</f>
        <v>9.4257009517335728</v>
      </c>
      <c r="E39" s="19">
        <f>IF(792224.4177="","-",792224.4177/8346249.71981*100)</f>
        <v>9.4919807613668521</v>
      </c>
      <c r="F39" s="19">
        <f>IF(OR(4848686.17434="",477936.78623="",605371.70182=""),"-",(605371.70182-477936.78623)/4848686.17434*100)</f>
        <v>2.6282360005975494</v>
      </c>
      <c r="G39" s="19">
        <f>IF(OR(6422564.27315="",792224.4177="",605371.70182=""),"-",(792224.4177-605371.70182)/6422564.27315*100)</f>
        <v>2.9093164028136158</v>
      </c>
    </row>
    <row r="40" spans="1:7" s="6" customFormat="1" x14ac:dyDescent="0.25">
      <c r="A40" s="37" t="s">
        <v>9</v>
      </c>
      <c r="B40" s="14">
        <v>88277.193950000001</v>
      </c>
      <c r="C40" s="19">
        <f>IF(OR(130432.22615="",88277.19395=""),"-",88277.19395/130432.22615*100)</f>
        <v>67.680508533588352</v>
      </c>
      <c r="D40" s="19">
        <f>IF(130432.22615="","-",130432.22615/6422564.27315*100)</f>
        <v>2.0308434544638421</v>
      </c>
      <c r="E40" s="19">
        <f>IF(88277.19395="","-",88277.19395/8346249.71981*100)</f>
        <v>1.057686948192698</v>
      </c>
      <c r="F40" s="19">
        <f>IF(OR(4848686.17434="",103266.28287="",130432.22615=""),"-",(130432.22615-103266.28287)/4848686.17434*100)</f>
        <v>0.56027431562319696</v>
      </c>
      <c r="G40" s="19">
        <f>IF(OR(6422564.27315="",88277.19395="",130432.22615=""),"-",(88277.19395-130432.22615)/6422564.27315*100)</f>
        <v>-0.65635827696162108</v>
      </c>
    </row>
    <row r="41" spans="1:7" s="6" customFormat="1" x14ac:dyDescent="0.25">
      <c r="A41" s="37" t="s">
        <v>11</v>
      </c>
      <c r="B41" s="14">
        <v>23958.84244</v>
      </c>
      <c r="C41" s="19" t="s">
        <v>99</v>
      </c>
      <c r="D41" s="19">
        <f>IF(13896.14263="","-",13896.14263/6422564.27315*100)</f>
        <v>0.21636439962296433</v>
      </c>
      <c r="E41" s="19">
        <f>IF(23958.84244="","-",23958.84244/8346249.71981*100)</f>
        <v>0.28706117411192694</v>
      </c>
      <c r="F41" s="19">
        <f>IF(OR(4848686.17434="",57120.08352="",13896.14263=""),"-",(13896.14263-57120.08352)/4848686.17434*100)</f>
        <v>-0.89145676448906508</v>
      </c>
      <c r="G41" s="19">
        <f>IF(OR(6422564.27315="",23958.84244="",13896.14263=""),"-",(23958.84244-13896.14263)/6422564.27315*100)</f>
        <v>0.15667729246506498</v>
      </c>
    </row>
    <row r="42" spans="1:7" s="6" customFormat="1" x14ac:dyDescent="0.25">
      <c r="A42" s="37" t="s">
        <v>13</v>
      </c>
      <c r="B42" s="14">
        <v>17544.267400000001</v>
      </c>
      <c r="C42" s="19">
        <f>IF(OR(11150.03909="",17544.2674=""),"-",17544.2674/11150.03909*100)</f>
        <v>157.34713805384516</v>
      </c>
      <c r="D42" s="19">
        <f>IF(11150.03909="","-",11150.03909/6422564.27315*100)</f>
        <v>0.17360727920798794</v>
      </c>
      <c r="E42" s="19">
        <f>IF(17544.2674="","-",17544.2674/8346249.71981*100)</f>
        <v>0.21020539750156664</v>
      </c>
      <c r="F42" s="19">
        <f>IF(OR(4848686.17434="",6920.62533="",11150.03909=""),"-",(11150.03909-6920.62533)/4848686.17434*100)</f>
        <v>8.7228036790310617E-2</v>
      </c>
      <c r="G42" s="19">
        <f>IF(OR(6422564.27315="",17544.2674="",11150.03909=""),"-",(17544.2674-11150.03909)/6422564.27315*100)</f>
        <v>9.9558806078929266E-2</v>
      </c>
    </row>
    <row r="43" spans="1:7" s="6" customFormat="1" x14ac:dyDescent="0.25">
      <c r="A43" s="37" t="s">
        <v>14</v>
      </c>
      <c r="B43" s="14">
        <v>13381.7835</v>
      </c>
      <c r="C43" s="19" t="s">
        <v>101</v>
      </c>
      <c r="D43" s="19">
        <f>IF(7147.77795="","-",7147.77795/6422564.27315*100)</f>
        <v>0.11129165308445116</v>
      </c>
      <c r="E43" s="19">
        <f>IF(13381.7835="","-",13381.7835/8346249.71981*100)</f>
        <v>0.16033289140915655</v>
      </c>
      <c r="F43" s="19">
        <f>IF(OR(4848686.17434="",1655.19366="",7147.77795=""),"-",(7147.77795-1655.19366)/4848686.17434*100)</f>
        <v>0.11327984721031459</v>
      </c>
      <c r="G43" s="19">
        <f>IF(OR(6422564.27315="",13381.7835="",7147.77795=""),"-",(13381.7835-7147.77795)/6422564.27315*100)</f>
        <v>9.706412088488886E-2</v>
      </c>
    </row>
    <row r="44" spans="1:7" s="6" customFormat="1" x14ac:dyDescent="0.25">
      <c r="A44" s="37" t="s">
        <v>12</v>
      </c>
      <c r="B44" s="14">
        <v>10912.732249999999</v>
      </c>
      <c r="C44" s="19" t="s">
        <v>374</v>
      </c>
      <c r="D44" s="19">
        <f>IF(1371.62443="","-",1371.62443/6422564.27315*100)</f>
        <v>2.1356336373840219E-2</v>
      </c>
      <c r="E44" s="19">
        <f>IF(10912.73225="","-",10912.73225/8346249.71981*100)</f>
        <v>0.13075012869670555</v>
      </c>
      <c r="F44" s="19">
        <f>IF(OR(4848686.17434="",4156.70581="",1371.62443=""),"-",(1371.62443-4156.70581)/4848686.17434*100)</f>
        <v>-5.7439918358484068E-2</v>
      </c>
      <c r="G44" s="19">
        <f>IF(OR(6422564.27315="",10912.73225="",1371.62443=""),"-",(10912.73225-1371.62443)/6422564.27315*100)</f>
        <v>0.14855605042190545</v>
      </c>
    </row>
    <row r="45" spans="1:7" s="6" customFormat="1" x14ac:dyDescent="0.25">
      <c r="A45" s="37" t="s">
        <v>309</v>
      </c>
      <c r="B45" s="14">
        <v>5931.2299400000002</v>
      </c>
      <c r="C45" s="19" t="s">
        <v>372</v>
      </c>
      <c r="D45" s="19">
        <f>IF(387.83843="","-",387.83843/6422564.27315*100)</f>
        <v>6.0386850719639663E-3</v>
      </c>
      <c r="E45" s="19">
        <f>IF(5931.22994="","-",5931.22994/8346249.71981*100)</f>
        <v>7.1064611521532844E-2</v>
      </c>
      <c r="F45" s="19">
        <f>IF(OR(4848686.17434="",288.70215="",387.83843=""),"-",(387.83843-288.70215)/4848686.17434*100)</f>
        <v>2.044600876102161E-3</v>
      </c>
      <c r="G45" s="19">
        <f>IF(OR(6422564.27315="",5931.22994="",387.83843=""),"-",(5931.22994-387.83843)/6422564.27315*100)</f>
        <v>8.631118777860354E-2</v>
      </c>
    </row>
    <row r="46" spans="1:7" s="6" customFormat="1" x14ac:dyDescent="0.25">
      <c r="A46" s="37" t="s">
        <v>15</v>
      </c>
      <c r="B46" s="14">
        <v>2149.6057700000001</v>
      </c>
      <c r="C46" s="19" t="s">
        <v>342</v>
      </c>
      <c r="D46" s="19">
        <f>IF(831.30978="","-",831.30978/6422564.27315*100)</f>
        <v>1.2943580548899315E-2</v>
      </c>
      <c r="E46" s="19">
        <f>IF(2149.60577="","-",2149.60577/8346249.71981*100)</f>
        <v>2.5755349314529441E-2</v>
      </c>
      <c r="F46" s="19">
        <f>IF(OR(4848686.17434="",781.54484="",831.30978=""),"-",(831.30978-781.54484)/4848686.17434*100)</f>
        <v>1.0263592695143647E-3</v>
      </c>
      <c r="G46" s="19">
        <f>IF(OR(6422564.27315="",2149.60577="",831.30978=""),"-",(2149.60577-831.30978)/6422564.27315*100)</f>
        <v>2.0526006964402568E-2</v>
      </c>
    </row>
    <row r="47" spans="1:7" s="6" customFormat="1" x14ac:dyDescent="0.25">
      <c r="A47" s="37" t="s">
        <v>16</v>
      </c>
      <c r="B47" s="14">
        <v>1.6127499999999999</v>
      </c>
      <c r="C47" s="19">
        <f>IF(OR(15.04074="",1.61275=""),"-",1.61275/15.04074*100)</f>
        <v>10.722544236520278</v>
      </c>
      <c r="D47" s="19">
        <f>IF(15.04074="","-",15.04074/6422564.27315*100)</f>
        <v>2.3418590083837564E-4</v>
      </c>
      <c r="E47" s="19">
        <f>IF(1.61275="","-",1.61275/8346249.71981*100)</f>
        <v>1.9323049922315452E-5</v>
      </c>
      <c r="F47" s="19">
        <f>IF(OR(4848686.17434="",0.77083="",15.04074=""),"-",(15.04074-0.77083)/4848686.17434*100)</f>
        <v>2.9430467320237341E-4</v>
      </c>
      <c r="G47" s="19">
        <f>IF(OR(6422564.27315="",1.61275="",15.04074=""),"-",(1.61275-15.04074)/6422564.27315*100)</f>
        <v>-2.0907521402528727E-4</v>
      </c>
    </row>
    <row r="48" spans="1:7" s="6" customFormat="1" x14ac:dyDescent="0.25">
      <c r="A48" s="36" t="s">
        <v>133</v>
      </c>
      <c r="B48" s="13">
        <v>2396828.3708500001</v>
      </c>
      <c r="C48" s="21">
        <f>IF(1895864.28099="","-",2396828.37085/1895864.28099*100)</f>
        <v>126.42404811795926</v>
      </c>
      <c r="D48" s="21">
        <f>IF(1895864.28099="","-",1895864.28099/6422564.27315*100)</f>
        <v>29.518805890597307</v>
      </c>
      <c r="E48" s="21">
        <f>IF(2396828.37085="","-",2396828.37085/8346249.71981*100)</f>
        <v>28.717429400190092</v>
      </c>
      <c r="F48" s="21">
        <f>IF(4848686.17434="","-",(1895864.28099-1442702.80553)/4848686.17434*100)</f>
        <v>9.3460673503309195</v>
      </c>
      <c r="G48" s="21">
        <f>IF(6422564.27315="","-",(2396828.37085-1895864.28099)/6422564.27315*100)</f>
        <v>7.8000634723784241</v>
      </c>
    </row>
    <row r="49" spans="1:7" s="6" customFormat="1" x14ac:dyDescent="0.25">
      <c r="A49" s="37" t="s">
        <v>57</v>
      </c>
      <c r="B49" s="14">
        <v>855178.08921000001</v>
      </c>
      <c r="C49" s="19">
        <f>IF(OR(743417.92109="",855178.08921=""),"-",855178.08921/743417.92109*100)</f>
        <v>115.033289479508</v>
      </c>
      <c r="D49" s="19">
        <f>IF(743417.92109="","-",743417.92109/6422564.27315*100)</f>
        <v>11.57509507842394</v>
      </c>
      <c r="E49" s="19">
        <f>IF(855178.08921="","-",855178.08921/8346249.71981*100)</f>
        <v>10.246255718663878</v>
      </c>
      <c r="F49" s="19">
        <f>IF(OR(4848686.17434="",574310.37446="",743417.92109=""),"-",(743417.92109-574310.37446)/4848686.17434*100)</f>
        <v>3.48769832795002</v>
      </c>
      <c r="G49" s="19">
        <f>IF(OR(6422564.27315="",855178.08921="",743417.92109=""),"-",(855178.08921-743417.92109)/6422564.27315*100)</f>
        <v>1.7401175506677544</v>
      </c>
    </row>
    <row r="50" spans="1:7" s="6" customFormat="1" x14ac:dyDescent="0.25">
      <c r="A50" s="37" t="s">
        <v>54</v>
      </c>
      <c r="B50" s="62">
        <v>594478.95985999994</v>
      </c>
      <c r="C50" s="19">
        <f>IF(OR(484020.71881="",594478.95986=""),"-",594478.95986/484020.71881*100)</f>
        <v>122.82097372227567</v>
      </c>
      <c r="D50" s="19">
        <f>IF(484020.71881="","-",484020.71881/6422564.27315*100)</f>
        <v>7.5362534063455628</v>
      </c>
      <c r="E50" s="19">
        <f>IF(594478.95986="","-",594478.95986/8346249.71981*100)</f>
        <v>7.1227075610856883</v>
      </c>
      <c r="F50" s="19">
        <f>IF(OR(4848686.17434="",340237.77768="",484020.71881=""),"-",(484020.71881-340237.77768)/4848686.17434*100)</f>
        <v>2.9654000271438812</v>
      </c>
      <c r="G50" s="19">
        <f>IF(OR(6422564.27315="",594478.95986="",484020.71881=""),"-",(594478.95986-484020.71881)/6422564.27315*100)</f>
        <v>1.7198464095062267</v>
      </c>
    </row>
    <row r="51" spans="1:7" s="6" customFormat="1" x14ac:dyDescent="0.25">
      <c r="A51" s="37" t="s">
        <v>67</v>
      </c>
      <c r="B51" s="62">
        <v>232707.90359</v>
      </c>
      <c r="C51" s="19" t="s">
        <v>368</v>
      </c>
      <c r="D51" s="19">
        <f>IF(39887.42179="","-",39887.42179/6422564.27315*100)</f>
        <v>0.62105134481490964</v>
      </c>
      <c r="E51" s="19">
        <f>IF(232707.90359="","-",232707.90359/8346249.71981*100)</f>
        <v>2.7881732682603886</v>
      </c>
      <c r="F51" s="19">
        <f>IF(OR(4848686.17434="",36551.24822="",39887.42179=""),"-",(39887.42179-36551.24822)/4848686.17434*100)</f>
        <v>6.8805722829733698E-2</v>
      </c>
      <c r="G51" s="19">
        <f>IF(OR(6422564.27315="",232707.90359="",39887.42179=""),"-",(232707.90359-39887.42179)/6422564.27315*100)</f>
        <v>3.0022351447084796</v>
      </c>
    </row>
    <row r="52" spans="1:7" s="6" customFormat="1" x14ac:dyDescent="0.25">
      <c r="A52" s="37" t="s">
        <v>17</v>
      </c>
      <c r="B52" s="62">
        <v>122834.02187</v>
      </c>
      <c r="C52" s="19">
        <f>IF(OR(95991.96522="",122834.02187=""),"-",122834.02187/95991.96522*100)</f>
        <v>127.96281604244876</v>
      </c>
      <c r="D52" s="19">
        <f>IF(95991.96522="","-",95991.96522/6422564.27315*100)</f>
        <v>1.4946049761043487</v>
      </c>
      <c r="E52" s="19">
        <f>IF(122834.02187="","-",122834.02187/8346249.71981*100)</f>
        <v>1.4717271348645471</v>
      </c>
      <c r="F52" s="19">
        <f>IF(OR(4848686.17434="",59995.00383="",95991.96522=""),"-",(95991.96522-59995.00383)/4848686.17434*100)</f>
        <v>0.74240650138384912</v>
      </c>
      <c r="G52" s="19">
        <f>IF(OR(6422564.27315="",122834.02187="",95991.96522=""),"-",(122834.02187-95991.96522)/6422564.27315*100)</f>
        <v>0.41793364002934441</v>
      </c>
    </row>
    <row r="53" spans="1:7" s="6" customFormat="1" x14ac:dyDescent="0.25">
      <c r="A53" s="37" t="s">
        <v>73</v>
      </c>
      <c r="B53" s="62">
        <v>64626.451829999998</v>
      </c>
      <c r="C53" s="19">
        <f>IF(OR(60232.34537="",64626.45183=""),"-",64626.45183/60232.34537*100)</f>
        <v>107.29526043358852</v>
      </c>
      <c r="D53" s="19">
        <f>IF(60232.34537="","-",60232.34537/6422564.27315*100)</f>
        <v>0.93782394084876242</v>
      </c>
      <c r="E53" s="19">
        <f>IF(64626.45183="","-",64626.45183/8346249.71981*100)</f>
        <v>0.77431725624753056</v>
      </c>
      <c r="F53" s="19">
        <f>IF(OR(4848686.17434="",49189.32036="",60232.34537=""),"-",(60232.34537-49189.32036)/4848686.17434*100)</f>
        <v>0.22775293374195688</v>
      </c>
      <c r="G53" s="19">
        <f>IF(OR(6422564.27315="",64626.45183="",60232.34537=""),"-",(64626.45183-60232.34537)/6422564.27315*100)</f>
        <v>6.8416698893460345E-2</v>
      </c>
    </row>
    <row r="54" spans="1:7" s="6" customFormat="1" ht="25.5" x14ac:dyDescent="0.25">
      <c r="A54" s="37" t="s">
        <v>302</v>
      </c>
      <c r="B54" s="62">
        <v>63588.39978</v>
      </c>
      <c r="C54" s="19">
        <f>IF(OR(58065.71255="",63588.39978=""),"-",63588.39978/58065.71255*100)</f>
        <v>109.51109869743603</v>
      </c>
      <c r="D54" s="19">
        <f>IF(58065.71255="","-",58065.71255/6422564.27315*100)</f>
        <v>0.9040892403793912</v>
      </c>
      <c r="E54" s="19">
        <f>IF(63588.39978="","-",63588.39978/8346249.71981*100)</f>
        <v>0.76187990911740389</v>
      </c>
      <c r="F54" s="19">
        <f>IF(OR(4848686.17434="",44292.85465="",58065.71255=""),"-",(58065.71255-44292.85465)/4848686.17434*100)</f>
        <v>0.28405339930821044</v>
      </c>
      <c r="G54" s="19">
        <f>IF(OR(6422564.27315="",63588.39978="",58065.71255=""),"-",(63588.39978-58065.71255)/6422564.27315*100)</f>
        <v>8.5988819965383628E-2</v>
      </c>
    </row>
    <row r="55" spans="1:7" s="6" customFormat="1" x14ac:dyDescent="0.25">
      <c r="A55" s="37" t="s">
        <v>34</v>
      </c>
      <c r="B55" s="14">
        <v>56706.314539999999</v>
      </c>
      <c r="C55" s="19">
        <f>IF(OR(52095.40738="",56706.31454=""),"-",56706.31454/52095.40738*100)</f>
        <v>108.8508899188879</v>
      </c>
      <c r="D55" s="19">
        <f>IF(52095.40738="","-",52095.40738/6422564.27315*100)</f>
        <v>0.81113096209544622</v>
      </c>
      <c r="E55" s="19">
        <f>IF(56706.31454="","-",56706.31454/8346249.71981*100)</f>
        <v>0.67942269215125894</v>
      </c>
      <c r="F55" s="19">
        <f>IF(OR(4848686.17434="",39040.53231="",52095.40738=""),"-",(52095.40738-39040.53231)/4848686.17434*100)</f>
        <v>0.26924561830972726</v>
      </c>
      <c r="G55" s="19">
        <f>IF(OR(6422564.27315="",56706.31454="",52095.40738=""),"-",(56706.31454-52095.40738)/6422564.27315*100)</f>
        <v>7.1792308553084286E-2</v>
      </c>
    </row>
    <row r="56" spans="1:7" s="6" customFormat="1" x14ac:dyDescent="0.25">
      <c r="A56" s="37" t="s">
        <v>64</v>
      </c>
      <c r="B56" s="62">
        <v>37631.957159999998</v>
      </c>
      <c r="C56" s="19">
        <f>IF(OR(26922.01771="",37631.95716=""),"-",37631.95716/26922.01771*100)</f>
        <v>139.78134018544185</v>
      </c>
      <c r="D56" s="19">
        <f>IF(26922.01771="","-",26922.01771/6422564.27315*100)</f>
        <v>0.41917864212818334</v>
      </c>
      <c r="E56" s="19">
        <f>IF(37631.95716="","-",37631.95716/8346249.71981*100)</f>
        <v>0.45088462990365302</v>
      </c>
      <c r="F56" s="19">
        <f>IF(OR(4848686.17434="",31866.16451="",26922.01771=""),"-",(26922.01771-31866.16451)/4848686.17434*100)</f>
        <v>-0.10196879365311765</v>
      </c>
      <c r="G56" s="19">
        <f>IF(OR(6422564.27315="",37631.95716="",26922.01771=""),"-",(37631.95716-26922.01771)/6422564.27315*100)</f>
        <v>0.16675488160972843</v>
      </c>
    </row>
    <row r="57" spans="1:7" s="6" customFormat="1" x14ac:dyDescent="0.25">
      <c r="A57" s="37" t="s">
        <v>69</v>
      </c>
      <c r="B57" s="62">
        <v>37250.76311</v>
      </c>
      <c r="C57" s="19">
        <f>IF(OR(48009.4209="",37250.76311=""),"-",37250.76311/48009.4209*100)</f>
        <v>77.590527883247191</v>
      </c>
      <c r="D57" s="19">
        <f>IF(48009.4209="","-",48009.4209/6422564.27315*100)</f>
        <v>0.747511723638281</v>
      </c>
      <c r="E57" s="19">
        <f>IF(37250.76311="","-",37250.76311/8346249.71981*100)</f>
        <v>0.44631738038684043</v>
      </c>
      <c r="F57" s="19">
        <f>IF(OR(4848686.17434="",40122.48494="",48009.4209=""),"-",(48009.4209-40122.48494)/4848686.17434*100)</f>
        <v>0.16266129991540562</v>
      </c>
      <c r="G57" s="19">
        <f>IF(OR(6422564.27315="",37250.76311="",48009.4209=""),"-",(37250.76311-48009.4209)/6422564.27315*100)</f>
        <v>-0.16751343127817894</v>
      </c>
    </row>
    <row r="58" spans="1:7" s="6" customFormat="1" x14ac:dyDescent="0.25">
      <c r="A58" s="37" t="s">
        <v>301</v>
      </c>
      <c r="B58" s="14">
        <v>32879.506780000003</v>
      </c>
      <c r="C58" s="19">
        <f>IF(OR(34975.09694="",32879.50678=""),"-",32879.50678/34975.09694*100)</f>
        <v>94.008336378323705</v>
      </c>
      <c r="D58" s="19">
        <f>IF(34975.09694="","-",34975.09694/6422564.27315*100)</f>
        <v>0.54456593118446406</v>
      </c>
      <c r="E58" s="19">
        <f>IF(32879.50678="","-",32879.50678/8346249.71981*100)</f>
        <v>0.39394348220806047</v>
      </c>
      <c r="F58" s="19">
        <f>IF(OR(4848686.17434="",30534.39303="",34975.09694=""),"-",(34975.09694-30534.39303)/4848686.17434*100)</f>
        <v>9.1585715188186409E-2</v>
      </c>
      <c r="G58" s="19">
        <f>IF(OR(6422564.27315="",32879.50678="",34975.09694=""),"-",(32879.50678-34975.09694)/6422564.27315*100)</f>
        <v>-3.2628558794822307E-2</v>
      </c>
    </row>
    <row r="59" spans="1:7" s="6" customFormat="1" x14ac:dyDescent="0.25">
      <c r="A59" s="37" t="s">
        <v>60</v>
      </c>
      <c r="B59" s="62">
        <v>28938.089830000001</v>
      </c>
      <c r="C59" s="19" t="s">
        <v>345</v>
      </c>
      <c r="D59" s="19">
        <f>IF(11414.4659="","-",11414.4659/6422564.27315*100)</f>
        <v>0.17772443240029548</v>
      </c>
      <c r="E59" s="19">
        <f>IF(28938.08983="","-",28938.08983/8346249.71981*100)</f>
        <v>0.34671967412279592</v>
      </c>
      <c r="F59" s="19">
        <f>IF(OR(4848686.17434="",9031.13409="",11414.4659=""),"-",(11414.4659-9031.13409)/4848686.17434*100)</f>
        <v>4.9154177529842233E-2</v>
      </c>
      <c r="G59" s="19">
        <f>IF(OR(6422564.27315="",28938.08983="",11414.4659=""),"-",(28938.08983-11414.4659)/6422564.27315*100)</f>
        <v>0.27284466429178128</v>
      </c>
    </row>
    <row r="60" spans="1:7" s="6" customFormat="1" x14ac:dyDescent="0.25">
      <c r="A60" s="37" t="s">
        <v>311</v>
      </c>
      <c r="B60" s="62">
        <v>21226.604179999998</v>
      </c>
      <c r="C60" s="19">
        <f>IF(OR(20959.95934="",21226.60418=""),"-",21226.60418/20959.95934*100)</f>
        <v>101.27216296403367</v>
      </c>
      <c r="D60" s="19">
        <f>IF(20959.95934="","-",20959.95934/6422564.27315*100)</f>
        <v>0.32634876738602125</v>
      </c>
      <c r="E60" s="19">
        <f>IF(21226.60418="","-",21226.60418/8346249.71981*100)</f>
        <v>0.25432505487606255</v>
      </c>
      <c r="F60" s="19">
        <f>IF(OR(4848686.17434="",15558.35482="",20959.95934=""),"-",(20959.95934-15558.35482)/4848686.17434*100)</f>
        <v>0.11140346736784347</v>
      </c>
      <c r="G60" s="19">
        <f>IF(OR(6422564.27315="",21226.60418="",20959.95934=""),"-",(21226.60418-20959.95934)/6422564.27315*100)</f>
        <v>4.1516881522653728E-3</v>
      </c>
    </row>
    <row r="61" spans="1:7" s="6" customFormat="1" x14ac:dyDescent="0.25">
      <c r="A61" s="37" t="s">
        <v>76</v>
      </c>
      <c r="B61" s="14">
        <v>19268.785769999999</v>
      </c>
      <c r="C61" s="19">
        <f>IF(OR(20089.57067="",19268.78577=""),"-",19268.78577/20089.57067*100)</f>
        <v>95.91437311686461</v>
      </c>
      <c r="D61" s="19">
        <f>IF(20089.57067="","-",20089.57067/6422564.27315*100)</f>
        <v>0.31279672441716033</v>
      </c>
      <c r="E61" s="19">
        <f>IF(19268.78577="","-",19268.78577/8346249.71981*100)</f>
        <v>0.23086759223445147</v>
      </c>
      <c r="F61" s="19">
        <f>IF(OR(4848686.17434="",17528.09635="",20089.57067=""),"-",(20089.57067-17528.09635)/4848686.17434*100)</f>
        <v>5.2828214239884624E-2</v>
      </c>
      <c r="G61" s="19">
        <f>IF(OR(6422564.27315="",19268.78577="",20089.57067=""),"-",(19268.78577-20089.57067)/6422564.27315*100)</f>
        <v>-1.277970706235442E-2</v>
      </c>
    </row>
    <row r="62" spans="1:7" s="6" customFormat="1" x14ac:dyDescent="0.25">
      <c r="A62" s="37" t="s">
        <v>71</v>
      </c>
      <c r="B62" s="62">
        <v>15074.458269999999</v>
      </c>
      <c r="C62" s="19">
        <f>IF(OR(10682.9301="",15074.45827=""),"-",15074.45827/10682.9301*100)</f>
        <v>141.1078995078326</v>
      </c>
      <c r="D62" s="19">
        <f>IF(10682.9301="","-",10682.9301/6422564.27315*100)</f>
        <v>0.16633434319467649</v>
      </c>
      <c r="E62" s="19">
        <f>IF(15074.45827="","-",15074.45827/8346249.71981*100)</f>
        <v>0.18061355430356288</v>
      </c>
      <c r="F62" s="19">
        <f>IF(OR(4848686.17434="",8903.0529="",10682.9301=""),"-",(10682.9301-8903.0529)/4848686.17434*100)</f>
        <v>3.6708442988523063E-2</v>
      </c>
      <c r="G62" s="19">
        <f>IF(OR(6422564.27315="",15074.45827="",10682.9301=""),"-",(15074.45827-10682.9301)/6422564.27315*100)</f>
        <v>6.8376554647480992E-2</v>
      </c>
    </row>
    <row r="63" spans="1:7" s="6" customFormat="1" x14ac:dyDescent="0.25">
      <c r="A63" s="37" t="s">
        <v>75</v>
      </c>
      <c r="B63" s="62">
        <v>13843.59302</v>
      </c>
      <c r="C63" s="19">
        <f>IF(OR(11934.23973="",13843.59302=""),"-",13843.59302/11934.23973*100)</f>
        <v>115.99895203378824</v>
      </c>
      <c r="D63" s="19">
        <f>IF(11934.23973="","-",11934.23973/6422564.27315*100)</f>
        <v>0.18581736550137712</v>
      </c>
      <c r="E63" s="19">
        <f>IF(13843.59302="","-",13843.59302/8346249.71981*100)</f>
        <v>0.16586602947119997</v>
      </c>
      <c r="F63" s="19">
        <f>IF(OR(4848686.17434="",7574.76054="",11934.23973=""),"-",(11934.23973-7574.76054)/4848686.17434*100)</f>
        <v>8.9910524897879346E-2</v>
      </c>
      <c r="G63" s="19">
        <f>IF(OR(6422564.27315="",13843.59302="",11934.23973=""),"-",(13843.59302-11934.23973)/6422564.27315*100)</f>
        <v>2.9728831177014328E-2</v>
      </c>
    </row>
    <row r="64" spans="1:7" s="6" customFormat="1" x14ac:dyDescent="0.25">
      <c r="A64" s="37" t="s">
        <v>79</v>
      </c>
      <c r="B64" s="62">
        <v>13325.498439999999</v>
      </c>
      <c r="C64" s="19">
        <f>IF(OR(12478.14417="",13325.49844=""),"-",13325.49844/12478.14417*100)</f>
        <v>106.79070748386776</v>
      </c>
      <c r="D64" s="19">
        <f>IF(12478.14417="","-",12478.14417/6422564.27315*100)</f>
        <v>0.19428601473348883</v>
      </c>
      <c r="E64" s="19">
        <f>IF(13325.49844="","-",13325.49844/8346249.71981*100)</f>
        <v>0.15965851594844624</v>
      </c>
      <c r="F64" s="19">
        <f>IF(OR(4848686.17434="",9025.3281="",12478.14417=""),"-",(12478.14417-9025.3281)/4848686.17434*100)</f>
        <v>7.1211374501258445E-2</v>
      </c>
      <c r="G64" s="19">
        <f>IF(OR(6422564.27315="",13325.49844="",12478.14417=""),"-",(13325.49844-12478.14417)/6422564.27315*100)</f>
        <v>1.3193394942615465E-2</v>
      </c>
    </row>
    <row r="65" spans="1:7" s="6" customFormat="1" x14ac:dyDescent="0.25">
      <c r="A65" s="37" t="s">
        <v>68</v>
      </c>
      <c r="B65" s="14">
        <v>13281.648279999999</v>
      </c>
      <c r="C65" s="19">
        <f>IF(OR(11663.18997="",13281.64828=""),"-",13281.64828/11663.18997*100)</f>
        <v>113.8766350729345</v>
      </c>
      <c r="D65" s="19">
        <f>IF(11663.18997="","-",11663.18997/6422564.27315*100)</f>
        <v>0.1815970922822652</v>
      </c>
      <c r="E65" s="19">
        <f>IF(13281.64828="","-",13281.64828/8346249.71981*100)</f>
        <v>0.15913312836154098</v>
      </c>
      <c r="F65" s="19">
        <f>IF(OR(4848686.17434="",9646.28145="",11663.18997=""),"-",(11663.18997-9646.28145)/4848686.17434*100)</f>
        <v>4.1597010973277497E-2</v>
      </c>
      <c r="G65" s="19">
        <f>IF(OR(6422564.27315="",13281.64828="",11663.18997=""),"-",(13281.64828-11663.18997)/6422564.27315*100)</f>
        <v>2.5199565799070057E-2</v>
      </c>
    </row>
    <row r="66" spans="1:7" s="6" customFormat="1" x14ac:dyDescent="0.25">
      <c r="A66" s="37" t="s">
        <v>59</v>
      </c>
      <c r="B66" s="62">
        <v>11488.10074</v>
      </c>
      <c r="C66" s="19">
        <f>IF(OR(13002.20665="",11488.10074=""),"-",11488.10074/13002.20665*100)</f>
        <v>88.355008109335046</v>
      </c>
      <c r="D66" s="19">
        <f>IF(13002.20665="","-",13002.20665/6422564.27315*100)</f>
        <v>0.20244572256531052</v>
      </c>
      <c r="E66" s="19">
        <f>IF(11488.10074="","-",11488.10074/8346249.71981*100)</f>
        <v>0.13764386551642172</v>
      </c>
      <c r="F66" s="19">
        <f>IF(OR(4848686.17434="",11560.01364="",13002.20665=""),"-",(13002.20665-11560.01364)/4848686.17434*100)</f>
        <v>2.9743995757702573E-2</v>
      </c>
      <c r="G66" s="19">
        <f>IF(OR(6422564.27315="",11488.10074="",13002.20665=""),"-",(11488.10074-13002.20665)/6422564.27315*100)</f>
        <v>-2.3574787975728491E-2</v>
      </c>
    </row>
    <row r="67" spans="1:7" s="6" customFormat="1" x14ac:dyDescent="0.25">
      <c r="A67" s="37" t="s">
        <v>80</v>
      </c>
      <c r="B67" s="14">
        <v>10368.20788</v>
      </c>
      <c r="C67" s="19">
        <f>IF(OR(9210.68123="",10368.20788=""),"-",10368.20788/9210.68123*100)</f>
        <v>112.56722082868131</v>
      </c>
      <c r="D67" s="19">
        <f>IF(9210.68123="","-",9210.68123/6422564.27315*100)</f>
        <v>0.14341127372607118</v>
      </c>
      <c r="E67" s="19">
        <f>IF(10368.20788="","-",10368.20788/8346249.71981*100)</f>
        <v>0.12422594851662346</v>
      </c>
      <c r="F67" s="19">
        <f>IF(OR(4848686.17434="",8552.55588="",9210.68123=""),"-",(9210.68123-8552.55588)/4848686.17434*100)</f>
        <v>1.35732717345763E-2</v>
      </c>
      <c r="G67" s="19">
        <f>IF(OR(6422564.27315="",10368.20788="",9210.68123=""),"-",(10368.20788-9210.68123)/6422564.27315*100)</f>
        <v>1.8022811462379985E-2</v>
      </c>
    </row>
    <row r="68" spans="1:7" s="6" customFormat="1" x14ac:dyDescent="0.25">
      <c r="A68" s="37" t="s">
        <v>81</v>
      </c>
      <c r="B68" s="62">
        <v>10048.256100000001</v>
      </c>
      <c r="C68" s="19">
        <f>IF(OR(7279.6451="",10048.2561=""),"-",10048.2561/7279.6451*100)</f>
        <v>138.0322249500872</v>
      </c>
      <c r="D68" s="19">
        <f>IF(7279.6451="","-",7279.6451/6422564.27315*100)</f>
        <v>0.11334483845390367</v>
      </c>
      <c r="E68" s="19">
        <f>IF(10048.2561="","-",10048.2561/8346249.71981*100)</f>
        <v>0.12039246892110421</v>
      </c>
      <c r="F68" s="19">
        <f>IF(OR(4848686.17434="",5687.98439="",7279.6451=""),"-",(7279.6451-5687.98439)/4848686.17434*100)</f>
        <v>3.2826639068193678E-2</v>
      </c>
      <c r="G68" s="19">
        <f>IF(OR(6422564.27315="",10048.2561="",7279.6451=""),"-",(10048.2561-7279.6451)/6422564.27315*100)</f>
        <v>4.3107563930101594E-2</v>
      </c>
    </row>
    <row r="69" spans="1:7" s="6" customFormat="1" x14ac:dyDescent="0.25">
      <c r="A69" s="37" t="s">
        <v>63</v>
      </c>
      <c r="B69" s="62">
        <v>9558.5098699999999</v>
      </c>
      <c r="C69" s="19">
        <f>IF(OR(7753.69407="",9558.50987=""),"-",9558.50987/7753.69407*100)</f>
        <v>123.27685079790621</v>
      </c>
      <c r="D69" s="19">
        <f>IF(7753.69407="","-",7753.69407/6422564.27315*100)</f>
        <v>0.12072583068440258</v>
      </c>
      <c r="E69" s="19">
        <f>IF(9558.50987="","-",9558.50987/8346249.71981*100)</f>
        <v>0.11452460914646101</v>
      </c>
      <c r="F69" s="19">
        <f>IF(OR(4848686.17434="",6166.19565="",7753.69407=""),"-",(7753.69407-6166.19565)/4848686.17434*100)</f>
        <v>3.2740795401469534E-2</v>
      </c>
      <c r="G69" s="19">
        <f>IF(OR(6422564.27315="",9558.50987="",7753.69407=""),"-",(9558.50987-7753.69407)/6422564.27315*100)</f>
        <v>2.810117148294124E-2</v>
      </c>
    </row>
    <row r="70" spans="1:7" s="6" customFormat="1" x14ac:dyDescent="0.25">
      <c r="A70" s="37" t="s">
        <v>37</v>
      </c>
      <c r="B70" s="14">
        <v>8857.1303900000003</v>
      </c>
      <c r="C70" s="19" t="s">
        <v>18</v>
      </c>
      <c r="D70" s="19">
        <f>IF(4387.42545="","-",4387.42545/6422564.27315*100)</f>
        <v>6.8312674866360668E-2</v>
      </c>
      <c r="E70" s="19">
        <f>IF(8857.13039="","-",8857.13039/8346249.71981*100)</f>
        <v>0.10612108057319941</v>
      </c>
      <c r="F70" s="19">
        <f>IF(OR(4848686.17434="",3479.5109="",4387.42545=""),"-",(4387.42545-3479.5109)/4848686.17434*100)</f>
        <v>1.8724960068664045E-2</v>
      </c>
      <c r="G70" s="19">
        <f>IF(OR(6422564.27315="",8857.13039="",4387.42545=""),"-",(8857.13039-4387.42545)/6422564.27315*100)</f>
        <v>6.9593775163697927E-2</v>
      </c>
    </row>
    <row r="71" spans="1:7" s="6" customFormat="1" x14ac:dyDescent="0.25">
      <c r="A71" s="37" t="s">
        <v>61</v>
      </c>
      <c r="B71" s="14">
        <v>8371.6897399999998</v>
      </c>
      <c r="C71" s="19">
        <f>IF(OR(8589.94241="",8371.68974=""),"-",8371.68974/8589.94241*100)</f>
        <v>97.459206830700978</v>
      </c>
      <c r="D71" s="19">
        <f>IF(8589.94241="","-",8589.94241/6422564.27315*100)</f>
        <v>0.1337463051309721</v>
      </c>
      <c r="E71" s="19">
        <f>IF(8371.68974="","-",8371.68974/8346249.71981*100)</f>
        <v>0.10030480780043782</v>
      </c>
      <c r="F71" s="19">
        <f>IF(OR(4848686.17434="",6470.65761="",8589.94241=""),"-",(8589.94241-6470.65761)/4848686.17434*100)</f>
        <v>4.3708434074689828E-2</v>
      </c>
      <c r="G71" s="19">
        <f>IF(OR(6422564.27315="",8371.68974="",8589.94241=""),"-",(8371.68974-8589.94241)/6422564.27315*100)</f>
        <v>-3.3982169849575677E-3</v>
      </c>
    </row>
    <row r="72" spans="1:7" s="6" customFormat="1" x14ac:dyDescent="0.25">
      <c r="A72" s="37" t="s">
        <v>66</v>
      </c>
      <c r="B72" s="14">
        <v>7918.0369300000002</v>
      </c>
      <c r="C72" s="19">
        <f>IF(OR(7205.346="",7918.03693=""),"-",7918.03693/7205.346*100)</f>
        <v>109.8911409667211</v>
      </c>
      <c r="D72" s="19">
        <f>IF(7205.346="","-",7205.346/6422564.27315*100)</f>
        <v>0.11218799366668039</v>
      </c>
      <c r="E72" s="19">
        <f>IF(7918.03693="","-",7918.03693/8346249.71981*100)</f>
        <v>9.4869398781663256E-2</v>
      </c>
      <c r="F72" s="19">
        <f>IF(OR(4848686.17434="",5612.69309="",7205.346=""),"-",(7205.346-5612.69309)/4848686.17434*100)</f>
        <v>3.2847102343487727E-2</v>
      </c>
      <c r="G72" s="19">
        <f>IF(OR(6422564.27315="",7918.03693="",7205.346=""),"-",(7918.03693-7205.346)/6422564.27315*100)</f>
        <v>1.1096672601307506E-2</v>
      </c>
    </row>
    <row r="73" spans="1:7" s="6" customFormat="1" x14ac:dyDescent="0.25">
      <c r="A73" s="37" t="s">
        <v>35</v>
      </c>
      <c r="B73" s="14">
        <v>7565.4714199999999</v>
      </c>
      <c r="C73" s="19" t="s">
        <v>342</v>
      </c>
      <c r="D73" s="19">
        <f>IF(2900.31127="","-",2900.31127/6422564.27315*100)</f>
        <v>4.5158150960434351E-2</v>
      </c>
      <c r="E73" s="19">
        <f>IF(7565.47142="","-",7565.47142/8346249.71981*100)</f>
        <v>9.0645160089605201E-2</v>
      </c>
      <c r="F73" s="19">
        <f>IF(OR(4848686.17434="",3171.05159="",2900.31127=""),"-",(2900.31127-3171.05159)/4848686.17434*100)</f>
        <v>-5.5837872418470734E-3</v>
      </c>
      <c r="G73" s="19">
        <f>IF(OR(6422564.27315="",7565.47142="",2900.31127=""),"-",(7565.47142-2900.31127)/6422564.27315*100)</f>
        <v>7.2637033303084922E-2</v>
      </c>
    </row>
    <row r="74" spans="1:7" s="6" customFormat="1" x14ac:dyDescent="0.25">
      <c r="A74" s="37" t="s">
        <v>82</v>
      </c>
      <c r="B74" s="62">
        <v>6886.6310299999996</v>
      </c>
      <c r="C74" s="19">
        <f>IF(OR(5855.85541="",6886.63103=""),"-",6886.63103/5855.85541*100)</f>
        <v>117.60247731253321</v>
      </c>
      <c r="D74" s="19">
        <f>IF(5855.85541="","-",5855.85541/6422564.27315*100)</f>
        <v>9.117628350534121E-2</v>
      </c>
      <c r="E74" s="19">
        <f>IF(6886.63103="","-",6886.63103/8346249.71981*100)</f>
        <v>8.2511682027131716E-2</v>
      </c>
      <c r="F74" s="19">
        <f>IF(OR(4848686.17434="",4685.32492="",5855.85541=""),"-",(5855.85541-4685.32492)/4848686.17434*100)</f>
        <v>2.4141188930614423E-2</v>
      </c>
      <c r="G74" s="19">
        <f>IF(OR(6422564.27315="",6886.63103="",5855.85541=""),"-",(6886.63103-5855.85541)/6422564.27315*100)</f>
        <v>1.6049284618438655E-2</v>
      </c>
    </row>
    <row r="75" spans="1:7" s="6" customFormat="1" x14ac:dyDescent="0.25">
      <c r="A75" s="37" t="s">
        <v>78</v>
      </c>
      <c r="B75" s="14">
        <v>6487.4637899999998</v>
      </c>
      <c r="C75" s="19">
        <f>IF(OR(16151.18669="",6487.46379=""),"-",6487.46379/16151.18669*100)</f>
        <v>40.167102978363253</v>
      </c>
      <c r="D75" s="19">
        <f>IF(16151.18669="","-",16151.18669/6422564.27315*100)</f>
        <v>0.25147567238090895</v>
      </c>
      <c r="E75" s="19">
        <f>IF(6487.46379="","-",6487.46379/8346249.71981*100)</f>
        <v>7.7729088007058647E-2</v>
      </c>
      <c r="F75" s="19">
        <f>IF(OR(4848686.17434="",3940.13232="",16151.18669=""),"-",(16151.18669-3940.13232)/4848686.17434*100)</f>
        <v>0.25184253900825332</v>
      </c>
      <c r="G75" s="19">
        <f>IF(OR(6422564.27315="",6487.46379="",16151.18669=""),"-",(6487.46379-16151.18669)/6422564.27315*100)</f>
        <v>-0.15046518009013785</v>
      </c>
    </row>
    <row r="76" spans="1:7" s="6" customFormat="1" x14ac:dyDescent="0.25">
      <c r="A76" s="37" t="s">
        <v>72</v>
      </c>
      <c r="B76" s="14">
        <v>6098.0999199999997</v>
      </c>
      <c r="C76" s="19">
        <f>IF(OR(4478.03554="",6098.09992=""),"-",6098.09992/4478.03554*100)</f>
        <v>136.17801523745834</v>
      </c>
      <c r="D76" s="19">
        <f>IF(4478.03554="","-",4478.03554/6422564.27315*100)</f>
        <v>6.9723483480278362E-2</v>
      </c>
      <c r="E76" s="19">
        <f>IF(6098.09992="","-",6098.09992/8346249.71981*100)</f>
        <v>7.3063952370440471E-2</v>
      </c>
      <c r="F76" s="19">
        <f>IF(OR(4848686.17434="",4623.68252="",4478.03554=""),"-",(4478.03554-4623.68252)/4848686.17434*100)</f>
        <v>-3.0038442325013084E-3</v>
      </c>
      <c r="G76" s="19">
        <f>IF(OR(6422564.27315="",6098.09992="",4478.03554=""),"-",(6098.09992-4478.03554)/6422564.27315*100)</f>
        <v>2.5224572477581853E-2</v>
      </c>
    </row>
    <row r="77" spans="1:7" s="6" customFormat="1" x14ac:dyDescent="0.25">
      <c r="A77" s="37" t="s">
        <v>303</v>
      </c>
      <c r="B77" s="14">
        <v>5943.72588</v>
      </c>
      <c r="C77" s="19" t="s">
        <v>349</v>
      </c>
      <c r="D77" s="19">
        <f>IF(2602.89021="","-",2602.89021/6422564.27315*100)</f>
        <v>4.0527273831755535E-2</v>
      </c>
      <c r="E77" s="19">
        <f>IF(5943.72588="","-",5943.72588/8346249.71981*100)</f>
        <v>7.1214330741775453E-2</v>
      </c>
      <c r="F77" s="19">
        <f>IF(OR(4848686.17434="",2080.05143="",2602.89021=""),"-",(2602.89021-2080.05143)/4848686.17434*100)</f>
        <v>1.0783102085817472E-2</v>
      </c>
      <c r="G77" s="19">
        <f>IF(OR(6422564.27315="",5943.72588="",2602.89021=""),"-",(5943.72588-2602.89021)/6422564.27315*100)</f>
        <v>5.201716211648684E-2</v>
      </c>
    </row>
    <row r="78" spans="1:7" s="6" customFormat="1" x14ac:dyDescent="0.25">
      <c r="A78" s="37" t="s">
        <v>87</v>
      </c>
      <c r="B78" s="62">
        <v>4860.5021100000004</v>
      </c>
      <c r="C78" s="19">
        <f>IF(OR(3363.42897="",4860.50211=""),"-",4860.50211/3363.42897*100)</f>
        <v>144.51032423616189</v>
      </c>
      <c r="D78" s="19">
        <f>IF(3363.42897="","-",3363.42897/6422564.27315*100)</f>
        <v>5.2368942169423838E-2</v>
      </c>
      <c r="E78" s="19">
        <f>IF(4860.50211="","-",4860.50211/8346249.71981*100)</f>
        <v>5.8235761847186242E-2</v>
      </c>
      <c r="F78" s="19">
        <f>IF(OR(4848686.17434="",2338.52011="",3363.42897=""),"-",(3363.42897-2338.52011)/4848686.17434*100)</f>
        <v>2.1137867520153741E-2</v>
      </c>
      <c r="G78" s="19">
        <f>IF(OR(6422564.27315="",4860.50211="",3363.42897=""),"-",(4860.50211-3363.42897)/6422564.27315*100)</f>
        <v>2.3309585958658667E-2</v>
      </c>
    </row>
    <row r="79" spans="1:7" s="6" customFormat="1" x14ac:dyDescent="0.25">
      <c r="A79" s="37" t="s">
        <v>122</v>
      </c>
      <c r="B79" s="62">
        <v>4315.3022899999996</v>
      </c>
      <c r="C79" s="19">
        <f>IF(OR(5361.96545="",4315.30229=""),"-",4315.30229/5361.96545*100)</f>
        <v>80.479860048333592</v>
      </c>
      <c r="D79" s="19">
        <f>IF(5361.96545="","-",5361.96545/6422564.27315*100)</f>
        <v>8.3486364977554031E-2</v>
      </c>
      <c r="E79" s="19">
        <f>IF(4315.30229="","-",4315.30229/8346249.71981*100)</f>
        <v>5.1703488810759382E-2</v>
      </c>
      <c r="F79" s="19">
        <f>IF(OR(4848686.17434="",5419.81706="",5361.96545=""),"-",(5361.96545-5419.81706)/4848686.17434*100)</f>
        <v>-1.1931399129553964E-3</v>
      </c>
      <c r="G79" s="19">
        <f>IF(OR(6422564.27315="",4315.30229="",5361.96545=""),"-",(4315.30229-5361.96545)/6422564.27315*100)</f>
        <v>-1.6296655284177567E-2</v>
      </c>
    </row>
    <row r="80" spans="1:7" s="6" customFormat="1" x14ac:dyDescent="0.25">
      <c r="A80" s="37" t="s">
        <v>70</v>
      </c>
      <c r="B80" s="62">
        <v>4174.9341800000002</v>
      </c>
      <c r="C80" s="19">
        <f>IF(OR(4435.51815="",4174.93418=""),"-",4174.93418/4435.51815*100)</f>
        <v>94.125061352753121</v>
      </c>
      <c r="D80" s="19">
        <f>IF(4435.51815="","-",4435.51815/6422564.27315*100)</f>
        <v>6.9061483254328926E-2</v>
      </c>
      <c r="E80" s="19">
        <f>IF(4174.93418="","-",4174.93418/8346249.71981*100)</f>
        <v>5.002167824059596E-2</v>
      </c>
      <c r="F80" s="19">
        <f>IF(OR(4848686.17434="",1735.70363="",4435.51815=""),"-",(4435.51815-1735.70363)/4848686.17434*100)</f>
        <v>5.5681362392308191E-2</v>
      </c>
      <c r="G80" s="19">
        <f>IF(OR(6422564.27315="",4174.93418="",4435.51815=""),"-",(4174.93418-4435.51815)/6422564.27315*100)</f>
        <v>-4.0573197700705006E-3</v>
      </c>
    </row>
    <row r="81" spans="1:7" s="6" customFormat="1" x14ac:dyDescent="0.25">
      <c r="A81" s="37" t="s">
        <v>77</v>
      </c>
      <c r="B81" s="62">
        <v>3960.60493</v>
      </c>
      <c r="C81" s="19">
        <f>IF(OR(3836.18811="",3960.60493=""),"-",3960.60493/3836.18811*100)</f>
        <v>103.2432408534836</v>
      </c>
      <c r="D81" s="19">
        <f>IF(3836.18811="","-",3836.18811/6422564.27315*100)</f>
        <v>5.9729851611411124E-2</v>
      </c>
      <c r="E81" s="19">
        <f>IF(3960.60493="","-",3960.60493/8346249.71981*100)</f>
        <v>4.7453707508887742E-2</v>
      </c>
      <c r="F81" s="19">
        <f>IF(OR(4848686.17434="",3942.67176="",3836.18811=""),"-",(3836.18811-3942.67176)/4848686.17434*100)</f>
        <v>-2.1961340901691705E-3</v>
      </c>
      <c r="G81" s="19">
        <f>IF(OR(6422564.27315="",3960.60493="",3836.18811=""),"-",(3960.60493-3836.18811)/6422564.27315*100)</f>
        <v>1.9371829491864106E-3</v>
      </c>
    </row>
    <row r="82" spans="1:7" s="6" customFormat="1" x14ac:dyDescent="0.25">
      <c r="A82" s="37" t="s">
        <v>36</v>
      </c>
      <c r="B82" s="62">
        <v>3958.9201600000001</v>
      </c>
      <c r="C82" s="19" t="s">
        <v>91</v>
      </c>
      <c r="D82" s="19">
        <f>IF(1869.92468="","-",1869.92468/6422564.27315*100)</f>
        <v>2.9114923579937644E-2</v>
      </c>
      <c r="E82" s="19">
        <f>IF(3958.92016="","-",3958.92016/8346249.71981*100)</f>
        <v>4.7433521556435335E-2</v>
      </c>
      <c r="F82" s="19">
        <f>IF(OR(4848686.17434="",2194.2364="",1869.92468=""),"-",(1869.92468-2194.2364)/4848686.17434*100)</f>
        <v>-6.6886514890633188E-3</v>
      </c>
      <c r="G82" s="19">
        <f>IF(OR(6422564.27315="",3958.92016="",1869.92468=""),"-",(3958.92016-1869.92468)/6422564.27315*100)</f>
        <v>3.2525878934885843E-2</v>
      </c>
    </row>
    <row r="83" spans="1:7" s="6" customFormat="1" x14ac:dyDescent="0.25">
      <c r="A83" s="37" t="s">
        <v>85</v>
      </c>
      <c r="B83" s="14">
        <v>3480.8551400000001</v>
      </c>
      <c r="C83" s="19">
        <f>IF(OR(3721.21888="",3480.85514=""),"-",3480.85514/3721.21888*100)</f>
        <v>93.540725559255478</v>
      </c>
      <c r="D83" s="19">
        <f>IF(3721.21888="","-",3721.21888/6422564.27315*100)</f>
        <v>5.7939768630371327E-2</v>
      </c>
      <c r="E83" s="19">
        <f>IF(3480.85514="","-",3480.85514/8346249.71981*100)</f>
        <v>4.1705619372232744E-2</v>
      </c>
      <c r="F83" s="19">
        <f>IF(OR(4848686.17434="",1807.69308="",3721.21888=""),"-",(3721.21888-1807.69308)/4848686.17434*100)</f>
        <v>3.9464830908766076E-2</v>
      </c>
      <c r="G83" s="19">
        <f>IF(OR(6422564.27315="",3480.85514="",3721.21888=""),"-",(3480.85514-3721.21888)/6422564.27315*100)</f>
        <v>-3.7424886661680912E-3</v>
      </c>
    </row>
    <row r="84" spans="1:7" s="6" customFormat="1" x14ac:dyDescent="0.25">
      <c r="A84" s="37" t="s">
        <v>84</v>
      </c>
      <c r="B84" s="14">
        <v>3285.9119000000001</v>
      </c>
      <c r="C84" s="19">
        <f>IF(OR(3220.76301="",3285.9119=""),"-",3285.9119/3220.76301*100)</f>
        <v>102.02277813666272</v>
      </c>
      <c r="D84" s="19">
        <f>IF(3220.76301="","-",3220.76301/6422564.27315*100)</f>
        <v>5.0147618194568103E-2</v>
      </c>
      <c r="E84" s="19">
        <f>IF(3285.9119="","-",3285.9119/8346249.71981*100)</f>
        <v>3.9369920746569788E-2</v>
      </c>
      <c r="F84" s="19">
        <f>IF(OR(4848686.17434="",2742.97029="",3220.76301=""),"-",(3220.76301-2742.97029)/4848686.17434*100)</f>
        <v>9.8540656751215025E-3</v>
      </c>
      <c r="G84" s="19">
        <f>IF(OR(6422564.27315="",3285.9119="",3220.76301=""),"-",(3285.9119-3220.76301)/6422564.27315*100)</f>
        <v>1.0143750568968168E-3</v>
      </c>
    </row>
    <row r="85" spans="1:7" s="6" customFormat="1" x14ac:dyDescent="0.25">
      <c r="A85" s="37" t="s">
        <v>56</v>
      </c>
      <c r="B85" s="14">
        <v>2913.37228</v>
      </c>
      <c r="C85" s="19">
        <f>IF(OR(3449.86233="",2913.37228=""),"-",2913.37228/3449.86233*100)</f>
        <v>84.448943213336875</v>
      </c>
      <c r="D85" s="19">
        <f>IF(3449.86233="","-",3449.86233/6422564.27315*100)</f>
        <v>5.3714718658751333E-2</v>
      </c>
      <c r="E85" s="19">
        <f>IF(2913.37228="","-",2913.37228/8346249.71981*100)</f>
        <v>3.4906363669961249E-2</v>
      </c>
      <c r="F85" s="19">
        <f>IF(OR(4848686.17434="",4233.42582="",3449.86233=""),"-",(3449.86233-4233.42582)/4848686.17434*100)</f>
        <v>-1.6160325948640274E-2</v>
      </c>
      <c r="G85" s="19">
        <f>IF(OR(6422564.27315="",2913.37228="",3449.86233=""),"-",(2913.37228-3449.86233)/6422564.27315*100)</f>
        <v>-8.3532064014187578E-3</v>
      </c>
    </row>
    <row r="86" spans="1:7" s="6" customFormat="1" x14ac:dyDescent="0.25">
      <c r="A86" s="37" t="s">
        <v>93</v>
      </c>
      <c r="B86" s="62">
        <v>2490.5450500000002</v>
      </c>
      <c r="C86" s="19">
        <f>IF(OR(1741.56424="",2490.54505=""),"-",2490.54505/1741.56424*100)</f>
        <v>143.0062120476245</v>
      </c>
      <c r="D86" s="19">
        <f>IF(1741.56424="","-",1741.56424/6422564.27315*100)</f>
        <v>2.7116338053333883E-2</v>
      </c>
      <c r="E86" s="19">
        <f>IF(2490.54505="","-",2490.54505/8346249.71981*100)</f>
        <v>2.9840289155123635E-2</v>
      </c>
      <c r="F86" s="19">
        <f>IF(OR(4848686.17434="",1184.84573="",1741.56424=""),"-",(1741.56424-1184.84573)/4848686.17434*100)</f>
        <v>1.1481842502949369E-2</v>
      </c>
      <c r="G86" s="19">
        <f>IF(OR(6422564.27315="",2490.54505="",1741.56424=""),"-",(2490.54505-1741.56424)/6422564.27315*100)</f>
        <v>1.1661709842767466E-2</v>
      </c>
    </row>
    <row r="87" spans="1:7" s="6" customFormat="1" x14ac:dyDescent="0.25">
      <c r="A87" s="37" t="s">
        <v>83</v>
      </c>
      <c r="B87" s="62">
        <v>2120.6385300000002</v>
      </c>
      <c r="C87" s="19">
        <f>IF(OR(1923.23292="",2120.63853=""),"-",2120.63853/1923.23292*100)</f>
        <v>110.26425909972465</v>
      </c>
      <c r="D87" s="19">
        <f>IF(1923.23292="","-",1923.23292/6422564.27315*100)</f>
        <v>2.9944938473254613E-2</v>
      </c>
      <c r="E87" s="19">
        <f>IF(2120.63853="","-",2120.63853/8346249.71981*100)</f>
        <v>2.5408280379708985E-2</v>
      </c>
      <c r="F87" s="19">
        <f>IF(OR(4848686.17434="",3538.98323="",1923.23292=""),"-",(1923.23292-3538.98323)/4848686.17434*100)</f>
        <v>-3.3323466438203435E-2</v>
      </c>
      <c r="G87" s="19">
        <f>IF(OR(6422564.27315="",2120.63853="",1923.23292=""),"-",(2120.63853-1923.23292)/6422564.27315*100)</f>
        <v>3.0736260721479871E-3</v>
      </c>
    </row>
    <row r="88" spans="1:7" x14ac:dyDescent="0.25">
      <c r="A88" s="37" t="s">
        <v>86</v>
      </c>
      <c r="B88" s="14">
        <v>2072.8391999999999</v>
      </c>
      <c r="C88" s="19">
        <f>IF(OR(2625.54248="",2072.8392=""),"-",2072.8392/2625.54248*100)</f>
        <v>78.948987334609782</v>
      </c>
      <c r="D88" s="19">
        <f>IF(2625.54248="","-",2625.54248/6422564.27315*100)</f>
        <v>4.087997205378345E-2</v>
      </c>
      <c r="E88" s="19">
        <f>IF(2072.8392="","-",2072.8392/8346249.71981*100)</f>
        <v>2.4835576092098854E-2</v>
      </c>
      <c r="F88" s="19">
        <f>IF(OR(4848686.17434="",1224.2745="",2625.54248=""),"-",(2625.54248-1224.2745)/4848686.17434*100)</f>
        <v>2.8899952061565207E-2</v>
      </c>
      <c r="G88" s="19">
        <f>IF(OR(6422564.27315="",2072.8392="",2625.54248=""),"-",(2072.8392-2625.54248)/6422564.27315*100)</f>
        <v>-8.6056480946499325E-3</v>
      </c>
    </row>
    <row r="89" spans="1:7" x14ac:dyDescent="0.25">
      <c r="A89" s="37" t="s">
        <v>65</v>
      </c>
      <c r="B89" s="62">
        <v>1871.2739999999999</v>
      </c>
      <c r="C89" s="19">
        <f>IF(OR(1238.82264="",1871.274=""),"-",1871.274/1238.82264*100)</f>
        <v>151.05261557053879</v>
      </c>
      <c r="D89" s="19">
        <f>IF(1238.82264="","-",1238.82264/6422564.27315*100)</f>
        <v>1.9288598561465375E-2</v>
      </c>
      <c r="E89" s="19">
        <f>IF(1871.274="","-",1871.274/8346249.71981*100)</f>
        <v>2.2420536921612728E-2</v>
      </c>
      <c r="F89" s="19">
        <f>IF(OR(4848686.17434="",1360.84376="",1238.82264=""),"-",(1238.82264-1360.84376)/4848686.17434*100)</f>
        <v>-2.5165811028512136E-3</v>
      </c>
      <c r="G89" s="19">
        <f>IF(OR(6422564.27315="",1871.274="",1238.82264=""),"-",(1871.274-1238.82264)/6422564.27315*100)</f>
        <v>9.8473340725293949E-3</v>
      </c>
    </row>
    <row r="90" spans="1:7" x14ac:dyDescent="0.25">
      <c r="A90" s="37" t="s">
        <v>137</v>
      </c>
      <c r="B90" s="14">
        <v>1670.9424200000001</v>
      </c>
      <c r="C90" s="19">
        <f>IF(OR(1312.58967="",1670.94242=""),"-",1670.94242/1312.58967*100)</f>
        <v>127.3012014485837</v>
      </c>
      <c r="D90" s="19">
        <f>IF(1312.58967="","-",1312.58967/6422564.27315*100)</f>
        <v>2.0437158962929764E-2</v>
      </c>
      <c r="E90" s="19">
        <f>IF(1670.94242="","-",1670.94242/8346249.71981*100)</f>
        <v>2.0020278281801022E-2</v>
      </c>
      <c r="F90" s="19">
        <f>IF(OR(4848686.17434="",1008.70258="",1312.58967=""),"-",(1312.58967-1008.70258)/4848686.17434*100)</f>
        <v>6.2674109866754776E-3</v>
      </c>
      <c r="G90" s="19">
        <f>IF(OR(6422564.27315="",1670.94242="",1312.58967=""),"-",(1670.94242-1312.58967)/6422564.27315*100)</f>
        <v>5.5795899388367343E-3</v>
      </c>
    </row>
    <row r="91" spans="1:7" x14ac:dyDescent="0.25">
      <c r="A91" s="37" t="s">
        <v>62</v>
      </c>
      <c r="B91" s="62">
        <v>1608.9073699999999</v>
      </c>
      <c r="C91" s="19">
        <f>IF(OR(1017.08888="",1608.90737=""),"-",1608.90737/1017.08888*100)</f>
        <v>158.18748996646192</v>
      </c>
      <c r="D91" s="19">
        <f>IF(1017.08888="","-",1017.08888/6422564.27315*100)</f>
        <v>1.5836180639748745E-2</v>
      </c>
      <c r="E91" s="19">
        <f>IF(1608.90737="","-",1608.90737/8346249.71981*100)</f>
        <v>1.9277009723076274E-2</v>
      </c>
      <c r="F91" s="19">
        <f>IF(OR(4848686.17434="",1145.7426="",1017.08888=""),"-",(1017.08888-1145.7426)/4848686.17434*100)</f>
        <v>-2.6533727977870679E-3</v>
      </c>
      <c r="G91" s="19">
        <f>IF(OR(6422564.27315="",1608.90737="",1017.08888=""),"-",(1608.90737-1017.08888)/6422564.27315*100)</f>
        <v>9.2146760208245866E-3</v>
      </c>
    </row>
    <row r="92" spans="1:7" x14ac:dyDescent="0.25">
      <c r="A92" s="37" t="s">
        <v>98</v>
      </c>
      <c r="B92" s="14">
        <v>1593.3610799999999</v>
      </c>
      <c r="C92" s="19" t="s">
        <v>91</v>
      </c>
      <c r="D92" s="19">
        <f>IF(753.45992="","-",753.45992/6422564.27315*100)</f>
        <v>1.173145005570274E-2</v>
      </c>
      <c r="E92" s="19">
        <f>IF(1593.36108="","-",1593.36108/8346249.71981*100)</f>
        <v>1.9090742950311251E-2</v>
      </c>
      <c r="F92" s="19">
        <f>IF(OR(4848686.17434="",532.55508="",753.45992=""),"-",(753.45992-532.55508)/4848686.17434*100)</f>
        <v>4.5559731452421634E-3</v>
      </c>
      <c r="G92" s="19">
        <f>IF(OR(6422564.27315="",1593.36108="",753.45992=""),"-",(1593.36108-753.45992)/6422564.27315*100)</f>
        <v>1.3077349237457507E-2</v>
      </c>
    </row>
    <row r="93" spans="1:7" x14ac:dyDescent="0.25">
      <c r="A93" s="37" t="s">
        <v>88</v>
      </c>
      <c r="B93" s="14">
        <v>1586.8796</v>
      </c>
      <c r="C93" s="19" t="s">
        <v>304</v>
      </c>
      <c r="D93" s="19">
        <f>IF(562.85903="","-",562.85903/6422564.27315*100)</f>
        <v>8.7637741883420835E-3</v>
      </c>
      <c r="E93" s="19">
        <f>IF(1586.8796="","-",1586.8796/8346249.71981*100)</f>
        <v>1.9013085556660352E-2</v>
      </c>
      <c r="F93" s="19">
        <f>IF(OR(4848686.17434="",579.60837="",562.85903=""),"-",(562.85903-579.60837)/4848686.17434*100)</f>
        <v>-3.4544079360384635E-4</v>
      </c>
      <c r="G93" s="19">
        <f>IF(OR(6422564.27315="",1586.8796="",562.85903=""),"-",(1586.8796-562.85903)/6422564.27315*100)</f>
        <v>1.5944107780765902E-2</v>
      </c>
    </row>
    <row r="94" spans="1:7" x14ac:dyDescent="0.25">
      <c r="A94" s="37" t="s">
        <v>312</v>
      </c>
      <c r="B94" s="62">
        <v>1557.5216600000001</v>
      </c>
      <c r="C94" s="19">
        <f>IF(OR(2000.46616="",1557.52166=""),"-",1557.52166/2000.46616*100)</f>
        <v>77.857935872306896</v>
      </c>
      <c r="D94" s="19">
        <f>IF(2000.46616="","-",2000.46616/6422564.27315*100)</f>
        <v>3.1147468128315901E-2</v>
      </c>
      <c r="E94" s="19">
        <f>IF(1557.52166="","-",1557.52166/8346249.71981*100)</f>
        <v>1.8661335477456294E-2</v>
      </c>
      <c r="F94" s="19">
        <f>IF(OR(4848686.17434="",1825.22889="",2000.46616=""),"-",(2000.46616-1825.22889)/4848686.17434*100)</f>
        <v>3.6141186230485012E-3</v>
      </c>
      <c r="G94" s="19">
        <f>IF(OR(6422564.27315="",1557.52166="",2000.46616=""),"-",(1557.52166-2000.46616)/6422564.27315*100)</f>
        <v>-6.8966923671244795E-3</v>
      </c>
    </row>
    <row r="95" spans="1:7" x14ac:dyDescent="0.25">
      <c r="A95" s="37" t="s">
        <v>305</v>
      </c>
      <c r="B95" s="62">
        <v>1549.24461</v>
      </c>
      <c r="C95" s="19">
        <f>IF(OR(1380.45656="",1549.24461=""),"-",1549.24461/1380.45656*100)</f>
        <v>112.2269729371274</v>
      </c>
      <c r="D95" s="19">
        <f>IF(1380.45656="","-",1380.45656/6422564.27315*100)</f>
        <v>2.1493853565173332E-2</v>
      </c>
      <c r="E95" s="19">
        <f>IF(1549.24461="","-",1549.24461/8346249.71981*100)</f>
        <v>1.8562164588999001E-2</v>
      </c>
      <c r="F95" s="19">
        <f>IF(OR(4848686.17434="",696.43613="",1380.45656=""),"-",(1380.45656-696.43613)/4848686.17434*100)</f>
        <v>1.41073355833987E-2</v>
      </c>
      <c r="G95" s="19">
        <f>IF(OR(6422564.27315="",1549.24461="",1380.45656=""),"-",(1549.24461-1380.45656)/6422564.27315*100)</f>
        <v>2.6280476585595364E-3</v>
      </c>
    </row>
    <row r="96" spans="1:7" x14ac:dyDescent="0.25">
      <c r="A96" s="37" t="s">
        <v>89</v>
      </c>
      <c r="B96" s="14">
        <v>1479.42137</v>
      </c>
      <c r="C96" s="19">
        <f>IF(OR(2078.42443="",1479.42137=""),"-",1479.42137/2078.42443*100)</f>
        <v>71.179945185690485</v>
      </c>
      <c r="D96" s="19">
        <f>IF(2078.42443="","-",2078.42443/6422564.27315*100)</f>
        <v>3.2361286576593797E-2</v>
      </c>
      <c r="E96" s="19">
        <f>IF(1479.42137="","-",1479.42137/8346249.71981*100)</f>
        <v>1.7725582383289612E-2</v>
      </c>
      <c r="F96" s="19">
        <f>IF(OR(4848686.17434="",1001.75167="",2078.42443=""),"-",(2078.42443-1001.75167)/4848686.17434*100)</f>
        <v>2.2205453627787239E-2</v>
      </c>
      <c r="G96" s="19">
        <f>IF(OR(6422564.27315="",1479.42137="",2078.42443=""),"-",(1479.42137-2078.42443)/6422564.27315*100)</f>
        <v>-9.326540529990119E-3</v>
      </c>
    </row>
    <row r="97" spans="1:7" x14ac:dyDescent="0.25">
      <c r="A97" s="37" t="s">
        <v>338</v>
      </c>
      <c r="B97" s="14">
        <v>1229.66302</v>
      </c>
      <c r="C97" s="19" t="s">
        <v>363</v>
      </c>
      <c r="D97" s="19">
        <f>IF(316.37399="","-",316.37399/6422564.27315*100)</f>
        <v>4.9259762385348892E-3</v>
      </c>
      <c r="E97" s="19">
        <f>IF(1229.66302="","-",1229.66302/8346249.71981*100)</f>
        <v>1.4733120398750698E-2</v>
      </c>
      <c r="F97" s="19">
        <f>IF(OR(4848686.17434="",0.05749="",316.37399=""),"-",(316.37399-0.05749)/4848686.17434*100)</f>
        <v>6.5237569235558294E-3</v>
      </c>
      <c r="G97" s="19">
        <f>IF(OR(6422564.27315="",1229.66302="",316.37399=""),"-",(1229.66302-316.37399)/6422564.27315*100)</f>
        <v>1.4220006077916132E-2</v>
      </c>
    </row>
    <row r="98" spans="1:7" x14ac:dyDescent="0.25">
      <c r="A98" s="37" t="s">
        <v>97</v>
      </c>
      <c r="B98" s="62">
        <v>1053.68633</v>
      </c>
      <c r="C98" s="19" t="s">
        <v>197</v>
      </c>
      <c r="D98" s="19">
        <f>IF(597.96427="","-",597.96427/6422564.27315*100)</f>
        <v>9.3103664606336983E-3</v>
      </c>
      <c r="E98" s="19">
        <f>IF(1053.68633="","-",1053.68633/8346249.71981*100)</f>
        <v>1.2624668148845981E-2</v>
      </c>
      <c r="F98" s="19">
        <f>IF(OR(4848686.17434="",608.12065="",597.96427=""),"-",(597.96427-608.12065)/4848686.17434*100)</f>
        <v>-2.0946663972085959E-4</v>
      </c>
      <c r="G98" s="19">
        <f>IF(OR(6422564.27315="",1053.68633="",597.96427=""),"-",(1053.68633-597.96427)/6422564.27315*100)</f>
        <v>7.0956403177649674E-3</v>
      </c>
    </row>
    <row r="99" spans="1:7" x14ac:dyDescent="0.25">
      <c r="A99" s="37" t="s">
        <v>292</v>
      </c>
      <c r="B99" s="14">
        <v>845.04984999999999</v>
      </c>
      <c r="C99" s="19" t="s">
        <v>345</v>
      </c>
      <c r="D99" s="19">
        <f>IF(343.42907="","-",343.42907/6422564.27315*100)</f>
        <v>5.3472266744877964E-3</v>
      </c>
      <c r="E99" s="19">
        <f>IF(845.04985="","-",845.04985/8346249.71981*100)</f>
        <v>1.0124904937774104E-2</v>
      </c>
      <c r="F99" s="19">
        <f>IF(OR(4848686.17434="",20.65373="",343.42907=""),"-",(343.42907-20.65373)/4848686.17434*100)</f>
        <v>6.6569649672972697E-3</v>
      </c>
      <c r="G99" s="19">
        <f>IF(OR(6422564.27315="",845.04985="",343.42907=""),"-",(845.04985-343.42907)/6422564.27315*100)</f>
        <v>7.8102882068002396E-3</v>
      </c>
    </row>
    <row r="100" spans="1:7" x14ac:dyDescent="0.25">
      <c r="A100" s="37" t="s">
        <v>55</v>
      </c>
      <c r="B100" s="62">
        <v>765.17525000000001</v>
      </c>
      <c r="C100" s="19" t="s">
        <v>394</v>
      </c>
      <c r="D100" s="19">
        <f>IF(5.7="","-",5.7/6422564.27315*100)</f>
        <v>8.8749598409303081E-5</v>
      </c>
      <c r="E100" s="19">
        <f>IF(765.17525="","-",765.17525/8346249.71981*100)</f>
        <v>9.1678930739855571E-3</v>
      </c>
      <c r="F100" s="19" t="str">
        <f>IF(OR(4848686.17434="",""="",5.7=""),"-",(5.7-"")/4848686.17434*100)</f>
        <v>-</v>
      </c>
      <c r="G100" s="19">
        <f>IF(OR(6422564.27315="",765.17525="",5.7=""),"-",(765.17525-5.7)/6422564.27315*100)</f>
        <v>1.1825109375316676E-2</v>
      </c>
    </row>
    <row r="101" spans="1:7" x14ac:dyDescent="0.25">
      <c r="A101" s="37" t="s">
        <v>103</v>
      </c>
      <c r="B101" s="62">
        <v>683.68026999999995</v>
      </c>
      <c r="C101" s="19">
        <f>IF(OR(485.88169="",683.68027=""),"-",683.68027/485.88169*100)</f>
        <v>140.70920639137481</v>
      </c>
      <c r="D101" s="19">
        <f>IF(485.88169="","-",485.88169/6422564.27315*100)</f>
        <v>7.5652289231462264E-3</v>
      </c>
      <c r="E101" s="19">
        <f>IF(683.68027="","-",683.68027/8346249.71981*100)</f>
        <v>8.1914667419699938E-3</v>
      </c>
      <c r="F101" s="19">
        <f>IF(OR(4848686.17434="",253.72402="",485.88169=""),"-",(485.88169-253.72402)/4848686.17434*100)</f>
        <v>4.788053127228865E-3</v>
      </c>
      <c r="G101" s="19">
        <f>IF(OR(6422564.27315="",683.68027="",485.88169=""),"-",(683.68027-485.88169)/6422564.27315*100)</f>
        <v>3.0797446563035793E-3</v>
      </c>
    </row>
    <row r="102" spans="1:7" x14ac:dyDescent="0.25">
      <c r="A102" s="37" t="s">
        <v>90</v>
      </c>
      <c r="B102" s="62">
        <v>675.73793000000001</v>
      </c>
      <c r="C102" s="19" t="s">
        <v>99</v>
      </c>
      <c r="D102" s="19">
        <f>IF(398.06572="","-",398.06572/6422564.27315*100)</f>
        <v>6.1979250509666814E-3</v>
      </c>
      <c r="E102" s="19">
        <f>IF(675.73793="","-",675.73793/8346249.71981*100)</f>
        <v>8.096306157676085E-3</v>
      </c>
      <c r="F102" s="19">
        <f>IF(OR(4848686.17434="",533.6977="",398.06572=""),"-",(398.06572-533.6977)/4848686.17434*100)</f>
        <v>-2.7972934342046208E-3</v>
      </c>
      <c r="G102" s="19">
        <f>IF(OR(6422564.27315="",675.73793="",398.06572=""),"-",(675.73793-398.06572)/6422564.27315*100)</f>
        <v>4.3233854608638019E-3</v>
      </c>
    </row>
    <row r="103" spans="1:7" x14ac:dyDescent="0.25">
      <c r="A103" s="37" t="s">
        <v>123</v>
      </c>
      <c r="B103" s="14">
        <v>518.41147000000001</v>
      </c>
      <c r="C103" s="19">
        <f>IF(OR(936.59781="",518.41147=""),"-",518.41147/936.59781*100)</f>
        <v>55.350489235075194</v>
      </c>
      <c r="D103" s="19">
        <f>IF(936.59781="","-",936.59781/6422564.27315*100)</f>
        <v>1.4582926229567148E-2</v>
      </c>
      <c r="E103" s="19">
        <f>IF(518.41147="","-",518.41147/8346249.71981*100)</f>
        <v>6.2113103178489792E-3</v>
      </c>
      <c r="F103" s="19">
        <f>IF(OR(4848686.17434="",1465.1285="",936.59781=""),"-",(936.59781-1465.1285)/4848686.17434*100)</f>
        <v>-1.090049285509684E-2</v>
      </c>
      <c r="G103" s="19">
        <f>IF(OR(6422564.27315="",518.41147="",936.59781=""),"-",(518.41147-936.59781)/6422564.27315*100)</f>
        <v>-6.5112052167116269E-3</v>
      </c>
    </row>
    <row r="104" spans="1:7" x14ac:dyDescent="0.25">
      <c r="A104" s="37" t="s">
        <v>94</v>
      </c>
      <c r="B104" s="62">
        <v>497.13319000000001</v>
      </c>
      <c r="C104" s="19">
        <f>IF(OR(672.68913="",497.13319=""),"-",497.13319/672.68913*100)</f>
        <v>73.902367056235917</v>
      </c>
      <c r="D104" s="19">
        <f>IF(672.68913="","-",672.68913/6422564.27315*100)</f>
        <v>1.0473840375754995E-2</v>
      </c>
      <c r="E104" s="19">
        <f>IF(497.13319="","-",497.13319/8346249.71981*100)</f>
        <v>5.9563661127948753E-3</v>
      </c>
      <c r="F104" s="19">
        <f>IF(OR(4848686.17434="",353.1186="",672.68913=""),"-",(672.68913-353.1186)/4848686.17434*100)</f>
        <v>6.5908685056008942E-3</v>
      </c>
      <c r="G104" s="19">
        <f>IF(OR(6422564.27315="",497.13319="",672.68913=""),"-",(497.13319-672.68913)/6422564.27315*100)</f>
        <v>-2.7334244163802991E-3</v>
      </c>
    </row>
    <row r="105" spans="1:7" x14ac:dyDescent="0.25">
      <c r="A105" s="74" t="s">
        <v>125</v>
      </c>
      <c r="B105" s="62">
        <v>480.14605</v>
      </c>
      <c r="C105" s="19" t="s">
        <v>345</v>
      </c>
      <c r="D105" s="19">
        <f>IF(193.30595="","-",193.30595/6422564.27315*100)</f>
        <v>3.0097939355489159E-3</v>
      </c>
      <c r="E105" s="19">
        <f>IF(480.14605="","-",480.14605/8346249.71981*100)</f>
        <v>5.7528358977848842E-3</v>
      </c>
      <c r="F105" s="19">
        <f>IF(OR(4848686.17434="",213.54397="",193.30595=""),"-",(193.30595-213.54397)/4848686.17434*100)</f>
        <v>-4.1739183094799469E-4</v>
      </c>
      <c r="G105" s="19">
        <f>IF(OR(6422564.27315="",480.14605="",193.30595=""),"-",(480.14605-193.30595)/6422564.27315*100)</f>
        <v>4.4661304706463748E-3</v>
      </c>
    </row>
    <row r="106" spans="1:7" x14ac:dyDescent="0.25">
      <c r="A106" s="37" t="s">
        <v>118</v>
      </c>
      <c r="B106" s="14">
        <v>381.52760000000001</v>
      </c>
      <c r="C106" s="19">
        <f>IF(OR(619.17563="",381.5276=""),"-",381.5276/619.17563*100)</f>
        <v>61.61863960957249</v>
      </c>
      <c r="D106" s="19">
        <f>IF(619.17563="","-",619.17563/6422564.27315*100)</f>
        <v>9.6406295626889869E-3</v>
      </c>
      <c r="E106" s="19">
        <f>IF(381.5276="","-",381.5276/8346249.71981*100)</f>
        <v>4.5712459225181849E-3</v>
      </c>
      <c r="F106" s="19">
        <f>IF(OR(4848686.17434="",266.80648="",619.17563=""),"-",(619.17563-266.80648)/4848686.17434*100)</f>
        <v>7.267311954829994E-3</v>
      </c>
      <c r="G106" s="19">
        <f>IF(OR(6422564.27315="",381.5276="",619.17563=""),"-",(381.5276-619.17563)/6422564.27315*100)</f>
        <v>-3.7002047763617552E-3</v>
      </c>
    </row>
    <row r="107" spans="1:7" x14ac:dyDescent="0.25">
      <c r="A107" s="37" t="s">
        <v>58</v>
      </c>
      <c r="B107" s="62">
        <v>343.51209999999998</v>
      </c>
      <c r="C107" s="19" t="s">
        <v>100</v>
      </c>
      <c r="D107" s="19">
        <f>IF(210.69828="","-",210.69828/6422564.27315*100)</f>
        <v>3.2805943395668243E-3</v>
      </c>
      <c r="E107" s="19">
        <f>IF(343.5121="","-",343.5121/8346249.71981*100)</f>
        <v>4.1157659012366569E-3</v>
      </c>
      <c r="F107" s="19">
        <f>IF(OR(4848686.17434="",110.14489="",210.69828=""),"-",(210.69828-110.14489)/4848686.17434*100)</f>
        <v>2.0738275562593462E-3</v>
      </c>
      <c r="G107" s="19">
        <f>IF(OR(6422564.27315="",343.5121="",210.69828=""),"-",(343.5121-210.69828)/6422564.27315*100)</f>
        <v>2.0679251207378004E-3</v>
      </c>
    </row>
    <row r="108" spans="1:7" x14ac:dyDescent="0.25">
      <c r="A108" s="37" t="s">
        <v>205</v>
      </c>
      <c r="B108" s="62">
        <v>285.51159000000001</v>
      </c>
      <c r="C108" s="19">
        <f>IF(OR(535.83251="",285.51159=""),"-",285.51159/535.83251*100)</f>
        <v>53.28373786054901</v>
      </c>
      <c r="D108" s="19">
        <f>IF(535.83251="","-",535.83251/6422564.27315*100)</f>
        <v>8.3429684345875214E-3</v>
      </c>
      <c r="E108" s="19">
        <f>IF(285.51159="","-",285.51159/8346249.71981*100)</f>
        <v>3.4208368978264842E-3</v>
      </c>
      <c r="F108" s="19">
        <f>IF(OR(4848686.17434="",127.47689="",535.83251=""),"-",(535.83251-127.47689)/4848686.17434*100)</f>
        <v>8.4219849525647011E-3</v>
      </c>
      <c r="G108" s="19">
        <f>IF(OR(6422564.27315="",285.51159="",535.83251=""),"-",(285.51159-535.83251)/6422564.27315*100)</f>
        <v>-3.8975230041135575E-3</v>
      </c>
    </row>
    <row r="109" spans="1:7" x14ac:dyDescent="0.25">
      <c r="A109" s="37" t="s">
        <v>327</v>
      </c>
      <c r="B109" s="62">
        <v>237.16224</v>
      </c>
      <c r="C109" s="19" t="s">
        <v>347</v>
      </c>
      <c r="D109" s="19">
        <f>IF(78.48579="","-",78.48579/6422564.27315*100)</f>
        <v>1.2220319900591043E-3</v>
      </c>
      <c r="E109" s="19">
        <f>IF(237.16224="","-",237.16224/8346249.71981*100)</f>
        <v>2.8415425845345894E-3</v>
      </c>
      <c r="F109" s="19">
        <f>IF(OR(4848686.17434="",114.31792="",78.48579=""),"-",(78.48579-114.31792)/4848686.17434*100)</f>
        <v>-7.3900699512435342E-4</v>
      </c>
      <c r="G109" s="19">
        <f>IF(OR(6422564.27315="",237.16224="",78.48579=""),"-",(237.16224-78.48579)/6422564.27315*100)</f>
        <v>2.4706089850024312E-3</v>
      </c>
    </row>
    <row r="110" spans="1:7" x14ac:dyDescent="0.25">
      <c r="A110" s="37" t="s">
        <v>326</v>
      </c>
      <c r="B110" s="62">
        <v>234.97783000000001</v>
      </c>
      <c r="C110" s="19">
        <f>IF(OR(157.72429="",234.97783=""),"-",234.97783/157.72429*100)</f>
        <v>148.98011587181659</v>
      </c>
      <c r="D110" s="19">
        <f>IF(157.72429="","-",157.72429/6422564.27315*100)</f>
        <v>2.4557837538407819E-3</v>
      </c>
      <c r="E110" s="19">
        <f>IF(234.97783="","-",234.97783/8346249.71981*100)</f>
        <v>2.8153702308028861E-3</v>
      </c>
      <c r="F110" s="19">
        <f>IF(OR(4848686.17434="",358.25169="",157.72429=""),"-",(157.72429-358.25169)/4848686.17434*100)</f>
        <v>-4.1357058961914699E-3</v>
      </c>
      <c r="G110" s="19">
        <f>IF(OR(6422564.27315="",234.97783="",157.72429=""),"-",(234.97783-157.72429)/6422564.27315*100)</f>
        <v>1.202845728192462E-3</v>
      </c>
    </row>
    <row r="111" spans="1:7" x14ac:dyDescent="0.25">
      <c r="A111" s="37" t="s">
        <v>291</v>
      </c>
      <c r="B111" s="62">
        <v>202.09598</v>
      </c>
      <c r="C111" s="19" t="s">
        <v>342</v>
      </c>
      <c r="D111" s="19">
        <f>IF(78.19658="","-",78.19658/6422564.27315*100)</f>
        <v>1.2175289599966562E-3</v>
      </c>
      <c r="E111" s="19">
        <f>IF(202.09598="","-",202.09598/8346249.71981*100)</f>
        <v>2.4213986734703242E-3</v>
      </c>
      <c r="F111" s="19">
        <f>IF(OR(4848686.17434="",1.77381="",78.19658=""),"-",(78.19658-1.77381)/4848686.17434*100)</f>
        <v>1.576154183878535E-3</v>
      </c>
      <c r="G111" s="19">
        <f>IF(OR(6422564.27315="",202.09598="",78.19658=""),"-",(202.09598-78.19658)/6422564.27315*100)</f>
        <v>1.9291266654655448E-3</v>
      </c>
    </row>
    <row r="112" spans="1:7" x14ac:dyDescent="0.25">
      <c r="A112" s="37" t="s">
        <v>340</v>
      </c>
      <c r="B112" s="14">
        <v>192.50820999999999</v>
      </c>
      <c r="C112" s="19" t="s">
        <v>101</v>
      </c>
      <c r="D112" s="19">
        <f>IF(99.68095="","-",99.68095/6422564.27315*100)</f>
        <v>1.5520428564136525E-3</v>
      </c>
      <c r="E112" s="19">
        <f>IF(192.50821="","-",192.50821/8346249.71981*100)</f>
        <v>2.306523486148248E-3</v>
      </c>
      <c r="F112" s="19">
        <f>IF(OR(4848686.17434="",71.65666="",99.68095=""),"-",(99.68095-71.65666)/4848686.17434*100)</f>
        <v>5.7797698164729417E-4</v>
      </c>
      <c r="G112" s="19">
        <f>IF(OR(6422564.27315="",192.50821="",99.68095=""),"-",(192.50821-99.68095)/6422564.27315*100)</f>
        <v>1.4453301835852567E-3</v>
      </c>
    </row>
    <row r="113" spans="1:7" x14ac:dyDescent="0.25">
      <c r="A113" s="37" t="s">
        <v>320</v>
      </c>
      <c r="B113" s="62">
        <v>188.86788999999999</v>
      </c>
      <c r="C113" s="19">
        <f>IF(OR(166.99974="",188.86789=""),"-",188.86789/166.99974*100)</f>
        <v>113.09472098579315</v>
      </c>
      <c r="D113" s="19">
        <f>IF(166.99974="","-",166.99974/6422564.27315*100)</f>
        <v>2.6002034841154436E-3</v>
      </c>
      <c r="E113" s="19">
        <f>IF(188.86789="","-",188.86789/8346249.71981*100)</f>
        <v>2.2629072498480131E-3</v>
      </c>
      <c r="F113" s="19">
        <f>IF(OR(4848686.17434="",118.78903="",166.99974=""),"-",(166.99974-118.78903)/4848686.17434*100)</f>
        <v>9.9430460678479396E-4</v>
      </c>
      <c r="G113" s="19">
        <f>IF(OR(6422564.27315="",188.86789="",166.99974=""),"-",(188.86789-166.99974)/6422564.27315*100)</f>
        <v>3.4048939130778947E-4</v>
      </c>
    </row>
    <row r="114" spans="1:7" x14ac:dyDescent="0.25">
      <c r="A114" s="37" t="s">
        <v>204</v>
      </c>
      <c r="B114" s="14">
        <v>185.55010999999999</v>
      </c>
      <c r="C114" s="19">
        <f>IF(OR(118.96211="",185.55011=""),"-",185.55011/118.96211*100)</f>
        <v>155.97412487051548</v>
      </c>
      <c r="D114" s="19">
        <f>IF(118.96211="","-",118.96211/6422564.27315*100)</f>
        <v>1.8522525418286557E-3</v>
      </c>
      <c r="E114" s="19">
        <f>IF(185.55011="","-",185.55011/8346249.71981*100)</f>
        <v>2.2231555037179503E-3</v>
      </c>
      <c r="F114" s="19">
        <f>IF(OR(4848686.17434="",1.12235="",118.96211=""),"-",(118.96211-1.12235)/4848686.17434*100)</f>
        <v>2.4303441337083496E-3</v>
      </c>
      <c r="G114" s="19">
        <f>IF(OR(6422564.27315="",185.55011="",118.96211=""),"-",(185.55011-118.96211)/6422564.27315*100)</f>
        <v>1.036782150680469E-3</v>
      </c>
    </row>
    <row r="115" spans="1:7" x14ac:dyDescent="0.25">
      <c r="A115" s="37" t="s">
        <v>328</v>
      </c>
      <c r="B115" s="62">
        <v>178.57715999999999</v>
      </c>
      <c r="C115" s="19" t="s">
        <v>377</v>
      </c>
      <c r="D115" s="19">
        <f>IF(5.68564="","-",5.68564/6422564.27315*100)</f>
        <v>8.8526011701731583E-5</v>
      </c>
      <c r="E115" s="19">
        <f>IF(178.57716="","-",178.57716/8346249.71981*100)</f>
        <v>2.139609597064216E-3</v>
      </c>
      <c r="F115" s="19">
        <f>IF(OR(4848686.17434="",0.81966="",5.68564=""),"-",(5.68564-0.81966)/4848686.17434*100)</f>
        <v>1.0035667034405159E-4</v>
      </c>
      <c r="G115" s="19">
        <f>IF(OR(6422564.27315="",178.57716="",5.68564=""),"-",(178.57716-5.68564)/6422564.27315*100)</f>
        <v>2.6919391172585947E-3</v>
      </c>
    </row>
    <row r="116" spans="1:7" x14ac:dyDescent="0.25">
      <c r="A116" s="37" t="s">
        <v>339</v>
      </c>
      <c r="B116" s="62">
        <v>175.30394999999999</v>
      </c>
      <c r="C116" s="19" t="s">
        <v>346</v>
      </c>
      <c r="D116" s="19">
        <f>IF(4.89148="","-",4.89148/6422564.27315*100)</f>
        <v>7.6160857127568034E-5</v>
      </c>
      <c r="E116" s="19">
        <f>IF(175.30395="","-",175.30395/8346249.71981*100)</f>
        <v>2.1003918632330441E-3</v>
      </c>
      <c r="F116" s="19">
        <f>IF(OR(4848686.17434="",4.58433="",4.89148=""),"-",(4.89148-4.58433)/4848686.17434*100)</f>
        <v>6.3347057111158383E-6</v>
      </c>
      <c r="G116" s="19">
        <f>IF(OR(6422564.27315="",175.30395="",4.89148=""),"-",(175.30395-4.89148)/6422564.27315*100)</f>
        <v>2.653340048497791E-3</v>
      </c>
    </row>
    <row r="117" spans="1:7" x14ac:dyDescent="0.25">
      <c r="A117" s="37" t="s">
        <v>290</v>
      </c>
      <c r="B117" s="62">
        <v>131.99641</v>
      </c>
      <c r="C117" s="19" t="s">
        <v>395</v>
      </c>
      <c r="D117" s="19">
        <f>IF(17.07836="","-",17.07836/6422564.27315*100)</f>
        <v>2.6591185815605357E-4</v>
      </c>
      <c r="E117" s="19">
        <f>IF(131.99641="","-",131.99641/8346249.71981*100)</f>
        <v>1.5815056394335261E-3</v>
      </c>
      <c r="F117" s="19">
        <f>IF(OR(4848686.17434="",93.09422="",17.07836=""),"-",(17.07836-93.09422)/4848686.17434*100)</f>
        <v>-1.5677620136004622E-3</v>
      </c>
      <c r="G117" s="19">
        <f>IF(OR(6422564.27315="",131.99641="",17.07836=""),"-",(131.99641-17.07836)/6422564.27315*100)</f>
        <v>1.7892861030667038E-3</v>
      </c>
    </row>
    <row r="118" spans="1:7" x14ac:dyDescent="0.25">
      <c r="A118" s="37" t="s">
        <v>354</v>
      </c>
      <c r="B118" s="62">
        <v>131.80438000000001</v>
      </c>
      <c r="C118" s="19">
        <f>IF(OR(126.63216="",131.80438=""),"-",131.80438/126.63216*100)</f>
        <v>104.08444426755416</v>
      </c>
      <c r="D118" s="19">
        <f>IF(126.63216="","-",126.63216/6422564.27315*100)</f>
        <v>1.971676025561862E-3</v>
      </c>
      <c r="E118" s="19">
        <f>IF(131.80438="","-",131.80438/8346249.71981*100)</f>
        <v>1.5792048455866296E-3</v>
      </c>
      <c r="F118" s="19">
        <f>IF(OR(4848686.17434="",70.42031="",126.63216=""),"-",(126.63216-70.42031)/4848686.17434*100)</f>
        <v>1.1593212672224866E-3</v>
      </c>
      <c r="G118" s="19">
        <f>IF(OR(6422564.27315="",131.80438="",126.63216=""),"-",(131.80438-126.63216)/6422564.27315*100)</f>
        <v>8.0532008400801126E-5</v>
      </c>
    </row>
    <row r="119" spans="1:7" x14ac:dyDescent="0.25">
      <c r="A119" s="37" t="s">
        <v>126</v>
      </c>
      <c r="B119" s="14">
        <v>123.73526</v>
      </c>
      <c r="C119" s="19">
        <f>IF(OR(305.90733="",123.73526=""),"-",123.73526/305.90733*100)</f>
        <v>40.448609060789749</v>
      </c>
      <c r="D119" s="19">
        <f>IF(305.90733="","-",305.90733/6422564.27315*100)</f>
        <v>4.763009243502132E-3</v>
      </c>
      <c r="E119" s="19">
        <f>IF(123.73526="","-",123.73526/8346249.71981*100)</f>
        <v>1.4825252557003148E-3</v>
      </c>
      <c r="F119" s="19">
        <f>IF(OR(4848686.17434="",138.86556="",305.90733=""),"-",(305.90733-138.86556)/4848686.17434*100)</f>
        <v>3.445093454057946E-3</v>
      </c>
      <c r="G119" s="19">
        <f>IF(OR(6422564.27315="",123.73526="",305.90733=""),"-",(123.73526-305.90733)/6422564.27315*100)</f>
        <v>-2.8364382550686755E-3</v>
      </c>
    </row>
    <row r="120" spans="1:7" x14ac:dyDescent="0.25">
      <c r="A120" s="37" t="s">
        <v>317</v>
      </c>
      <c r="B120" s="62">
        <v>121.7514</v>
      </c>
      <c r="C120" s="19" t="s">
        <v>371</v>
      </c>
      <c r="D120" s="19">
        <f>IF(32.1768="","-",32.1768/6422564.27315*100)</f>
        <v>5.0099615405201114E-4</v>
      </c>
      <c r="E120" s="19">
        <f>IF(121.7514="","-",121.7514/8346249.71981*100)</f>
        <v>1.4587557775921859E-3</v>
      </c>
      <c r="F120" s="19">
        <f>IF(OR(4848686.17434="",142.54715="",32.1768=""),"-",(32.1768-142.54715)/4848686.17434*100)</f>
        <v>-2.2762939491546598E-3</v>
      </c>
      <c r="G120" s="19">
        <f>IF(OR(6422564.27315="",121.7514="",32.1768=""),"-",(121.7514-32.1768)/6422564.27315*100)</f>
        <v>1.3946859259077122E-3</v>
      </c>
    </row>
    <row r="121" spans="1:7" x14ac:dyDescent="0.25">
      <c r="A121" s="37" t="s">
        <v>329</v>
      </c>
      <c r="B121" s="14">
        <v>112.27212</v>
      </c>
      <c r="C121" s="19" t="s">
        <v>99</v>
      </c>
      <c r="D121" s="19">
        <f>IF(67.78432="","-",67.78432/6422564.27315*100)</f>
        <v>1.0554089786750332E-3</v>
      </c>
      <c r="E121" s="19">
        <f>IF(112.27212="","-",112.27212/8346249.71981*100)</f>
        <v>1.3451804555226735E-3</v>
      </c>
      <c r="F121" s="19">
        <f>IF(OR(4848686.17434="",60.54101="",67.78432=""),"-",(67.78432-60.54101)/4848686.17434*100)</f>
        <v>1.4938706568250827E-4</v>
      </c>
      <c r="G121" s="19">
        <f>IF(OR(6422564.27315="",112.27212="",67.78432=""),"-",(112.27212-67.78432)/6422564.27315*100)</f>
        <v>6.9267971651112178E-4</v>
      </c>
    </row>
    <row r="122" spans="1:7" x14ac:dyDescent="0.25">
      <c r="A122" s="37" t="s">
        <v>333</v>
      </c>
      <c r="B122" s="62">
        <v>106.178</v>
      </c>
      <c r="C122" s="19">
        <f>IF(OR(75.00848="",106.178=""),"-",106.178/75.00848*100)</f>
        <v>141.55466155293374</v>
      </c>
      <c r="D122" s="19">
        <f>IF(75.00848="","-",75.00848/6422564.27315*100)</f>
        <v>1.1678899082968846E-3</v>
      </c>
      <c r="E122" s="19">
        <f>IF(106.178="","-",106.178/8346249.71981*100)</f>
        <v>1.2721641882818852E-3</v>
      </c>
      <c r="F122" s="19">
        <f>IF(OR(4848686.17434="",28.94562="",75.00848=""),"-",(75.00848-28.94562)/4848686.17434*100)</f>
        <v>9.5000703992293421E-4</v>
      </c>
      <c r="G122" s="19">
        <f>IF(OR(6422564.27315="",106.178="",75.00848=""),"-",(106.178-75.00848)/6422564.27315*100)</f>
        <v>4.8531269870363852E-4</v>
      </c>
    </row>
    <row r="123" spans="1:7" x14ac:dyDescent="0.25">
      <c r="A123" s="37" t="s">
        <v>389</v>
      </c>
      <c r="B123" s="14">
        <v>88.315929999999994</v>
      </c>
      <c r="C123" s="19">
        <f>IF(OR(114.88844="",88.31593=""),"-",88.31593/114.88844*100)</f>
        <v>76.871032455484638</v>
      </c>
      <c r="D123" s="19">
        <f>IF(114.88844="","-",114.88844/6422564.27315*100)</f>
        <v>1.7888250722581248E-3</v>
      </c>
      <c r="E123" s="19">
        <f>IF(88.31593="","-",88.31593/8346249.71981*100)</f>
        <v>1.0581510614327808E-3</v>
      </c>
      <c r="F123" s="19">
        <f>IF(OR(4848686.17434="",23.77629="",114.88844=""),"-",(114.88844-23.77629)/4848686.17434*100)</f>
        <v>1.8791100666027767E-3</v>
      </c>
      <c r="G123" s="19">
        <f>IF(OR(6422564.27315="",88.31593="",114.88844=""),"-",(88.31593-114.88844)/6422564.27315*100)</f>
        <v>-4.1373677039073525E-4</v>
      </c>
    </row>
    <row r="124" spans="1:7" x14ac:dyDescent="0.25">
      <c r="A124" s="38" t="s">
        <v>341</v>
      </c>
      <c r="B124" s="69">
        <v>71.623750000000001</v>
      </c>
      <c r="C124" s="23" t="s">
        <v>18</v>
      </c>
      <c r="D124" s="23">
        <f>IF(36.02588="","-",36.02588/6422564.27315*100)</f>
        <v>5.6092673374416558E-4</v>
      </c>
      <c r="E124" s="23">
        <f>IF(71.62375="","-",71.62375/8346249.71981*100)</f>
        <v>8.581548887759674E-4</v>
      </c>
      <c r="F124" s="23">
        <f>IF(OR(4848686.17434="",39.4054="",36.02588=""),"-",(36.02588-39.4054)/4848686.17434*100)</f>
        <v>-6.9699705827218583E-5</v>
      </c>
      <c r="G124" s="23">
        <f>IF(OR(6422564.27315="",71.62375="",36.02588=""),"-",(71.62375-36.02588)/6422564.27315*100)</f>
        <v>5.5426257310992586E-4</v>
      </c>
    </row>
    <row r="125" spans="1:7" x14ac:dyDescent="0.25">
      <c r="A125" s="24" t="s">
        <v>281</v>
      </c>
      <c r="B125" s="25"/>
      <c r="C125" s="25"/>
      <c r="D125" s="25"/>
      <c r="E125" s="25"/>
      <c r="F125" s="6"/>
      <c r="G125" s="6"/>
    </row>
    <row r="126" spans="1:7" x14ac:dyDescent="0.25">
      <c r="A126" s="78" t="s">
        <v>296</v>
      </c>
      <c r="B126" s="78"/>
      <c r="C126" s="78"/>
      <c r="D126" s="78"/>
      <c r="E126" s="78"/>
      <c r="F126" s="6"/>
      <c r="G126" s="6"/>
    </row>
  </sheetData>
  <mergeCells count="10">
    <mergeCell ref="A126:E126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40"/>
  <sheetViews>
    <sheetView workbookViewId="0">
      <selection activeCell="G10" sqref="G10"/>
    </sheetView>
  </sheetViews>
  <sheetFormatPr defaultRowHeight="15.75" x14ac:dyDescent="0.25"/>
  <cols>
    <col min="1" max="1" width="45.875" customWidth="1"/>
    <col min="2" max="2" width="15.625" customWidth="1"/>
    <col min="3" max="3" width="15.375" customWidth="1"/>
    <col min="4" max="4" width="12.875" customWidth="1"/>
  </cols>
  <sheetData>
    <row r="1" spans="1:4" x14ac:dyDescent="0.25">
      <c r="A1" s="92" t="s">
        <v>297</v>
      </c>
      <c r="B1" s="92"/>
      <c r="C1" s="92"/>
      <c r="D1" s="92"/>
    </row>
    <row r="2" spans="1:4" x14ac:dyDescent="0.25">
      <c r="A2" s="3"/>
    </row>
    <row r="3" spans="1:4" ht="33" customHeight="1" x14ac:dyDescent="0.25">
      <c r="A3" s="95"/>
      <c r="B3" s="99" t="s">
        <v>385</v>
      </c>
      <c r="C3" s="100"/>
      <c r="D3" s="97" t="s">
        <v>388</v>
      </c>
    </row>
    <row r="4" spans="1:4" ht="29.25" customHeight="1" x14ac:dyDescent="0.25">
      <c r="A4" s="96"/>
      <c r="B4" s="30" t="s">
        <v>306</v>
      </c>
      <c r="C4" s="31" t="s">
        <v>307</v>
      </c>
      <c r="D4" s="98"/>
    </row>
    <row r="5" spans="1:4" ht="16.5" customHeight="1" x14ac:dyDescent="0.25">
      <c r="A5" s="53" t="s">
        <v>202</v>
      </c>
      <c r="B5" s="58">
        <v>-3603030.5416999999</v>
      </c>
      <c r="C5" s="58">
        <v>-4360898.8447799999</v>
      </c>
      <c r="D5" s="58">
        <f>IF(-3603030.5417="","-",-4360898.84478/-3603030.5417*100)</f>
        <v>121.03419036582517</v>
      </c>
    </row>
    <row r="6" spans="1:4" x14ac:dyDescent="0.25">
      <c r="A6" s="22" t="s">
        <v>124</v>
      </c>
      <c r="B6" s="44"/>
      <c r="C6" s="44"/>
      <c r="D6" s="44"/>
    </row>
    <row r="7" spans="1:4" x14ac:dyDescent="0.25">
      <c r="A7" s="36" t="s">
        <v>334</v>
      </c>
      <c r="B7" s="21">
        <v>-1126334.3564500001</v>
      </c>
      <c r="C7" s="21">
        <v>-1536499.33344</v>
      </c>
      <c r="D7" s="21">
        <f>IF(-1126334.35645="","-",-1536499.33344/-1126334.35645*100)</f>
        <v>136.41591634323976</v>
      </c>
    </row>
    <row r="8" spans="1:4" x14ac:dyDescent="0.25">
      <c r="A8" s="37" t="s">
        <v>2</v>
      </c>
      <c r="B8" s="19">
        <v>-4510.5493800000004</v>
      </c>
      <c r="C8" s="19">
        <v>-355759.28870999999</v>
      </c>
      <c r="D8" s="19" t="s">
        <v>396</v>
      </c>
    </row>
    <row r="9" spans="1:4" x14ac:dyDescent="0.25">
      <c r="A9" s="37" t="s">
        <v>4</v>
      </c>
      <c r="B9" s="19">
        <v>-261404.63068</v>
      </c>
      <c r="C9" s="19">
        <v>-309948.61965000001</v>
      </c>
      <c r="D9" s="19">
        <f>IF(OR(-261404.63068="",-309948.61965="",-261404.63068=0),"-",-309948.61965/-261404.63068*100)</f>
        <v>118.5704395686186</v>
      </c>
    </row>
    <row r="10" spans="1:4" x14ac:dyDescent="0.25">
      <c r="A10" s="37" t="s">
        <v>5</v>
      </c>
      <c r="B10" s="19">
        <v>-137411.41922000001</v>
      </c>
      <c r="C10" s="19">
        <v>-163711.77875</v>
      </c>
      <c r="D10" s="19">
        <f>IF(OR(-137411.41922="",-163711.77875="",-137411.41922=0),"-",-163711.77875/-137411.41922*100)</f>
        <v>119.13986456095928</v>
      </c>
    </row>
    <row r="11" spans="1:4" x14ac:dyDescent="0.25">
      <c r="A11" s="37" t="s">
        <v>298</v>
      </c>
      <c r="B11" s="19">
        <v>-125023.14537</v>
      </c>
      <c r="C11" s="19">
        <v>-129504.09931000001</v>
      </c>
      <c r="D11" s="19">
        <f>IF(OR(-125023.14537="",-129504.09931="",-125023.14537=0),"-",-129504.09931/-125023.14537*100)</f>
        <v>103.5840995095259</v>
      </c>
    </row>
    <row r="12" spans="1:4" x14ac:dyDescent="0.25">
      <c r="A12" s="37" t="s">
        <v>40</v>
      </c>
      <c r="B12" s="19">
        <v>-73059.046600000001</v>
      </c>
      <c r="C12" s="19">
        <v>-114944.18478</v>
      </c>
      <c r="D12" s="19">
        <f>IF(OR(-73059.0466="",-114944.18478="",-73059.0466=0),"-",-114944.18478/-73059.0466*100)</f>
        <v>157.33052938580229</v>
      </c>
    </row>
    <row r="13" spans="1:4" x14ac:dyDescent="0.25">
      <c r="A13" s="37" t="s">
        <v>3</v>
      </c>
      <c r="B13" s="19">
        <v>-186592.0729</v>
      </c>
      <c r="C13" s="19">
        <v>-87803.823260000005</v>
      </c>
      <c r="D13" s="19">
        <f>IF(OR(-186592.0729="",-87803.82326="",-186592.0729=0),"-",-87803.82326/-186592.0729*100)</f>
        <v>47.05656671012845</v>
      </c>
    </row>
    <row r="14" spans="1:4" x14ac:dyDescent="0.25">
      <c r="A14" s="37" t="s">
        <v>38</v>
      </c>
      <c r="B14" s="19">
        <v>-39825.574820000002</v>
      </c>
      <c r="C14" s="19">
        <v>-62124.57617</v>
      </c>
      <c r="D14" s="19">
        <f>IF(OR(-39825.57482="",-62124.57617="",-39825.57482=0),"-",-62124.57617/-39825.57482*100)</f>
        <v>155.9916622692453</v>
      </c>
    </row>
    <row r="15" spans="1:4" x14ac:dyDescent="0.25">
      <c r="A15" s="37" t="s">
        <v>7</v>
      </c>
      <c r="B15" s="19">
        <v>-70746.523730000001</v>
      </c>
      <c r="C15" s="19">
        <v>-55573.594519999999</v>
      </c>
      <c r="D15" s="19">
        <f>IF(OR(-70746.52373="",-55573.59452="",-70746.52373=0),"-",-55573.59452/-70746.52373*100)</f>
        <v>78.553109877304223</v>
      </c>
    </row>
    <row r="16" spans="1:4" x14ac:dyDescent="0.25">
      <c r="A16" s="37" t="s">
        <v>42</v>
      </c>
      <c r="B16" s="19">
        <v>-20924.522550000002</v>
      </c>
      <c r="C16" s="19">
        <v>-40738.934520000003</v>
      </c>
      <c r="D16" s="19" t="s">
        <v>101</v>
      </c>
    </row>
    <row r="17" spans="1:4" x14ac:dyDescent="0.25">
      <c r="A17" s="37" t="s">
        <v>39</v>
      </c>
      <c r="B17" s="19">
        <v>-27263.197660000002</v>
      </c>
      <c r="C17" s="19">
        <v>-32197.64083</v>
      </c>
      <c r="D17" s="19">
        <f>IF(OR(-27263.19766="",-32197.64083="",-27263.19766=0),"-",-32197.64083/-27263.19766*100)</f>
        <v>118.09928252561406</v>
      </c>
    </row>
    <row r="18" spans="1:4" x14ac:dyDescent="0.25">
      <c r="A18" s="37" t="s">
        <v>8</v>
      </c>
      <c r="B18" s="19">
        <v>-3940.33646</v>
      </c>
      <c r="C18" s="19">
        <v>-31622.964070000002</v>
      </c>
      <c r="D18" s="19" t="s">
        <v>374</v>
      </c>
    </row>
    <row r="19" spans="1:4" x14ac:dyDescent="0.25">
      <c r="A19" s="37" t="s">
        <v>308</v>
      </c>
      <c r="B19" s="19">
        <v>-32145.705460000001</v>
      </c>
      <c r="C19" s="19">
        <v>-30352.27592</v>
      </c>
      <c r="D19" s="19">
        <f>IF(OR(-32145.70546="",-30352.27592="",-32145.70546=0),"-",-30352.27592/-32145.70546*100)</f>
        <v>94.420935816040412</v>
      </c>
    </row>
    <row r="20" spans="1:4" x14ac:dyDescent="0.25">
      <c r="A20" s="37" t="s">
        <v>48</v>
      </c>
      <c r="B20" s="19">
        <v>-22830.979759999998</v>
      </c>
      <c r="C20" s="19">
        <v>-30252.022929999999</v>
      </c>
      <c r="D20" s="19">
        <f>IF(OR(-22830.97976="",-30252.02293="",-22830.97976=0),"-",-30252.02293/-22830.97976*100)</f>
        <v>132.50426940941759</v>
      </c>
    </row>
    <row r="21" spans="1:4" x14ac:dyDescent="0.25">
      <c r="A21" s="37" t="s">
        <v>50</v>
      </c>
      <c r="B21" s="19">
        <v>-26834.10771</v>
      </c>
      <c r="C21" s="19">
        <v>-26153.936300000001</v>
      </c>
      <c r="D21" s="19">
        <f>IF(OR(-26834.10771="",-26153.9363="",-26834.10771=0),"-",-26153.9363/-26834.10771*100)</f>
        <v>97.465272863362145</v>
      </c>
    </row>
    <row r="22" spans="1:4" x14ac:dyDescent="0.25">
      <c r="A22" s="37" t="s">
        <v>47</v>
      </c>
      <c r="B22" s="19">
        <v>-11962.100930000001</v>
      </c>
      <c r="C22" s="19">
        <v>-18448.767029999999</v>
      </c>
      <c r="D22" s="19">
        <f>IF(OR(-11962.10093="",-18448.76703="",-11962.10093=0),"-",-18448.76703/-11962.10093*100)</f>
        <v>154.22681298175601</v>
      </c>
    </row>
    <row r="23" spans="1:4" x14ac:dyDescent="0.25">
      <c r="A23" s="37" t="s">
        <v>331</v>
      </c>
      <c r="B23" s="19">
        <v>-34089.521139999997</v>
      </c>
      <c r="C23" s="19">
        <v>-18386.87716</v>
      </c>
      <c r="D23" s="19">
        <f>IF(OR(-34089.52114="",-18386.87716="",-34089.52114=0),"-",-18386.87716/-34089.52114*100)</f>
        <v>53.937035620090271</v>
      </c>
    </row>
    <row r="24" spans="1:4" x14ac:dyDescent="0.25">
      <c r="A24" s="37" t="s">
        <v>46</v>
      </c>
      <c r="B24" s="19">
        <v>-13729.832420000001</v>
      </c>
      <c r="C24" s="19">
        <v>-17042.737870000001</v>
      </c>
      <c r="D24" s="19">
        <f>IF(OR(-13729.83242="",-17042.73787="",-13729.83242=0),"-",-17042.73787/-13729.83242*100)</f>
        <v>124.12924898612856</v>
      </c>
    </row>
    <row r="25" spans="1:4" x14ac:dyDescent="0.25">
      <c r="A25" s="37" t="s">
        <v>43</v>
      </c>
      <c r="B25" s="19">
        <v>-7508.4644200000002</v>
      </c>
      <c r="C25" s="19">
        <v>-10952.07713</v>
      </c>
      <c r="D25" s="19">
        <f>IF(OR(-7508.46442="",-10952.07713="",-7508.46442=0),"-",-10952.07713/-7508.46442*100)</f>
        <v>145.86307555546756</v>
      </c>
    </row>
    <row r="26" spans="1:4" x14ac:dyDescent="0.25">
      <c r="A26" s="37" t="s">
        <v>51</v>
      </c>
      <c r="B26" s="19">
        <v>-6237.5847000000003</v>
      </c>
      <c r="C26" s="19">
        <v>-7318.2715200000002</v>
      </c>
      <c r="D26" s="19">
        <f>IF(OR(-6237.5847="",-7318.27152="",-6237.5847=0),"-",-7318.27152/-6237.5847*100)</f>
        <v>117.32540513638234</v>
      </c>
    </row>
    <row r="27" spans="1:4" x14ac:dyDescent="0.25">
      <c r="A27" s="37" t="s">
        <v>299</v>
      </c>
      <c r="B27" s="19">
        <v>-5211.5906999999997</v>
      </c>
      <c r="C27" s="19">
        <v>-5881.1364800000001</v>
      </c>
      <c r="D27" s="19">
        <f>IF(OR(-5211.5907="",-5881.13648="",-5211.5907=0),"-",-5881.13648/-5211.5907*100)</f>
        <v>112.84724412452421</v>
      </c>
    </row>
    <row r="28" spans="1:4" x14ac:dyDescent="0.25">
      <c r="A28" s="37" t="s">
        <v>52</v>
      </c>
      <c r="B28" s="19">
        <v>-2235.1805800000002</v>
      </c>
      <c r="C28" s="19">
        <v>-2715.7870899999998</v>
      </c>
      <c r="D28" s="19">
        <f>IF(OR(-2235.18058="",-2715.78709="",-2235.18058=0),"-",-2715.78709/-2235.18058*100)</f>
        <v>121.50190970252612</v>
      </c>
    </row>
    <row r="29" spans="1:4" x14ac:dyDescent="0.25">
      <c r="A29" s="37" t="s">
        <v>49</v>
      </c>
      <c r="B29" s="19">
        <v>-7933.63375</v>
      </c>
      <c r="C29" s="19">
        <v>-1932.9202</v>
      </c>
      <c r="D29" s="19">
        <f>IF(OR(-7933.63375="",-1932.9202="",-7933.63375=0),"-",-1932.9202/-7933.63375*100)</f>
        <v>24.363617743256675</v>
      </c>
    </row>
    <row r="30" spans="1:4" x14ac:dyDescent="0.25">
      <c r="A30" s="37" t="s">
        <v>44</v>
      </c>
      <c r="B30" s="19">
        <v>-576.36024999999995</v>
      </c>
      <c r="C30" s="19">
        <v>-1799.77125</v>
      </c>
      <c r="D30" s="19" t="s">
        <v>330</v>
      </c>
    </row>
    <row r="31" spans="1:4" x14ac:dyDescent="0.25">
      <c r="A31" s="37" t="s">
        <v>41</v>
      </c>
      <c r="B31" s="19">
        <v>-6644.1710499999999</v>
      </c>
      <c r="C31" s="19">
        <v>-1694.4000699999999</v>
      </c>
      <c r="D31" s="19">
        <f>IF(OR(-6644.17105="",-1694.40007="",-6644.17105=0),"-",-1694.40007/-6644.17105*100)</f>
        <v>25.502053713683363</v>
      </c>
    </row>
    <row r="32" spans="1:4" x14ac:dyDescent="0.25">
      <c r="A32" s="37" t="s">
        <v>53</v>
      </c>
      <c r="B32" s="19">
        <v>-6.3378399999999999</v>
      </c>
      <c r="C32" s="19">
        <v>-34.969430000000003</v>
      </c>
      <c r="D32" s="19" t="s">
        <v>397</v>
      </c>
    </row>
    <row r="33" spans="1:4" x14ac:dyDescent="0.25">
      <c r="A33" s="37" t="s">
        <v>6</v>
      </c>
      <c r="B33" s="19">
        <v>-6992.8296499999997</v>
      </c>
      <c r="C33" s="19">
        <v>6718.9477200000001</v>
      </c>
      <c r="D33" s="19" t="s">
        <v>20</v>
      </c>
    </row>
    <row r="34" spans="1:4" x14ac:dyDescent="0.25">
      <c r="A34" s="37" t="s">
        <v>45</v>
      </c>
      <c r="B34" s="19">
        <v>9347.9041699999998</v>
      </c>
      <c r="C34" s="19">
        <v>13815.57856</v>
      </c>
      <c r="D34" s="19">
        <f>IF(OR(9347.90417="",13815.57856="",9347.90417=0),"-",13815.57856/9347.90417*100)</f>
        <v>147.79332681156487</v>
      </c>
    </row>
    <row r="35" spans="1:4" ht="25.5" x14ac:dyDescent="0.25">
      <c r="A35" s="37" t="s">
        <v>417</v>
      </c>
      <c r="B35" s="19">
        <v>-42.840890000000002</v>
      </c>
      <c r="C35" s="19">
        <v>-138.40477000000001</v>
      </c>
      <c r="D35" s="19" t="s">
        <v>351</v>
      </c>
    </row>
    <row r="36" spans="1:4" x14ac:dyDescent="0.25">
      <c r="A36" s="36" t="s">
        <v>198</v>
      </c>
      <c r="B36" s="21">
        <v>-1248857.63163</v>
      </c>
      <c r="C36" s="21">
        <v>-1129599.6459999999</v>
      </c>
      <c r="D36" s="21">
        <f>IF(-1248857.63163="","-",-1129599.646/-1248857.63163*100)</f>
        <v>90.450634034694147</v>
      </c>
    </row>
    <row r="37" spans="1:4" x14ac:dyDescent="0.25">
      <c r="A37" s="37" t="s">
        <v>300</v>
      </c>
      <c r="B37" s="19">
        <v>-650236.56373000005</v>
      </c>
      <c r="C37" s="19">
        <v>-925408.65046000003</v>
      </c>
      <c r="D37" s="19">
        <f>IF(OR(-650236.56373="",-925408.65046="",-650236.56373=0),"-",-925408.65046/-650236.56373*100)</f>
        <v>142.31876551996859</v>
      </c>
    </row>
    <row r="38" spans="1:4" x14ac:dyDescent="0.25">
      <c r="A38" s="37" t="s">
        <v>10</v>
      </c>
      <c r="B38" s="19">
        <v>-521111.53278000001</v>
      </c>
      <c r="C38" s="19">
        <v>-160138.27275</v>
      </c>
      <c r="D38" s="19">
        <f>IF(OR(-521111.53278="",-160138.27275="",-521111.53278=0),"-",-160138.27275/-521111.53278*100)</f>
        <v>30.730134083907579</v>
      </c>
    </row>
    <row r="39" spans="1:4" x14ac:dyDescent="0.25">
      <c r="A39" s="37" t="s">
        <v>9</v>
      </c>
      <c r="B39" s="19">
        <v>-69914.997799999997</v>
      </c>
      <c r="C39" s="19">
        <v>-13615.663130000001</v>
      </c>
      <c r="D39" s="19">
        <f>IF(OR(-69914.9978="",-13615.66313="",-69914.9978=0),"-",-13615.66313/-69914.9978*100)</f>
        <v>19.474595663936359</v>
      </c>
    </row>
    <row r="40" spans="1:4" x14ac:dyDescent="0.25">
      <c r="A40" s="37" t="s">
        <v>14</v>
      </c>
      <c r="B40" s="19">
        <v>-6524.0318799999995</v>
      </c>
      <c r="C40" s="19">
        <v>-11978.103069999999</v>
      </c>
      <c r="D40" s="19" t="s">
        <v>197</v>
      </c>
    </row>
    <row r="41" spans="1:4" x14ac:dyDescent="0.25">
      <c r="A41" s="37" t="s">
        <v>13</v>
      </c>
      <c r="B41" s="19">
        <v>-4510.78611</v>
      </c>
      <c r="C41" s="19">
        <v>-10306.613670000001</v>
      </c>
      <c r="D41" s="19" t="s">
        <v>349</v>
      </c>
    </row>
    <row r="42" spans="1:4" x14ac:dyDescent="0.25">
      <c r="A42" s="37" t="s">
        <v>12</v>
      </c>
      <c r="B42" s="19">
        <v>2637.5302499999998</v>
      </c>
      <c r="C42" s="19">
        <v>-7040.4567200000001</v>
      </c>
      <c r="D42" s="19" t="s">
        <v>20</v>
      </c>
    </row>
    <row r="43" spans="1:4" x14ac:dyDescent="0.25">
      <c r="A43" s="37" t="s">
        <v>309</v>
      </c>
      <c r="B43" s="19">
        <v>1235.52431</v>
      </c>
      <c r="C43" s="19">
        <v>-1946.7827</v>
      </c>
      <c r="D43" s="19" t="s">
        <v>20</v>
      </c>
    </row>
    <row r="44" spans="1:4" x14ac:dyDescent="0.25">
      <c r="A44" s="37" t="s">
        <v>11</v>
      </c>
      <c r="B44" s="19">
        <v>-782.81176000000005</v>
      </c>
      <c r="C44" s="19">
        <v>-414.67345</v>
      </c>
      <c r="D44" s="19">
        <f>IF(OR(-782.81176="",-414.67345="",-782.81176=0),"-",-414.67345/-782.81176*100)</f>
        <v>52.972307161047247</v>
      </c>
    </row>
    <row r="45" spans="1:4" x14ac:dyDescent="0.25">
      <c r="A45" s="37" t="s">
        <v>16</v>
      </c>
      <c r="B45" s="19">
        <v>205.06702000000001</v>
      </c>
      <c r="C45" s="19">
        <v>240.49089000000001</v>
      </c>
      <c r="D45" s="19">
        <f>IF(OR(205.06702="",240.49089="",205.06702=0),"-",240.49089/205.06702*100)</f>
        <v>117.27428915678395</v>
      </c>
    </row>
    <row r="46" spans="1:4" x14ac:dyDescent="0.25">
      <c r="A46" s="37" t="s">
        <v>15</v>
      </c>
      <c r="B46" s="19">
        <v>144.97085000000001</v>
      </c>
      <c r="C46" s="19">
        <v>1009.07906</v>
      </c>
      <c r="D46" s="19" t="s">
        <v>398</v>
      </c>
    </row>
    <row r="47" spans="1:4" x14ac:dyDescent="0.25">
      <c r="A47" s="36" t="s">
        <v>133</v>
      </c>
      <c r="B47" s="21">
        <v>-1227838.5536199999</v>
      </c>
      <c r="C47" s="21">
        <v>-1694799.86534</v>
      </c>
      <c r="D47" s="21">
        <f>IF(-1227838.55362="","-",-1694799.86534/-1227838.55362*100)</f>
        <v>138.03116544461582</v>
      </c>
    </row>
    <row r="48" spans="1:4" x14ac:dyDescent="0.25">
      <c r="A48" s="37" t="s">
        <v>57</v>
      </c>
      <c r="B48" s="19">
        <v>-731867.25167999999</v>
      </c>
      <c r="C48" s="19">
        <v>-846235.12028000003</v>
      </c>
      <c r="D48" s="19">
        <f>IF(OR(-731867.25168="",-846235.12028="",-731867.25168=0),"-",-846235.12028/-731867.25168*100)</f>
        <v>115.62685969859545</v>
      </c>
    </row>
    <row r="49" spans="1:4" x14ac:dyDescent="0.25">
      <c r="A49" s="37" t="s">
        <v>54</v>
      </c>
      <c r="B49" s="33">
        <v>-210647.35131999999</v>
      </c>
      <c r="C49" s="33">
        <v>-307722.43255999999</v>
      </c>
      <c r="D49" s="19">
        <f>IF(OR(-210647.35132="",-307722.43256="",-210647.35132=0),"-",-307722.43256/-210647.35132*100)</f>
        <v>146.08416893527928</v>
      </c>
    </row>
    <row r="50" spans="1:4" x14ac:dyDescent="0.25">
      <c r="A50" s="37" t="s">
        <v>67</v>
      </c>
      <c r="B50" s="19">
        <v>-39687.477030000002</v>
      </c>
      <c r="C50" s="19">
        <v>-232516.5747</v>
      </c>
      <c r="D50" s="19" t="s">
        <v>355</v>
      </c>
    </row>
    <row r="51" spans="1:4" x14ac:dyDescent="0.25">
      <c r="A51" s="37" t="s">
        <v>17</v>
      </c>
      <c r="B51" s="19">
        <v>-67129.876300000004</v>
      </c>
      <c r="C51" s="19">
        <v>-78535.383459999997</v>
      </c>
      <c r="D51" s="19">
        <f>IF(OR(-67129.8763="",-78535.38346="",-67129.8763=0),"-",-78535.38346/-67129.8763*100)</f>
        <v>116.99021030372433</v>
      </c>
    </row>
    <row r="52" spans="1:4" x14ac:dyDescent="0.25">
      <c r="A52" s="37" t="s">
        <v>73</v>
      </c>
      <c r="B52" s="19">
        <v>-57260.370719999999</v>
      </c>
      <c r="C52" s="19">
        <v>-61855.722249999999</v>
      </c>
      <c r="D52" s="19">
        <f>IF(OR(-57260.37072="",-61855.72225="",-57260.37072=0),"-",-61855.72225/-57260.37072*100)</f>
        <v>108.02536112186736</v>
      </c>
    </row>
    <row r="53" spans="1:4" x14ac:dyDescent="0.25">
      <c r="A53" s="37" t="s">
        <v>34</v>
      </c>
      <c r="B53" s="19">
        <v>-50374.623469999999</v>
      </c>
      <c r="C53" s="19">
        <v>-54342.695769999998</v>
      </c>
      <c r="D53" s="19">
        <f>IF(OR(-50374.62347="",-54342.69577="",-50374.62347=0),"-",-54342.69577/-50374.62347*100)</f>
        <v>107.87712547839318</v>
      </c>
    </row>
    <row r="54" spans="1:4" x14ac:dyDescent="0.25">
      <c r="A54" s="37" t="s">
        <v>69</v>
      </c>
      <c r="B54" s="33">
        <v>-47288.748449999999</v>
      </c>
      <c r="C54" s="33">
        <v>-35884.467929999999</v>
      </c>
      <c r="D54" s="19">
        <f>IF(OR(-47288.74845="",-35884.46793="",-47288.74845=0),"-",-35884.46793/-47288.74845*100)</f>
        <v>75.883733670688841</v>
      </c>
    </row>
    <row r="55" spans="1:4" x14ac:dyDescent="0.25">
      <c r="A55" s="37" t="s">
        <v>64</v>
      </c>
      <c r="B55" s="33">
        <v>-11119.808660000001</v>
      </c>
      <c r="C55" s="19">
        <v>-22457.266589999999</v>
      </c>
      <c r="D55" s="19" t="s">
        <v>18</v>
      </c>
    </row>
    <row r="56" spans="1:4" x14ac:dyDescent="0.25">
      <c r="A56" s="37" t="s">
        <v>60</v>
      </c>
      <c r="B56" s="19">
        <v>78.104280000000003</v>
      </c>
      <c r="C56" s="19">
        <v>-21781.768250000001</v>
      </c>
      <c r="D56" s="19" t="s">
        <v>20</v>
      </c>
    </row>
    <row r="57" spans="1:4" x14ac:dyDescent="0.25">
      <c r="A57" s="37" t="s">
        <v>311</v>
      </c>
      <c r="B57" s="19">
        <v>-19953.282859999999</v>
      </c>
      <c r="C57" s="19">
        <v>-20907.556909999999</v>
      </c>
      <c r="D57" s="19">
        <f>IF(OR(-19953.28286="",-20907.55691="",-19953.28286=0),"-",-20907.55691/-19953.28286*100)</f>
        <v>104.78254158323499</v>
      </c>
    </row>
    <row r="58" spans="1:4" x14ac:dyDescent="0.25">
      <c r="A58" s="37" t="s">
        <v>76</v>
      </c>
      <c r="B58" s="19">
        <v>-20033.316439999999</v>
      </c>
      <c r="C58" s="19">
        <v>-19069.565399999999</v>
      </c>
      <c r="D58" s="19">
        <f>IF(OR(-20033.31644="",-19069.5654="",-20033.31644=0),"-",-19069.5654/-20033.31644*100)</f>
        <v>95.189258638795806</v>
      </c>
    </row>
    <row r="59" spans="1:4" x14ac:dyDescent="0.25">
      <c r="A59" s="37" t="s">
        <v>71</v>
      </c>
      <c r="B59" s="19">
        <v>-10531.74591</v>
      </c>
      <c r="C59" s="19">
        <v>-15010.893029999999</v>
      </c>
      <c r="D59" s="19">
        <f>IF(OR(-10531.74591="",-15010.89303="",-10531.74591=0),"-",-15010.89303/-10531.74591*100)</f>
        <v>142.52995807415942</v>
      </c>
    </row>
    <row r="60" spans="1:4" x14ac:dyDescent="0.25">
      <c r="A60" s="37" t="s">
        <v>79</v>
      </c>
      <c r="B60" s="33">
        <v>-12441.30291</v>
      </c>
      <c r="C60" s="33">
        <v>-13105.9349</v>
      </c>
      <c r="D60" s="19">
        <f>IF(OR(-12441.30291="",-13105.9349="",-12441.30291=0),"-",-13105.9349/-12441.30291*100)</f>
        <v>105.3421413722335</v>
      </c>
    </row>
    <row r="61" spans="1:4" x14ac:dyDescent="0.25">
      <c r="A61" s="37" t="s">
        <v>68</v>
      </c>
      <c r="B61" s="19">
        <v>-8339.3472099999999</v>
      </c>
      <c r="C61" s="19">
        <v>-12427.052180000001</v>
      </c>
      <c r="D61" s="19">
        <f>IF(OR(-8339.34721="",-12427.05218="",-8339.34721=0),"-",-12427.05218/-8339.34721*100)</f>
        <v>149.01708571503406</v>
      </c>
    </row>
    <row r="62" spans="1:4" x14ac:dyDescent="0.25">
      <c r="A62" s="37" t="s">
        <v>75</v>
      </c>
      <c r="B62" s="19">
        <v>-11111.5208</v>
      </c>
      <c r="C62" s="19">
        <v>-11793.34692</v>
      </c>
      <c r="D62" s="19">
        <f>IF(OR(-11111.5208="",-11793.34692="",-11111.5208=0),"-",-11793.34692/-11111.5208*100)</f>
        <v>106.13620882570818</v>
      </c>
    </row>
    <row r="63" spans="1:4" x14ac:dyDescent="0.25">
      <c r="A63" s="37" t="s">
        <v>59</v>
      </c>
      <c r="B63" s="19">
        <v>-9021.0704800000003</v>
      </c>
      <c r="C63" s="19">
        <v>-11170.82589</v>
      </c>
      <c r="D63" s="19">
        <f>IF(OR(-9021.07048="",-11170.82589="",-9021.07048=0),"-",-11170.82589/-9021.07048*100)</f>
        <v>123.83038038297202</v>
      </c>
    </row>
    <row r="64" spans="1:4" x14ac:dyDescent="0.25">
      <c r="A64" s="37" t="s">
        <v>80</v>
      </c>
      <c r="B64" s="19">
        <v>-8687.2330099999999</v>
      </c>
      <c r="C64" s="19">
        <v>-9911.8732199999995</v>
      </c>
      <c r="D64" s="19">
        <f>IF(OR(-8687.23301="",-9911.87322="",-8687.23301=0),"-",-9911.87322/-8687.23301*100)</f>
        <v>114.09701119551299</v>
      </c>
    </row>
    <row r="65" spans="1:4" x14ac:dyDescent="0.25">
      <c r="A65" s="37" t="s">
        <v>63</v>
      </c>
      <c r="B65" s="19">
        <v>-869.18674999999996</v>
      </c>
      <c r="C65" s="19">
        <v>-9238.1206999999995</v>
      </c>
      <c r="D65" s="19" t="s">
        <v>399</v>
      </c>
    </row>
    <row r="66" spans="1:4" x14ac:dyDescent="0.25">
      <c r="A66" s="37" t="s">
        <v>81</v>
      </c>
      <c r="B66" s="19">
        <v>-6819.6137500000004</v>
      </c>
      <c r="C66" s="19">
        <v>-8282.8318799999997</v>
      </c>
      <c r="D66" s="19">
        <f>IF(OR(-6819.61375="",-8282.83188="",-6819.61375=0),"-",-8282.83188/-6819.61375*100)</f>
        <v>121.45602645017834</v>
      </c>
    </row>
    <row r="67" spans="1:4" x14ac:dyDescent="0.25">
      <c r="A67" s="37" t="s">
        <v>37</v>
      </c>
      <c r="B67" s="19">
        <v>-3623.9713700000002</v>
      </c>
      <c r="C67" s="19">
        <v>-7700.8380299999999</v>
      </c>
      <c r="D67" s="19" t="s">
        <v>91</v>
      </c>
    </row>
    <row r="68" spans="1:4" x14ac:dyDescent="0.25">
      <c r="A68" s="37" t="s">
        <v>78</v>
      </c>
      <c r="B68" s="19">
        <v>-15775.786410000001</v>
      </c>
      <c r="C68" s="19">
        <v>-5395.5930200000003</v>
      </c>
      <c r="D68" s="19">
        <f>IF(OR(-15775.78641="",-5395.59302="",-15775.78641=0),"-",-5395.59302/-15775.78641*100)</f>
        <v>34.201737268576522</v>
      </c>
    </row>
    <row r="69" spans="1:4" x14ac:dyDescent="0.25">
      <c r="A69" s="37" t="s">
        <v>82</v>
      </c>
      <c r="B69" s="19">
        <v>-5739.0779700000003</v>
      </c>
      <c r="C69" s="19">
        <v>-5129.6952300000003</v>
      </c>
      <c r="D69" s="19">
        <f>IF(OR(-5739.07797="",-5129.69523="",-5739.07797=0),"-",-5129.69523/-5739.07797*100)</f>
        <v>89.381870342493357</v>
      </c>
    </row>
    <row r="70" spans="1:4" x14ac:dyDescent="0.25">
      <c r="A70" s="37" t="s">
        <v>302</v>
      </c>
      <c r="B70" s="19">
        <v>-656.00878</v>
      </c>
      <c r="C70" s="19">
        <v>-4405.21371</v>
      </c>
      <c r="D70" s="19" t="s">
        <v>370</v>
      </c>
    </row>
    <row r="71" spans="1:4" x14ac:dyDescent="0.25">
      <c r="A71" s="37" t="s">
        <v>303</v>
      </c>
      <c r="B71" s="19">
        <v>-1191.50188</v>
      </c>
      <c r="C71" s="19">
        <v>-4146.1516199999996</v>
      </c>
      <c r="D71" s="19" t="s">
        <v>324</v>
      </c>
    </row>
    <row r="72" spans="1:4" x14ac:dyDescent="0.25">
      <c r="A72" s="37" t="s">
        <v>77</v>
      </c>
      <c r="B72" s="19">
        <v>-3730.8453599999998</v>
      </c>
      <c r="C72" s="19">
        <v>-3929.6942600000002</v>
      </c>
      <c r="D72" s="19">
        <f>IF(OR(-3730.84536="",-3929.69426="",-3730.84536=0),"-",-3929.69426/-3730.84536*100)</f>
        <v>105.32986175551378</v>
      </c>
    </row>
    <row r="73" spans="1:4" x14ac:dyDescent="0.25">
      <c r="A73" s="37" t="s">
        <v>85</v>
      </c>
      <c r="B73" s="19">
        <v>-2576.7245699999999</v>
      </c>
      <c r="C73" s="19">
        <v>-3231.66084</v>
      </c>
      <c r="D73" s="19">
        <f>IF(OR(-2576.72457="",-3231.66084="",-2576.72457=0),"-",-3231.66084/-2576.72457*100)</f>
        <v>125.41739530973619</v>
      </c>
    </row>
    <row r="74" spans="1:4" x14ac:dyDescent="0.25">
      <c r="A74" s="37" t="s">
        <v>87</v>
      </c>
      <c r="B74" s="33">
        <v>-1322.51721</v>
      </c>
      <c r="C74" s="33">
        <v>-3214.6208799999999</v>
      </c>
      <c r="D74" s="19" t="s">
        <v>282</v>
      </c>
    </row>
    <row r="75" spans="1:4" x14ac:dyDescent="0.25">
      <c r="A75" s="37" t="s">
        <v>36</v>
      </c>
      <c r="B75" s="19">
        <v>-760.54660000000001</v>
      </c>
      <c r="C75" s="19">
        <v>-3055.3684199999998</v>
      </c>
      <c r="D75" s="19" t="s">
        <v>348</v>
      </c>
    </row>
    <row r="76" spans="1:4" x14ac:dyDescent="0.25">
      <c r="A76" s="37" t="s">
        <v>84</v>
      </c>
      <c r="B76" s="19">
        <v>-2411.2428599999998</v>
      </c>
      <c r="C76" s="19">
        <v>-2437.0266999999999</v>
      </c>
      <c r="D76" s="19">
        <f>IF(OR(-2411.24286="",-2437.0267="",-2411.24286=0),"-",-2437.0267/-2411.24286*100)</f>
        <v>101.06931742246819</v>
      </c>
    </row>
    <row r="77" spans="1:4" x14ac:dyDescent="0.25">
      <c r="A77" s="37" t="s">
        <v>93</v>
      </c>
      <c r="B77" s="19">
        <v>-1711.75451</v>
      </c>
      <c r="C77" s="19">
        <v>-2403.4026600000002</v>
      </c>
      <c r="D77" s="19">
        <f>IF(OR(-1711.75451="",-2403.40266="",-1711.75451=0),"-",-2403.40266/-1711.75451*100)</f>
        <v>140.40580269889287</v>
      </c>
    </row>
    <row r="78" spans="1:4" x14ac:dyDescent="0.25">
      <c r="A78" s="37" t="s">
        <v>86</v>
      </c>
      <c r="B78" s="19">
        <v>-2625.5424800000001</v>
      </c>
      <c r="C78" s="19">
        <v>-2072.8391999999999</v>
      </c>
      <c r="D78" s="19">
        <f>IF(OR(-2625.54248="",-2072.8392="",-2625.54248=0),"-",-2072.8392/-2625.54248*100)</f>
        <v>78.948987334609782</v>
      </c>
    </row>
    <row r="79" spans="1:4" x14ac:dyDescent="0.25">
      <c r="A79" s="37" t="s">
        <v>72</v>
      </c>
      <c r="B79" s="19">
        <v>9658.6571600000007</v>
      </c>
      <c r="C79" s="19">
        <v>-1720.6016999999999</v>
      </c>
      <c r="D79" s="19" t="s">
        <v>20</v>
      </c>
    </row>
    <row r="80" spans="1:4" x14ac:dyDescent="0.25">
      <c r="A80" s="37" t="s">
        <v>137</v>
      </c>
      <c r="B80" s="19">
        <v>-1312.5896700000001</v>
      </c>
      <c r="C80" s="19">
        <v>-1670.9424200000001</v>
      </c>
      <c r="D80" s="19">
        <f>IF(OR(-1312.58967="",-1670.94242="",-1312.58967=0),"-",-1670.94242/-1312.58967*100)</f>
        <v>127.3012014485837</v>
      </c>
    </row>
    <row r="81" spans="1:4" x14ac:dyDescent="0.25">
      <c r="A81" s="37" t="s">
        <v>62</v>
      </c>
      <c r="B81" s="19">
        <v>371.95132000000001</v>
      </c>
      <c r="C81" s="19">
        <v>-1588.0233700000001</v>
      </c>
      <c r="D81" s="19" t="s">
        <v>20</v>
      </c>
    </row>
    <row r="82" spans="1:4" x14ac:dyDescent="0.25">
      <c r="A82" s="37" t="s">
        <v>88</v>
      </c>
      <c r="B82" s="19">
        <v>-561.27648999999997</v>
      </c>
      <c r="C82" s="19">
        <v>-1576.17536</v>
      </c>
      <c r="D82" s="19" t="s">
        <v>304</v>
      </c>
    </row>
    <row r="83" spans="1:4" x14ac:dyDescent="0.25">
      <c r="A83" s="37" t="s">
        <v>312</v>
      </c>
      <c r="B83" s="19">
        <v>-2000.4661599999999</v>
      </c>
      <c r="C83" s="19">
        <v>-1557.5216600000001</v>
      </c>
      <c r="D83" s="19">
        <f>IF(OR(-2000.46616="",-1557.52166="",-2000.46616=0),"-",-1557.52166/-2000.46616*100)</f>
        <v>77.857935872306896</v>
      </c>
    </row>
    <row r="84" spans="1:4" x14ac:dyDescent="0.25">
      <c r="A84" s="37" t="s">
        <v>305</v>
      </c>
      <c r="B84" s="19">
        <v>-1380.4565600000001</v>
      </c>
      <c r="C84" s="19">
        <v>-1513.8946100000001</v>
      </c>
      <c r="D84" s="19">
        <f>IF(OR(-1380.45656="",-1513.89461="",-1380.45656=0),"-",-1513.89461/-1380.45656*100)</f>
        <v>109.66622593325211</v>
      </c>
    </row>
    <row r="85" spans="1:4" x14ac:dyDescent="0.25">
      <c r="A85" s="37" t="s">
        <v>83</v>
      </c>
      <c r="B85" s="19">
        <v>-1646.80969</v>
      </c>
      <c r="C85" s="19">
        <v>-1438.2462</v>
      </c>
      <c r="D85" s="19">
        <f>IF(OR(-1646.80969="",-1438.2462="",-1646.80969=0),"-",-1438.2462/-1646.80969*100)</f>
        <v>87.335301020726931</v>
      </c>
    </row>
    <row r="86" spans="1:4" x14ac:dyDescent="0.25">
      <c r="A86" s="37" t="s">
        <v>122</v>
      </c>
      <c r="B86" s="19">
        <v>-2280.4471600000002</v>
      </c>
      <c r="C86" s="19">
        <v>-1336.0164500000001</v>
      </c>
      <c r="D86" s="19">
        <f>IF(OR(-2280.44716="",-1336.01645="",-2280.44716=0),"-",-1336.01645/-2280.44716*100)</f>
        <v>58.585722722906674</v>
      </c>
    </row>
    <row r="87" spans="1:4" x14ac:dyDescent="0.25">
      <c r="A87" s="37" t="s">
        <v>338</v>
      </c>
      <c r="B87" s="19">
        <v>-316.37398999999999</v>
      </c>
      <c r="C87" s="19">
        <v>-1228.5095899999999</v>
      </c>
      <c r="D87" s="19" t="s">
        <v>363</v>
      </c>
    </row>
    <row r="88" spans="1:4" x14ac:dyDescent="0.25">
      <c r="A88" s="37" t="s">
        <v>97</v>
      </c>
      <c r="B88" s="19">
        <v>84.2209</v>
      </c>
      <c r="C88" s="19">
        <v>-887.21923000000004</v>
      </c>
      <c r="D88" s="19" t="s">
        <v>20</v>
      </c>
    </row>
    <row r="89" spans="1:4" x14ac:dyDescent="0.25">
      <c r="A89" s="37" t="s">
        <v>292</v>
      </c>
      <c r="B89" s="19">
        <v>-343.42907000000002</v>
      </c>
      <c r="C89" s="19">
        <v>-845.04984999999999</v>
      </c>
      <c r="D89" s="19" t="s">
        <v>345</v>
      </c>
    </row>
    <row r="90" spans="1:4" x14ac:dyDescent="0.25">
      <c r="A90" s="37" t="s">
        <v>90</v>
      </c>
      <c r="B90" s="19">
        <v>-347.66627999999997</v>
      </c>
      <c r="C90" s="19">
        <v>-600.10163999999997</v>
      </c>
      <c r="D90" s="19" t="s">
        <v>99</v>
      </c>
    </row>
    <row r="91" spans="1:4" x14ac:dyDescent="0.25">
      <c r="A91" s="37" t="s">
        <v>125</v>
      </c>
      <c r="B91" s="33">
        <v>-192.03182000000001</v>
      </c>
      <c r="C91" s="33">
        <v>-480.14605</v>
      </c>
      <c r="D91" s="19" t="s">
        <v>345</v>
      </c>
    </row>
    <row r="92" spans="1:4" x14ac:dyDescent="0.25">
      <c r="A92" s="37" t="s">
        <v>61</v>
      </c>
      <c r="B92" s="19">
        <v>-4242.7906899999998</v>
      </c>
      <c r="C92" s="19">
        <v>-471.04871000000003</v>
      </c>
      <c r="D92" s="19">
        <f>IF(OR(-4242.79069="",-471.04871="",-4242.79069=0),"-",-471.04871/-4242.79069*100)</f>
        <v>11.102332036087315</v>
      </c>
    </row>
    <row r="93" spans="1:4" x14ac:dyDescent="0.25">
      <c r="A93" s="37" t="s">
        <v>118</v>
      </c>
      <c r="B93" s="19">
        <v>-619.17562999999996</v>
      </c>
      <c r="C93" s="19">
        <v>-381.52760000000001</v>
      </c>
      <c r="D93" s="19">
        <f>IF(OR(-619.17563="",-381.5276="",-619.17563=0),"-",-381.5276/-619.17563*100)</f>
        <v>61.61863960957249</v>
      </c>
    </row>
    <row r="94" spans="1:4" x14ac:dyDescent="0.25">
      <c r="A94" s="37" t="s">
        <v>89</v>
      </c>
      <c r="B94" s="19">
        <v>-1248.62626</v>
      </c>
      <c r="C94" s="19">
        <v>-328.88578999999999</v>
      </c>
      <c r="D94" s="19">
        <f>IF(OR(-1248.62626="",-328.88579="",-1248.62626=0),"-",-328.88579/-1248.62626*100)</f>
        <v>26.339810440956125</v>
      </c>
    </row>
    <row r="95" spans="1:4" x14ac:dyDescent="0.25">
      <c r="A95" s="37" t="s">
        <v>205</v>
      </c>
      <c r="B95" s="19">
        <v>-527.82250999999997</v>
      </c>
      <c r="C95" s="19">
        <v>-282.45812999999998</v>
      </c>
      <c r="D95" s="19">
        <f>IF(OR(-527.82251="",-282.45813="",-527.82251=0),"-",-282.45813/-527.82251*100)</f>
        <v>53.513846917972486</v>
      </c>
    </row>
    <row r="96" spans="1:4" x14ac:dyDescent="0.25">
      <c r="A96" s="37" t="s">
        <v>94</v>
      </c>
      <c r="B96" s="19">
        <v>-542.33068000000003</v>
      </c>
      <c r="C96" s="19">
        <v>-268.76801</v>
      </c>
      <c r="D96" s="19">
        <f>IF(OR(-542.33068="",-268.76801="",-542.33068=0),"-",-268.76801/-542.33068*100)</f>
        <v>49.557957886505697</v>
      </c>
    </row>
    <row r="97" spans="1:4" x14ac:dyDescent="0.25">
      <c r="A97" s="37" t="s">
        <v>327</v>
      </c>
      <c r="B97" s="19">
        <v>-78.485789999999994</v>
      </c>
      <c r="C97" s="19">
        <v>-236.84925999999999</v>
      </c>
      <c r="D97" s="19" t="s">
        <v>347</v>
      </c>
    </row>
    <row r="98" spans="1:4" x14ac:dyDescent="0.25">
      <c r="A98" s="37" t="s">
        <v>326</v>
      </c>
      <c r="B98" s="19">
        <v>-157.72429</v>
      </c>
      <c r="C98" s="19">
        <v>-234.97783000000001</v>
      </c>
      <c r="D98" s="19">
        <f>IF(OR(-157.72429="",-234.97783="",-157.72429=0),"-",-234.97783/-157.72429*100)</f>
        <v>148.98011587181659</v>
      </c>
    </row>
    <row r="99" spans="1:4" x14ac:dyDescent="0.25">
      <c r="A99" s="37" t="s">
        <v>291</v>
      </c>
      <c r="B99" s="19">
        <v>-78.196579999999997</v>
      </c>
      <c r="C99" s="19">
        <v>-202.09598</v>
      </c>
      <c r="D99" s="19" t="s">
        <v>342</v>
      </c>
    </row>
    <row r="100" spans="1:4" x14ac:dyDescent="0.25">
      <c r="A100" s="37" t="s">
        <v>340</v>
      </c>
      <c r="B100" s="19">
        <v>-99.680949999999996</v>
      </c>
      <c r="C100" s="19">
        <v>-192.50820999999999</v>
      </c>
      <c r="D100" s="19" t="s">
        <v>101</v>
      </c>
    </row>
    <row r="101" spans="1:4" x14ac:dyDescent="0.25">
      <c r="A101" s="37" t="s">
        <v>320</v>
      </c>
      <c r="B101" s="19">
        <v>-166.99974</v>
      </c>
      <c r="C101" s="19">
        <v>-188.86788999999999</v>
      </c>
      <c r="D101" s="19">
        <f>IF(OR(-166.99974="",-188.86789="",-166.99974=0),"-",-188.86789/-166.99974*100)</f>
        <v>113.09472098579315</v>
      </c>
    </row>
    <row r="102" spans="1:4" x14ac:dyDescent="0.25">
      <c r="A102" s="37" t="s">
        <v>328</v>
      </c>
      <c r="B102" s="33">
        <v>-5.6856400000000002</v>
      </c>
      <c r="C102" s="33">
        <v>-178.57715999999999</v>
      </c>
      <c r="D102" s="19" t="s">
        <v>377</v>
      </c>
    </row>
    <row r="103" spans="1:4" x14ac:dyDescent="0.25">
      <c r="A103" s="37" t="s">
        <v>339</v>
      </c>
      <c r="B103" s="19">
        <v>-4.8914799999999996</v>
      </c>
      <c r="C103" s="19">
        <v>-175.30394999999999</v>
      </c>
      <c r="D103" s="19" t="s">
        <v>346</v>
      </c>
    </row>
    <row r="104" spans="1:4" x14ac:dyDescent="0.25">
      <c r="A104" s="37" t="s">
        <v>35</v>
      </c>
      <c r="B104" s="19">
        <v>1145.90578</v>
      </c>
      <c r="C104" s="19">
        <v>-155.00585000000001</v>
      </c>
      <c r="D104" s="19" t="s">
        <v>20</v>
      </c>
    </row>
    <row r="105" spans="1:4" x14ac:dyDescent="0.25">
      <c r="A105" s="37" t="s">
        <v>290</v>
      </c>
      <c r="B105" s="19">
        <v>156.32865000000001</v>
      </c>
      <c r="C105" s="19">
        <v>-131.99641</v>
      </c>
      <c r="D105" s="19" t="s">
        <v>20</v>
      </c>
    </row>
    <row r="106" spans="1:4" x14ac:dyDescent="0.25">
      <c r="A106" s="37" t="s">
        <v>329</v>
      </c>
      <c r="B106" s="19">
        <v>-67.784319999999994</v>
      </c>
      <c r="C106" s="19">
        <v>-112.27212</v>
      </c>
      <c r="D106" s="19" t="s">
        <v>99</v>
      </c>
    </row>
    <row r="107" spans="1:4" x14ac:dyDescent="0.25">
      <c r="A107" s="37" t="s">
        <v>333</v>
      </c>
      <c r="B107" s="33">
        <v>-75.008480000000006</v>
      </c>
      <c r="C107" s="33">
        <v>-106.178</v>
      </c>
      <c r="D107" s="19">
        <f>IF(OR(-75.00848="",-106.178="",-75.00848=0),"-",-106.178/-75.00848*100)</f>
        <v>141.55466155293374</v>
      </c>
    </row>
    <row r="108" spans="1:4" x14ac:dyDescent="0.25">
      <c r="A108" s="37" t="s">
        <v>341</v>
      </c>
      <c r="B108" s="33">
        <v>-36.025880000000001</v>
      </c>
      <c r="C108" s="19">
        <v>-71.623750000000001</v>
      </c>
      <c r="D108" s="19" t="s">
        <v>18</v>
      </c>
    </row>
    <row r="109" spans="1:4" x14ac:dyDescent="0.25">
      <c r="A109" s="37" t="s">
        <v>354</v>
      </c>
      <c r="B109" s="19">
        <v>-120.82216</v>
      </c>
      <c r="C109" s="19">
        <v>-69.171099999999996</v>
      </c>
      <c r="D109" s="19">
        <f>IF(OR(-120.82216="",-69.1711="",-120.82216=0),"-",-69.1711/-120.82216*100)</f>
        <v>57.250342155776721</v>
      </c>
    </row>
    <row r="110" spans="1:4" x14ac:dyDescent="0.25">
      <c r="A110" s="37" t="s">
        <v>360</v>
      </c>
      <c r="B110" s="19">
        <v>-60.90681</v>
      </c>
      <c r="C110" s="19">
        <v>-67.007000000000005</v>
      </c>
      <c r="D110" s="19">
        <f>IF(OR(-60.90681="",-67.007="",-60.90681=0),"-",-67.007/-60.90681*100)</f>
        <v>110.01561237569331</v>
      </c>
    </row>
    <row r="111" spans="1:4" x14ac:dyDescent="0.25">
      <c r="A111" s="37" t="s">
        <v>359</v>
      </c>
      <c r="B111" s="19">
        <v>-27.307790000000001</v>
      </c>
      <c r="C111" s="19">
        <v>-66.060450000000003</v>
      </c>
      <c r="D111" s="19" t="s">
        <v>282</v>
      </c>
    </row>
    <row r="112" spans="1:4" x14ac:dyDescent="0.25">
      <c r="A112" s="37" t="s">
        <v>310</v>
      </c>
      <c r="B112" s="19">
        <v>15.98213</v>
      </c>
      <c r="C112" s="19">
        <v>73.57253</v>
      </c>
      <c r="D112" s="19" t="s">
        <v>400</v>
      </c>
    </row>
    <row r="113" spans="1:4" x14ac:dyDescent="0.25">
      <c r="A113" s="37" t="s">
        <v>203</v>
      </c>
      <c r="B113" s="19">
        <v>1515.4066700000001</v>
      </c>
      <c r="C113" s="19">
        <v>84.655280000000005</v>
      </c>
      <c r="D113" s="19">
        <f>IF(OR(1515.40667="",84.65528="",1515.40667=0),"-",84.65528/1515.40667*100)</f>
        <v>5.5863077334878035</v>
      </c>
    </row>
    <row r="114" spans="1:4" x14ac:dyDescent="0.25">
      <c r="A114" s="37" t="s">
        <v>317</v>
      </c>
      <c r="B114" s="19">
        <v>-4.44367</v>
      </c>
      <c r="C114" s="19">
        <v>103.40797999999999</v>
      </c>
      <c r="D114" s="19" t="s">
        <v>20</v>
      </c>
    </row>
    <row r="115" spans="1:4" x14ac:dyDescent="0.25">
      <c r="A115" s="37" t="s">
        <v>316</v>
      </c>
      <c r="B115" s="19">
        <v>40.500439999999998</v>
      </c>
      <c r="C115" s="19">
        <v>107.67785000000001</v>
      </c>
      <c r="D115" s="19" t="s">
        <v>344</v>
      </c>
    </row>
    <row r="116" spans="1:4" x14ac:dyDescent="0.25">
      <c r="A116" s="37" t="s">
        <v>332</v>
      </c>
      <c r="B116" s="19">
        <v>341.61083000000002</v>
      </c>
      <c r="C116" s="19">
        <v>141.65717000000001</v>
      </c>
      <c r="D116" s="19">
        <f>IF(OR(341.61083="",141.65717="",341.61083=0),"-",141.65717/341.61083*100)</f>
        <v>41.46741190845735</v>
      </c>
    </row>
    <row r="117" spans="1:4" x14ac:dyDescent="0.25">
      <c r="A117" s="37" t="s">
        <v>337</v>
      </c>
      <c r="B117" s="19">
        <v>25.53256</v>
      </c>
      <c r="C117" s="19">
        <v>144.29552000000001</v>
      </c>
      <c r="D117" s="19" t="s">
        <v>375</v>
      </c>
    </row>
    <row r="118" spans="1:4" x14ac:dyDescent="0.25">
      <c r="A118" s="37" t="s">
        <v>357</v>
      </c>
      <c r="B118" s="19">
        <v>94.901600000000002</v>
      </c>
      <c r="C118" s="19">
        <v>146.97987000000001</v>
      </c>
      <c r="D118" s="19">
        <f>IF(OR(94.9016="",146.97987="",94.9016=0),"-",146.97987/94.9016*100)</f>
        <v>154.8760716363054</v>
      </c>
    </row>
    <row r="119" spans="1:4" x14ac:dyDescent="0.25">
      <c r="A119" s="37" t="s">
        <v>358</v>
      </c>
      <c r="B119" s="33">
        <v>168.79078999999999</v>
      </c>
      <c r="C119" s="33">
        <v>159.32383999999999</v>
      </c>
      <c r="D119" s="19">
        <f>IF(OR(168.79079="",159.32384="",168.79079=0),"-",159.32384/168.79079*100)</f>
        <v>94.391311279483915</v>
      </c>
    </row>
    <row r="120" spans="1:4" x14ac:dyDescent="0.25">
      <c r="A120" s="37" t="s">
        <v>293</v>
      </c>
      <c r="B120" s="19">
        <v>211.45376999999999</v>
      </c>
      <c r="C120" s="19">
        <v>176.90536</v>
      </c>
      <c r="D120" s="19">
        <f>IF(OR(211.45377="",176.90536="",211.45377=0),"-",176.90536/211.45377*100)</f>
        <v>83.661483075000277</v>
      </c>
    </row>
    <row r="121" spans="1:4" x14ac:dyDescent="0.25">
      <c r="A121" s="37" t="s">
        <v>98</v>
      </c>
      <c r="B121" s="19">
        <v>-119.06977000000001</v>
      </c>
      <c r="C121" s="19">
        <v>188.86231000000001</v>
      </c>
      <c r="D121" s="19" t="s">
        <v>20</v>
      </c>
    </row>
    <row r="122" spans="1:4" x14ac:dyDescent="0.25">
      <c r="A122" s="37" t="s">
        <v>369</v>
      </c>
      <c r="B122" s="33">
        <v>0</v>
      </c>
      <c r="C122" s="33">
        <v>263.31858</v>
      </c>
      <c r="D122" s="19" t="str">
        <f>IF(OR(0="",263.31858="",0=0),"-",263.31858/0*100)</f>
        <v>-</v>
      </c>
    </row>
    <row r="123" spans="1:4" x14ac:dyDescent="0.25">
      <c r="A123" s="37" t="s">
        <v>356</v>
      </c>
      <c r="B123" s="19">
        <v>132.14837</v>
      </c>
      <c r="C123" s="19">
        <v>281.70321999999999</v>
      </c>
      <c r="D123" s="19" t="s">
        <v>91</v>
      </c>
    </row>
    <row r="124" spans="1:4" x14ac:dyDescent="0.25">
      <c r="A124" s="37" t="s">
        <v>204</v>
      </c>
      <c r="B124" s="19">
        <v>690.77061000000003</v>
      </c>
      <c r="C124" s="19">
        <v>316.46521999999999</v>
      </c>
      <c r="D124" s="19">
        <f>IF(OR(690.77061="",316.46522="",690.77061=0),"-",316.46522/690.77061*100)</f>
        <v>45.813359083126016</v>
      </c>
    </row>
    <row r="125" spans="1:4" x14ac:dyDescent="0.25">
      <c r="A125" s="37" t="s">
        <v>119</v>
      </c>
      <c r="B125" s="19">
        <v>570.02326000000005</v>
      </c>
      <c r="C125" s="19">
        <v>349.86164000000002</v>
      </c>
      <c r="D125" s="19">
        <f>IF(OR(570.02326="",349.86164="",570.02326=0),"-",349.86164/570.02326*100)</f>
        <v>61.376730486401556</v>
      </c>
    </row>
    <row r="126" spans="1:4" x14ac:dyDescent="0.25">
      <c r="A126" s="37" t="s">
        <v>136</v>
      </c>
      <c r="B126" s="19">
        <v>332.14800000000002</v>
      </c>
      <c r="C126" s="19">
        <v>487.15267</v>
      </c>
      <c r="D126" s="19">
        <f>IF(OR(332.148="",487.15267="",332.148=0),"-",487.15267/332.148*100)</f>
        <v>146.66735009694472</v>
      </c>
    </row>
    <row r="127" spans="1:4" x14ac:dyDescent="0.25">
      <c r="A127" s="37" t="s">
        <v>131</v>
      </c>
      <c r="B127" s="19">
        <v>669.15389000000005</v>
      </c>
      <c r="C127" s="19">
        <v>773.62537999999995</v>
      </c>
      <c r="D127" s="19">
        <f>IF(OR(669.15389="",773.62538="",669.15389=0),"-",773.62538/669.15389*100)</f>
        <v>115.61247592836976</v>
      </c>
    </row>
    <row r="128" spans="1:4" x14ac:dyDescent="0.25">
      <c r="A128" s="37" t="s">
        <v>318</v>
      </c>
      <c r="B128" s="19">
        <v>907.39036999999996</v>
      </c>
      <c r="C128" s="19">
        <v>1077.85517</v>
      </c>
      <c r="D128" s="19">
        <f>IF(OR(907.39037="",1077.85517="",907.39037=0),"-",1077.85517/907.39037*100)</f>
        <v>118.78626946415578</v>
      </c>
    </row>
    <row r="129" spans="1:7" x14ac:dyDescent="0.25">
      <c r="A129" s="37" t="s">
        <v>138</v>
      </c>
      <c r="B129" s="19">
        <v>1055.8590300000001</v>
      </c>
      <c r="C129" s="19">
        <v>1339.5289299999999</v>
      </c>
      <c r="D129" s="19">
        <f>IF(OR(1055.85903="",1339.52893="",1055.85903=0),"-",1339.52893/1055.85903*100)</f>
        <v>126.86626641816</v>
      </c>
    </row>
    <row r="130" spans="1:7" x14ac:dyDescent="0.25">
      <c r="A130" s="37" t="s">
        <v>92</v>
      </c>
      <c r="B130" s="19">
        <v>961.47868000000005</v>
      </c>
      <c r="C130" s="19">
        <v>1605.55988</v>
      </c>
      <c r="D130" s="19" t="s">
        <v>99</v>
      </c>
    </row>
    <row r="131" spans="1:7" x14ac:dyDescent="0.25">
      <c r="A131" s="37" t="s">
        <v>65</v>
      </c>
      <c r="B131" s="19">
        <v>-264.80736999999999</v>
      </c>
      <c r="C131" s="19">
        <v>1830.36186</v>
      </c>
      <c r="D131" s="19" t="s">
        <v>20</v>
      </c>
    </row>
    <row r="132" spans="1:7" x14ac:dyDescent="0.25">
      <c r="A132" s="37" t="s">
        <v>74</v>
      </c>
      <c r="B132" s="19">
        <v>2117.9852799999999</v>
      </c>
      <c r="C132" s="19">
        <v>1965.4443100000001</v>
      </c>
      <c r="D132" s="19">
        <f>IF(OR(2117.98528="",1965.44431="",2117.98528=0),"-",1965.44431/2117.98528*100)</f>
        <v>92.797826715773979</v>
      </c>
    </row>
    <row r="133" spans="1:7" x14ac:dyDescent="0.25">
      <c r="A133" s="37" t="s">
        <v>116</v>
      </c>
      <c r="B133" s="19">
        <v>4124.2402099999999</v>
      </c>
      <c r="C133" s="19">
        <v>4063.0072599999999</v>
      </c>
      <c r="D133" s="19">
        <f>IF(OR(4124.24021="",4063.00726="",4124.24021=0),"-",4063.00726/4124.24021*100)</f>
        <v>98.515291377754153</v>
      </c>
    </row>
    <row r="134" spans="1:7" x14ac:dyDescent="0.25">
      <c r="A134" s="37" t="s">
        <v>66</v>
      </c>
      <c r="B134" s="19">
        <v>-619.78134</v>
      </c>
      <c r="C134" s="19">
        <v>4232.3382199999996</v>
      </c>
      <c r="D134" s="19" t="s">
        <v>20</v>
      </c>
    </row>
    <row r="135" spans="1:7" x14ac:dyDescent="0.25">
      <c r="A135" s="37" t="s">
        <v>56</v>
      </c>
      <c r="B135" s="19">
        <v>14457.14575</v>
      </c>
      <c r="C135" s="19">
        <v>13419.45564</v>
      </c>
      <c r="D135" s="19">
        <f>IF(OR(14457.14575="",13419.45564="",14457.14575=0),"-",13419.45564/14457.14575*100)</f>
        <v>92.822303046920581</v>
      </c>
    </row>
    <row r="136" spans="1:7" x14ac:dyDescent="0.25">
      <c r="A136" s="37" t="s">
        <v>55</v>
      </c>
      <c r="B136" s="19">
        <v>5396.4017000000003</v>
      </c>
      <c r="C136" s="19">
        <v>16399.363010000001</v>
      </c>
      <c r="D136" s="19" t="s">
        <v>347</v>
      </c>
    </row>
    <row r="137" spans="1:7" x14ac:dyDescent="0.25">
      <c r="A137" s="37" t="s">
        <v>58</v>
      </c>
      <c r="B137" s="19">
        <v>24050.339110000001</v>
      </c>
      <c r="C137" s="19">
        <v>16679.252049999999</v>
      </c>
      <c r="D137" s="19">
        <f>IF(OR(24050.33911="",16679.25205="",24050.33911=0),"-",16679.25205/24050.33911*100)</f>
        <v>69.351421506837951</v>
      </c>
    </row>
    <row r="138" spans="1:7" x14ac:dyDescent="0.25">
      <c r="A138" s="37" t="s">
        <v>301</v>
      </c>
      <c r="B138" s="19">
        <v>67856.927169999995</v>
      </c>
      <c r="C138" s="19">
        <v>29385.418549999999</v>
      </c>
      <c r="D138" s="19">
        <f>IF(OR(67856.92717="",29385.41855="",67856.92717=0),"-",29385.41855/67856.92717*100)</f>
        <v>43.304964983724595</v>
      </c>
    </row>
    <row r="139" spans="1:7" x14ac:dyDescent="0.25">
      <c r="A139" s="38" t="s">
        <v>70</v>
      </c>
      <c r="B139" s="23">
        <v>-4417.7016400000002</v>
      </c>
      <c r="C139" s="23">
        <v>47673.574710000001</v>
      </c>
      <c r="D139" s="23" t="s">
        <v>20</v>
      </c>
    </row>
    <row r="140" spans="1:7" x14ac:dyDescent="0.25">
      <c r="A140" s="24" t="s">
        <v>281</v>
      </c>
      <c r="B140" s="25"/>
      <c r="C140" s="25"/>
      <c r="D140" s="25"/>
      <c r="E140" s="25"/>
      <c r="F140" s="6"/>
      <c r="G140" s="6"/>
    </row>
  </sheetData>
  <sortState xmlns:xlrd2="http://schemas.microsoft.com/office/spreadsheetml/2017/richdata2"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41"/>
  <sheetViews>
    <sheetView workbookViewId="0">
      <selection activeCell="I12" sqref="I12"/>
    </sheetView>
  </sheetViews>
  <sheetFormatPr defaultRowHeight="15.75" x14ac:dyDescent="0.25"/>
  <cols>
    <col min="1" max="1" width="31" customWidth="1"/>
    <col min="2" max="2" width="14.25" customWidth="1"/>
    <col min="3" max="3" width="13.875" customWidth="1"/>
    <col min="4" max="5" width="11.625" customWidth="1"/>
  </cols>
  <sheetData>
    <row r="1" spans="1:5" x14ac:dyDescent="0.25">
      <c r="A1" s="79" t="s">
        <v>288</v>
      </c>
      <c r="B1" s="79"/>
      <c r="C1" s="79"/>
      <c r="D1" s="79"/>
      <c r="E1" s="79"/>
    </row>
    <row r="2" spans="1:5" x14ac:dyDescent="0.25">
      <c r="A2" s="6"/>
      <c r="B2" s="6"/>
      <c r="C2" s="6"/>
      <c r="D2" s="6"/>
      <c r="E2" s="6"/>
    </row>
    <row r="3" spans="1:5" ht="18.75" customHeight="1" x14ac:dyDescent="0.25">
      <c r="A3" s="80"/>
      <c r="B3" s="83" t="s">
        <v>380</v>
      </c>
      <c r="C3" s="84"/>
      <c r="D3" s="83" t="s">
        <v>104</v>
      </c>
      <c r="E3" s="101"/>
    </row>
    <row r="4" spans="1:5" ht="18.75" customHeight="1" x14ac:dyDescent="0.25">
      <c r="A4" s="81"/>
      <c r="B4" s="87" t="s">
        <v>115</v>
      </c>
      <c r="C4" s="93" t="s">
        <v>381</v>
      </c>
      <c r="D4" s="91" t="s">
        <v>382</v>
      </c>
      <c r="E4" s="83"/>
    </row>
    <row r="5" spans="1:5" ht="23.25" customHeight="1" x14ac:dyDescent="0.25">
      <c r="A5" s="82"/>
      <c r="B5" s="88"/>
      <c r="C5" s="94"/>
      <c r="D5" s="28" t="s">
        <v>306</v>
      </c>
      <c r="E5" s="29" t="s">
        <v>307</v>
      </c>
    </row>
    <row r="6" spans="1:5" ht="15.75" customHeight="1" x14ac:dyDescent="0.25">
      <c r="A6" s="53" t="s">
        <v>127</v>
      </c>
      <c r="B6" s="64">
        <v>3985350.8750300002</v>
      </c>
      <c r="C6" s="58">
        <v>141.3478700600775</v>
      </c>
      <c r="D6" s="65">
        <v>100</v>
      </c>
      <c r="E6" s="65">
        <v>100</v>
      </c>
    </row>
    <row r="7" spans="1:5" ht="15.75" customHeight="1" x14ac:dyDescent="0.25">
      <c r="A7" s="43" t="s">
        <v>120</v>
      </c>
      <c r="B7" s="75"/>
      <c r="C7" s="20"/>
      <c r="D7" s="39"/>
      <c r="E7" s="39"/>
    </row>
    <row r="8" spans="1:5" x14ac:dyDescent="0.25">
      <c r="A8" s="22" t="s">
        <v>106</v>
      </c>
      <c r="B8" s="19">
        <v>534021.41553</v>
      </c>
      <c r="C8" s="19" t="s">
        <v>196</v>
      </c>
      <c r="D8" s="19">
        <f>IF(247196.48597="","-",247196.48597/2819533.73145*100)</f>
        <v>8.7672824486080678</v>
      </c>
      <c r="E8" s="19">
        <f>IF(534021.41553="","-",534021.41553/3985350.87503*100)</f>
        <v>13.399608523201362</v>
      </c>
    </row>
    <row r="9" spans="1:5" x14ac:dyDescent="0.25">
      <c r="A9" s="22" t="s">
        <v>107</v>
      </c>
      <c r="B9" s="19">
        <v>307666.90811000002</v>
      </c>
      <c r="C9" s="19" t="s">
        <v>91</v>
      </c>
      <c r="D9" s="19">
        <f>IF(143747.88676="","-",143747.88676/2819533.73145*100)</f>
        <v>5.098285761102594</v>
      </c>
      <c r="E9" s="19">
        <f>IF(307666.90811="","-",307666.90811/3985350.87503*100)</f>
        <v>7.7199453136653622</v>
      </c>
    </row>
    <row r="10" spans="1:5" x14ac:dyDescent="0.25">
      <c r="A10" s="22" t="s">
        <v>108</v>
      </c>
      <c r="B10" s="19">
        <v>3082089.3896499998</v>
      </c>
      <c r="C10" s="19">
        <v>128.71353714109478</v>
      </c>
      <c r="D10" s="19">
        <f>IF(2394533.98462="","-",2394533.98462/2819533.73145*100)</f>
        <v>84.926594702896651</v>
      </c>
      <c r="E10" s="19">
        <f>IF(3082089.38965="","-",3082089.38965/3985350.87503*100)</f>
        <v>77.335458941913089</v>
      </c>
    </row>
    <row r="11" spans="1:5" x14ac:dyDescent="0.25">
      <c r="A11" s="22" t="s">
        <v>109</v>
      </c>
      <c r="B11" s="19">
        <v>40858.018680000001</v>
      </c>
      <c r="C11" s="19">
        <v>124.36448895534326</v>
      </c>
      <c r="D11" s="19">
        <f>IF(32853.44476="","-",32853.44476/2819533.73145*100)</f>
        <v>1.16520843122187</v>
      </c>
      <c r="E11" s="19">
        <f>IF(40858.01868="","-",40858.01868/3985350.87503*100)</f>
        <v>1.0252050562472101</v>
      </c>
    </row>
    <row r="12" spans="1:5" x14ac:dyDescent="0.25">
      <c r="A12" s="22" t="s">
        <v>361</v>
      </c>
      <c r="B12" s="19">
        <v>1236.40122</v>
      </c>
      <c r="C12" s="19">
        <v>115.97911571264544</v>
      </c>
      <c r="D12" s="19">
        <f>IF(1066.05505="","-",1066.05505/2819533.73145*100)</f>
        <v>3.7809622141025442E-2</v>
      </c>
      <c r="E12" s="19">
        <f>IF(1236.40122="","-",1236.40122/3985350.87503*100)</f>
        <v>3.1023647823497921E-2</v>
      </c>
    </row>
    <row r="13" spans="1:5" x14ac:dyDescent="0.25">
      <c r="A13" s="22" t="s">
        <v>362</v>
      </c>
      <c r="B13" s="19">
        <v>19145.31914</v>
      </c>
      <c r="C13" s="19" t="s">
        <v>401</v>
      </c>
      <c r="D13" s="19">
        <f>IF(5.69357="","-",5.69357/2819533.73145*100)</f>
        <v>2.0193303369603495E-4</v>
      </c>
      <c r="E13" s="19">
        <f>IF(19145.31914="","-",19145.31914/3985350.87503*100)</f>
        <v>0.4803923102468583</v>
      </c>
    </row>
    <row r="14" spans="1:5" x14ac:dyDescent="0.25">
      <c r="A14" s="22" t="s">
        <v>112</v>
      </c>
      <c r="B14" s="19">
        <v>333.42270000000002</v>
      </c>
      <c r="C14" s="19" t="s">
        <v>342</v>
      </c>
      <c r="D14" s="19">
        <f>IF(130.18072="","-",130.18072/2819533.73145*100)</f>
        <v>4.6171009960945582E-3</v>
      </c>
      <c r="E14" s="19">
        <f>IF(333.4227="","-",333.4227/3985350.87503*100)</f>
        <v>8.3662069026103035E-3</v>
      </c>
    </row>
    <row r="15" spans="1:5" x14ac:dyDescent="0.25">
      <c r="A15" s="36" t="s">
        <v>199</v>
      </c>
      <c r="B15" s="21">
        <v>2354028.6165100001</v>
      </c>
      <c r="C15" s="21">
        <v>136.18722486822651</v>
      </c>
      <c r="D15" s="21">
        <f>IF(1728523.81623="","-",1728523.81623/2819533.73145*100)</f>
        <v>61.305307219753423</v>
      </c>
      <c r="E15" s="21">
        <f>IF(2354028.61651="","-",2354028.61651/3985350.87503*100)</f>
        <v>59.067035508944485</v>
      </c>
    </row>
    <row r="16" spans="1:5" x14ac:dyDescent="0.25">
      <c r="A16" s="22" t="s">
        <v>120</v>
      </c>
      <c r="B16" s="21"/>
      <c r="C16" s="21"/>
      <c r="D16" s="21"/>
      <c r="E16" s="21"/>
    </row>
    <row r="17" spans="1:6" x14ac:dyDescent="0.25">
      <c r="A17" s="22" t="s">
        <v>106</v>
      </c>
      <c r="B17" s="19">
        <v>363560.82260999997</v>
      </c>
      <c r="C17" s="19" t="s">
        <v>351</v>
      </c>
      <c r="D17" s="19">
        <f>IF(114777.23564="","-",114777.23564/2819533.73145*100)</f>
        <v>4.0707878171393101</v>
      </c>
      <c r="E17" s="19">
        <f>IF(363560.82261="","-",363560.82261/3985350.87503*100)</f>
        <v>9.1224294675751292</v>
      </c>
    </row>
    <row r="18" spans="1:6" x14ac:dyDescent="0.25">
      <c r="A18" s="22" t="s">
        <v>107</v>
      </c>
      <c r="B18" s="19">
        <v>49546.75028</v>
      </c>
      <c r="C18" s="19" t="s">
        <v>197</v>
      </c>
      <c r="D18" s="19">
        <f>IF(28022.69749="","-",28022.69749/2819533.73145*100)</f>
        <v>0.99387700801113599</v>
      </c>
      <c r="E18" s="19">
        <f>IF(49546.75028="","-",49546.75028/3985350.87503*100)</f>
        <v>1.243221784822824</v>
      </c>
    </row>
    <row r="19" spans="1:6" x14ac:dyDescent="0.25">
      <c r="A19" s="22" t="s">
        <v>108</v>
      </c>
      <c r="B19" s="19">
        <v>1934257.94728</v>
      </c>
      <c r="C19" s="19">
        <v>122.39953034203086</v>
      </c>
      <c r="D19" s="19">
        <f>IF(1580282.16438="","-",1580282.16438/2819533.73145*100)</f>
        <v>56.047641734270336</v>
      </c>
      <c r="E19" s="19">
        <f>IF(1934257.94728="","-",1934257.94728/3985350.87503*100)</f>
        <v>48.534194552328835</v>
      </c>
    </row>
    <row r="20" spans="1:6" x14ac:dyDescent="0.25">
      <c r="A20" s="22" t="s">
        <v>109</v>
      </c>
      <c r="B20" s="19">
        <v>5892.9807099999998</v>
      </c>
      <c r="C20" s="19">
        <v>132.5963141951614</v>
      </c>
      <c r="D20" s="19">
        <f>IF(4444.30205="","-",4444.30205/2819533.73145*100)</f>
        <v>0.15762542580806196</v>
      </c>
      <c r="E20" s="19">
        <f>IF(5892.98071="","-",5892.98071/3985350.87503*100)</f>
        <v>0.1478660447922453</v>
      </c>
    </row>
    <row r="21" spans="1:6" x14ac:dyDescent="0.25">
      <c r="A21" s="22" t="s">
        <v>110</v>
      </c>
      <c r="B21" s="19">
        <v>572.27452000000005</v>
      </c>
      <c r="C21" s="19">
        <v>62.851960842242796</v>
      </c>
      <c r="D21" s="19">
        <f>IF(910.5118="","-",910.5118/2819533.73145*100)</f>
        <v>3.2292991917204396E-2</v>
      </c>
      <c r="E21" s="19">
        <f>IF(572.27452="","-",572.27452/3985350.87503*100)</f>
        <v>1.4359451349329241E-2</v>
      </c>
    </row>
    <row r="22" spans="1:6" x14ac:dyDescent="0.25">
      <c r="A22" s="22" t="s">
        <v>362</v>
      </c>
      <c r="B22" s="19">
        <v>25.98704</v>
      </c>
      <c r="C22" s="19" t="s">
        <v>376</v>
      </c>
      <c r="D22" s="19" t="s">
        <v>376</v>
      </c>
      <c r="E22" s="19">
        <f>IF(25.98704="","-",25.98704/3985350.87503*100)</f>
        <v>6.5206404190959423E-4</v>
      </c>
    </row>
    <row r="23" spans="1:6" x14ac:dyDescent="0.25">
      <c r="A23" s="22" t="s">
        <v>112</v>
      </c>
      <c r="B23" s="19">
        <v>171.85407000000001</v>
      </c>
      <c r="C23" s="19" t="s">
        <v>18</v>
      </c>
      <c r="D23" s="19">
        <f>IF(86.90487="","-",86.90487/2819533.73145*100)</f>
        <v>3.0822426073727973E-3</v>
      </c>
      <c r="E23" s="19">
        <f>IF(171.85407="","-",171.85407/3985350.87503*100)</f>
        <v>4.3121440342114509E-3</v>
      </c>
    </row>
    <row r="24" spans="1:6" x14ac:dyDescent="0.25">
      <c r="A24" s="36" t="s">
        <v>200</v>
      </c>
      <c r="B24" s="21">
        <v>929293.75300999999</v>
      </c>
      <c r="C24" s="21" t="s">
        <v>196</v>
      </c>
      <c r="D24" s="21">
        <f>IF(422984.18785="","-",422984.18785/2819533.73145*100)</f>
        <v>15.001919754741582</v>
      </c>
      <c r="E24" s="21">
        <f>IF(929293.75301="","-",929293.75301/3985350.87503*100)</f>
        <v>23.317739946874934</v>
      </c>
    </row>
    <row r="25" spans="1:6" x14ac:dyDescent="0.25">
      <c r="A25" s="22" t="s">
        <v>120</v>
      </c>
      <c r="B25" s="21"/>
      <c r="C25" s="21"/>
      <c r="D25" s="21"/>
      <c r="E25" s="21"/>
    </row>
    <row r="26" spans="1:6" x14ac:dyDescent="0.25">
      <c r="A26" s="22" t="s">
        <v>106</v>
      </c>
      <c r="B26" s="19">
        <v>82.096980000000002</v>
      </c>
      <c r="C26" s="19">
        <v>0.79816831813215605</v>
      </c>
      <c r="D26" s="19">
        <f>IF(10285.6726="","-",10285.6726/2819533.73145*100)</f>
        <v>0.36480048049329039</v>
      </c>
      <c r="E26" s="19">
        <f>IF(82.09698="","-",82.09698/3985350.87503*100)</f>
        <v>2.059968684674019E-3</v>
      </c>
    </row>
    <row r="27" spans="1:6" x14ac:dyDescent="0.25">
      <c r="A27" s="22" t="s">
        <v>107</v>
      </c>
      <c r="B27" s="19">
        <v>157841.78201</v>
      </c>
      <c r="C27" s="19" t="s">
        <v>402</v>
      </c>
      <c r="D27" s="19">
        <f>IF(12178.05892="","-",12178.05892/2819533.73145*100)</f>
        <v>0.43191747572167533</v>
      </c>
      <c r="E27" s="19">
        <f>IF(157841.78201="","-",157841.78201/3985350.87503*100)</f>
        <v>3.960549195277864</v>
      </c>
    </row>
    <row r="28" spans="1:6" x14ac:dyDescent="0.25">
      <c r="A28" s="22" t="s">
        <v>108</v>
      </c>
      <c r="B28" s="19">
        <v>742300.45418</v>
      </c>
      <c r="C28" s="19" t="s">
        <v>101</v>
      </c>
      <c r="D28" s="19">
        <f>IF(391486.87969="","-",391486.87969/2819533.73145*100)</f>
        <v>13.884809226547903</v>
      </c>
      <c r="E28" s="19">
        <f>IF(742300.45418="","-",742300.45418/3985350.87503*100)</f>
        <v>18.625723994111613</v>
      </c>
      <c r="F28" s="7"/>
    </row>
    <row r="29" spans="1:6" x14ac:dyDescent="0.25">
      <c r="A29" s="22" t="s">
        <v>109</v>
      </c>
      <c r="B29" s="19">
        <v>9746.7464400000008</v>
      </c>
      <c r="C29" s="19">
        <v>108.86613292339477</v>
      </c>
      <c r="D29" s="19">
        <f>IF(8952.96469="","-",8952.96469/2819533.73145*100)</f>
        <v>0.31753351946585029</v>
      </c>
      <c r="E29" s="19">
        <f>IF(9746.74644="","-",9746.74644/3985350.87503*100)</f>
        <v>0.24456432433760633</v>
      </c>
    </row>
    <row r="30" spans="1:6" x14ac:dyDescent="0.25">
      <c r="A30" s="22" t="s">
        <v>110</v>
      </c>
      <c r="B30" s="19">
        <v>61.072670000000002</v>
      </c>
      <c r="C30" s="19" t="s">
        <v>100</v>
      </c>
      <c r="D30" s="19">
        <f>IF(37.25991="","-",37.25991/2819533.73145*100)</f>
        <v>1.3214919042957632E-3</v>
      </c>
      <c r="E30" s="19">
        <f>IF(61.07267="","-",61.07267/3985350.87503*100)</f>
        <v>1.5324289357468498E-3</v>
      </c>
    </row>
    <row r="31" spans="1:6" x14ac:dyDescent="0.25">
      <c r="A31" s="22" t="s">
        <v>111</v>
      </c>
      <c r="B31" s="19">
        <v>19119.332099999901</v>
      </c>
      <c r="C31" s="19" t="s">
        <v>403</v>
      </c>
      <c r="D31" s="19">
        <f>IF(5.69357="","-",5.69357/2819533.73145*100)</f>
        <v>2.0193303369603495E-4</v>
      </c>
      <c r="E31" s="19">
        <f>IF(19119.3320999999="","-",19119.3320999999/3985350.87503*100)</f>
        <v>0.47974024620494621</v>
      </c>
    </row>
    <row r="32" spans="1:6" x14ac:dyDescent="0.25">
      <c r="A32" s="22" t="s">
        <v>112</v>
      </c>
      <c r="B32" s="19">
        <v>142.26863</v>
      </c>
      <c r="C32" s="19" t="s">
        <v>371</v>
      </c>
      <c r="D32" s="19">
        <f>IF(37.65847="","-",37.65847/2819533.73145*100)</f>
        <v>1.335627574869743E-3</v>
      </c>
      <c r="E32" s="19">
        <f>IF(142.26863="","-",142.26863/3985350.87503*100)</f>
        <v>3.5697893224753779E-3</v>
      </c>
    </row>
    <row r="33" spans="1:5" x14ac:dyDescent="0.25">
      <c r="A33" s="36" t="s">
        <v>289</v>
      </c>
      <c r="B33" s="21">
        <v>702028.50551000005</v>
      </c>
      <c r="C33" s="21">
        <v>105.09004021055716</v>
      </c>
      <c r="D33" s="21">
        <f>IF(668025.72737="","-",668025.72737/2819533.73145*100)</f>
        <v>23.692773025504994</v>
      </c>
      <c r="E33" s="21">
        <f>IF(702028.50551="","-",702028.50551/3985350.87503*100)</f>
        <v>17.615224544180577</v>
      </c>
    </row>
    <row r="34" spans="1:5" x14ac:dyDescent="0.25">
      <c r="A34" s="22" t="s">
        <v>120</v>
      </c>
      <c r="B34" s="21"/>
      <c r="C34" s="21"/>
      <c r="D34" s="21"/>
      <c r="E34" s="21"/>
    </row>
    <row r="35" spans="1:5" x14ac:dyDescent="0.25">
      <c r="A35" s="22" t="s">
        <v>106</v>
      </c>
      <c r="B35" s="19">
        <v>170378.49593999999</v>
      </c>
      <c r="C35" s="19">
        <v>139.50176446697955</v>
      </c>
      <c r="D35" s="19">
        <f>IF(122133.57773="","-",122133.57773/2819533.73145*100)</f>
        <v>4.3316941509754683</v>
      </c>
      <c r="E35" s="19">
        <f>IF(170378.49594="","-",170378.49594/3985350.87503*100)</f>
        <v>4.2751190869415598</v>
      </c>
    </row>
    <row r="36" spans="1:5" x14ac:dyDescent="0.25">
      <c r="A36" s="22" t="s">
        <v>107</v>
      </c>
      <c r="B36" s="19">
        <v>100278.37582</v>
      </c>
      <c r="C36" s="19">
        <v>96.843220551886589</v>
      </c>
      <c r="D36" s="19">
        <f>IF(103547.13035="","-",103547.13035/2819533.73145*100)</f>
        <v>3.6724912773697835</v>
      </c>
      <c r="E36" s="19">
        <f>IF(100278.37582="","-",100278.37582/3985350.87503*100)</f>
        <v>2.5161743335646736</v>
      </c>
    </row>
    <row r="37" spans="1:5" x14ac:dyDescent="0.25">
      <c r="A37" s="22" t="s">
        <v>108</v>
      </c>
      <c r="B37" s="19">
        <v>405530.98819</v>
      </c>
      <c r="C37" s="19">
        <v>95.923514296720228</v>
      </c>
      <c r="D37" s="19">
        <f>IF(422764.94055="","-",422764.94055/2819533.73145*100)</f>
        <v>14.994143742078409</v>
      </c>
      <c r="E37" s="19">
        <f>IF(405530.98819="","-",405530.98819/3985350.87503*100)</f>
        <v>10.175540395472641</v>
      </c>
    </row>
    <row r="38" spans="1:5" x14ac:dyDescent="0.25">
      <c r="A38" s="22" t="s">
        <v>109</v>
      </c>
      <c r="B38" s="19">
        <v>25218.291529999999</v>
      </c>
      <c r="C38" s="19">
        <v>129.61585520073277</v>
      </c>
      <c r="D38" s="19">
        <f>IF(19456.17802="","-",19456.17802/2819533.73145*100)</f>
        <v>0.6900494859479579</v>
      </c>
      <c r="E38" s="19">
        <f>IF(25218.29153="","-",25218.29153/3985350.87503*100)</f>
        <v>0.63277468711735874</v>
      </c>
    </row>
    <row r="39" spans="1:5" x14ac:dyDescent="0.25">
      <c r="A39" s="22" t="s">
        <v>110</v>
      </c>
      <c r="B39" s="19">
        <v>603.05403000000001</v>
      </c>
      <c r="C39" s="19" t="s">
        <v>367</v>
      </c>
      <c r="D39" s="19">
        <f>IF(118.28334="","-",118.28334/2819533.73145*100)</f>
        <v>4.1951383195252814E-3</v>
      </c>
      <c r="E39" s="19">
        <f>IF(603.05403="","-",603.05403/3985350.87503*100)</f>
        <v>1.5131767538421832E-2</v>
      </c>
    </row>
    <row r="40" spans="1:5" x14ac:dyDescent="0.25">
      <c r="A40" s="52" t="s">
        <v>112</v>
      </c>
      <c r="B40" s="76">
        <v>19.3</v>
      </c>
      <c r="C40" s="23" t="s">
        <v>364</v>
      </c>
      <c r="D40" s="23">
        <f>IF(5.61738="","-",5.61738/2819533.73145*100)</f>
        <v>1.9923081385201779E-4</v>
      </c>
      <c r="E40" s="23">
        <f>IF(19.3="","-",19.3/3985350.87503*100)</f>
        <v>4.8427354592347452E-4</v>
      </c>
    </row>
    <row r="41" spans="1:5" x14ac:dyDescent="0.25">
      <c r="A41" s="26" t="s">
        <v>19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1"/>
  <sheetViews>
    <sheetView workbookViewId="0">
      <selection activeCell="C31" sqref="C31"/>
    </sheetView>
  </sheetViews>
  <sheetFormatPr defaultRowHeight="15.75" x14ac:dyDescent="0.25"/>
  <cols>
    <col min="1" max="1" width="32.625" customWidth="1"/>
    <col min="2" max="2" width="13.875" customWidth="1"/>
    <col min="3" max="3" width="13.375" customWidth="1"/>
    <col min="4" max="4" width="11.375" customWidth="1"/>
    <col min="5" max="5" width="11.125" customWidth="1"/>
  </cols>
  <sheetData>
    <row r="1" spans="1:5" x14ac:dyDescent="0.25">
      <c r="A1" s="79" t="s">
        <v>287</v>
      </c>
      <c r="B1" s="79"/>
      <c r="C1" s="79"/>
      <c r="D1" s="79"/>
      <c r="E1" s="79"/>
    </row>
    <row r="2" spans="1:5" x14ac:dyDescent="0.25">
      <c r="A2" s="6"/>
      <c r="B2" s="6"/>
      <c r="C2" s="6"/>
      <c r="D2" s="6"/>
      <c r="E2" s="6"/>
    </row>
    <row r="3" spans="1:5" ht="18.75" customHeight="1" x14ac:dyDescent="0.25">
      <c r="A3" s="80"/>
      <c r="B3" s="83" t="s">
        <v>380</v>
      </c>
      <c r="C3" s="84"/>
      <c r="D3" s="83" t="s">
        <v>104</v>
      </c>
      <c r="E3" s="101"/>
    </row>
    <row r="4" spans="1:5" ht="18.75" customHeight="1" x14ac:dyDescent="0.25">
      <c r="A4" s="81"/>
      <c r="B4" s="87" t="s">
        <v>115</v>
      </c>
      <c r="C4" s="93" t="s">
        <v>381</v>
      </c>
      <c r="D4" s="91" t="s">
        <v>382</v>
      </c>
      <c r="E4" s="83"/>
    </row>
    <row r="5" spans="1:5" ht="23.25" customHeight="1" x14ac:dyDescent="0.25">
      <c r="A5" s="82"/>
      <c r="B5" s="88"/>
      <c r="C5" s="94"/>
      <c r="D5" s="28" t="s">
        <v>306</v>
      </c>
      <c r="E5" s="29" t="s">
        <v>307</v>
      </c>
    </row>
    <row r="6" spans="1:5" ht="15.75" customHeight="1" x14ac:dyDescent="0.25">
      <c r="A6" s="53" t="s">
        <v>121</v>
      </c>
      <c r="B6" s="64">
        <v>8346249.7198099997</v>
      </c>
      <c r="C6" s="64">
        <v>129.95198436085892</v>
      </c>
      <c r="D6" s="66">
        <v>100</v>
      </c>
      <c r="E6" s="66">
        <v>100</v>
      </c>
    </row>
    <row r="7" spans="1:5" ht="15.75" customHeight="1" x14ac:dyDescent="0.25">
      <c r="A7" s="22" t="s">
        <v>120</v>
      </c>
      <c r="B7" s="40"/>
      <c r="C7" s="21"/>
      <c r="D7" s="40"/>
      <c r="E7" s="40"/>
    </row>
    <row r="8" spans="1:5" x14ac:dyDescent="0.25">
      <c r="A8" s="22" t="s">
        <v>106</v>
      </c>
      <c r="B8" s="19">
        <v>606111.23878000001</v>
      </c>
      <c r="C8" s="19" t="s">
        <v>304</v>
      </c>
      <c r="D8" s="19">
        <f>IF(214728.75675="","-",214728.75675/6422564.27315*100)</f>
        <v>3.3433492857002505</v>
      </c>
      <c r="E8" s="19">
        <f>IF(606111.23878="","-",606111.23878/8346249.71981*100)</f>
        <v>7.2620788872561794</v>
      </c>
    </row>
    <row r="9" spans="1:5" x14ac:dyDescent="0.25">
      <c r="A9" s="22" t="s">
        <v>107</v>
      </c>
      <c r="B9" s="19">
        <v>408894.38981999998</v>
      </c>
      <c r="C9" s="19">
        <v>139.56687596784263</v>
      </c>
      <c r="D9" s="19">
        <f>IF(292973.80699="","-",292973.80699/6422564.27315*100)</f>
        <v>4.5616329324223113</v>
      </c>
      <c r="E9" s="19">
        <f>IF(408894.38982="","-",408894.38982/8346249.71981*100)</f>
        <v>4.8991391768386769</v>
      </c>
    </row>
    <row r="10" spans="1:5" x14ac:dyDescent="0.25">
      <c r="A10" s="22" t="s">
        <v>108</v>
      </c>
      <c r="B10" s="19">
        <v>6306891.0056699999</v>
      </c>
      <c r="C10" s="19">
        <v>116.51391409235714</v>
      </c>
      <c r="D10" s="19">
        <f>IF(5412993.85125="","-",5412993.85125/6422564.27315*100)</f>
        <v>84.280882542186731</v>
      </c>
      <c r="E10" s="19">
        <f>IF(6306891.00567="","-",6306891.00567/8346249.71981*100)</f>
        <v>75.565567978399457</v>
      </c>
    </row>
    <row r="11" spans="1:5" x14ac:dyDescent="0.25">
      <c r="A11" s="22" t="s">
        <v>109</v>
      </c>
      <c r="B11" s="19">
        <v>137891.19557000001</v>
      </c>
      <c r="C11" s="19">
        <v>90.387501332288849</v>
      </c>
      <c r="D11" s="19">
        <f>IF(152555.60065="","-",152555.60065/6422564.27315*100)</f>
        <v>2.3753067180311431</v>
      </c>
      <c r="E11" s="19">
        <f>IF(137891.19557="","-",137891.19557/8346249.71981*100)</f>
        <v>1.652133595316617</v>
      </c>
    </row>
    <row r="12" spans="1:5" x14ac:dyDescent="0.25">
      <c r="A12" s="22" t="s">
        <v>110</v>
      </c>
      <c r="B12" s="19">
        <v>9166.3556100000005</v>
      </c>
      <c r="C12" s="19">
        <v>86.41241672122564</v>
      </c>
      <c r="D12" s="19">
        <f>IF(10607.68343="","-",10607.68343/6422564.27315*100)</f>
        <v>0.16516274464307343</v>
      </c>
      <c r="E12" s="19">
        <f>IF(9166.35561="","-",9166.35561/8346249.71981*100)</f>
        <v>0.10982604064965204</v>
      </c>
    </row>
    <row r="13" spans="1:5" x14ac:dyDescent="0.25">
      <c r="A13" s="22" t="s">
        <v>111</v>
      </c>
      <c r="B13" s="19">
        <v>827360.99979999999</v>
      </c>
      <c r="C13" s="19" t="s">
        <v>304</v>
      </c>
      <c r="D13" s="19">
        <f>IF(297772.2512="","-",297772.2512/6422564.27315*100)</f>
        <v>4.6363452125323006</v>
      </c>
      <c r="E13" s="19">
        <f>IF(827360.9998="","-",827360.9998/8346249.71981*100)</f>
        <v>9.9129672316925923</v>
      </c>
    </row>
    <row r="14" spans="1:5" x14ac:dyDescent="0.25">
      <c r="A14" s="22" t="s">
        <v>112</v>
      </c>
      <c r="B14" s="19">
        <v>49934.53456</v>
      </c>
      <c r="C14" s="19">
        <v>121.99291671374601</v>
      </c>
      <c r="D14" s="19">
        <f>IF(40932.32288="","-",40932.32288/6422564.27315*100)</f>
        <v>0.63732056448419794</v>
      </c>
      <c r="E14" s="19">
        <f>IF(49934.53456="","-",49934.53456/8346249.71981*100)</f>
        <v>0.59828708984682466</v>
      </c>
    </row>
    <row r="15" spans="1:5" x14ac:dyDescent="0.25">
      <c r="A15" s="36" t="s">
        <v>199</v>
      </c>
      <c r="B15" s="39">
        <v>3890527.9499499998</v>
      </c>
      <c r="C15" s="21">
        <v>136.27745108954971</v>
      </c>
      <c r="D15" s="21">
        <f>IF(2854858.17268="","-",2854858.17268/6422564.27315*100)</f>
        <v>44.450441463309964</v>
      </c>
      <c r="E15" s="21">
        <f>IF(3890527.94995="","-",3890527.94995/8346249.71981*100)</f>
        <v>46.614085134737223</v>
      </c>
    </row>
    <row r="16" spans="1:5" x14ac:dyDescent="0.25">
      <c r="A16" s="22" t="s">
        <v>120</v>
      </c>
      <c r="B16" s="33"/>
      <c r="C16" s="21"/>
      <c r="D16" s="21"/>
      <c r="E16" s="21"/>
    </row>
    <row r="17" spans="1:6" x14ac:dyDescent="0.25">
      <c r="A17" s="22" t="s">
        <v>106</v>
      </c>
      <c r="B17" s="19">
        <v>191384.81099</v>
      </c>
      <c r="C17" s="19" t="s">
        <v>347</v>
      </c>
      <c r="D17" s="19">
        <f>IF(64813.36702="","-",64813.36702/6422564.27315*100)</f>
        <v>1.0091509288736435</v>
      </c>
      <c r="E17" s="19">
        <f>IF(191384.81099="","-",191384.81099/8346249.71981*100)</f>
        <v>2.2930635604605039</v>
      </c>
    </row>
    <row r="18" spans="1:6" x14ac:dyDescent="0.25">
      <c r="A18" s="22" t="s">
        <v>107</v>
      </c>
      <c r="B18" s="19">
        <v>249552.02911</v>
      </c>
      <c r="C18" s="19" t="s">
        <v>342</v>
      </c>
      <c r="D18" s="19">
        <f>IF(97494.7772="","-",97494.7772/6422564.27315*100)</f>
        <v>1.5180039164042944</v>
      </c>
      <c r="E18" s="19">
        <f>IF(249552.02911="","-",249552.02911/8346249.71981*100)</f>
        <v>2.9899899654054565</v>
      </c>
    </row>
    <row r="19" spans="1:6" x14ac:dyDescent="0.25">
      <c r="A19" s="22" t="s">
        <v>108</v>
      </c>
      <c r="B19" s="19">
        <v>3288221.38687</v>
      </c>
      <c r="C19" s="19">
        <v>125.63090622477171</v>
      </c>
      <c r="D19" s="19">
        <f>IF(2617366.60642="","-",2617366.60642/6422564.27315*100)</f>
        <v>40.752672843806216</v>
      </c>
      <c r="E19" s="19">
        <f>IF(3288221.38687="","-",3288221.38687/8346249.71981*100)</f>
        <v>39.397591699962412</v>
      </c>
    </row>
    <row r="20" spans="1:6" x14ac:dyDescent="0.25">
      <c r="A20" s="22" t="s">
        <v>109</v>
      </c>
      <c r="B20" s="19">
        <v>31963.718339999999</v>
      </c>
      <c r="C20" s="19">
        <v>87.082863438559031</v>
      </c>
      <c r="D20" s="19">
        <f>IF(36704.94639="","-",36704.94639/6422564.27315*100)</f>
        <v>0.57149986872763126</v>
      </c>
      <c r="E20" s="19">
        <f>IF(31963.71834="","-",31963.71834/8346249.71981*100)</f>
        <v>0.38297102786337006</v>
      </c>
    </row>
    <row r="21" spans="1:6" x14ac:dyDescent="0.25">
      <c r="A21" s="22" t="s">
        <v>110</v>
      </c>
      <c r="B21" s="19">
        <v>5960.7308300000004</v>
      </c>
      <c r="C21" s="19">
        <v>111.2451134553103</v>
      </c>
      <c r="D21" s="19">
        <f>IF(5358.19565="","-",5358.19565/6422564.27315*100)</f>
        <v>8.3427668795785018E-2</v>
      </c>
      <c r="E21" s="19">
        <f>IF(5960.73083="","-",5960.73083/8346249.71981*100)</f>
        <v>7.1418074346039279E-2</v>
      </c>
    </row>
    <row r="22" spans="1:6" x14ac:dyDescent="0.25">
      <c r="A22" s="22" t="s">
        <v>111</v>
      </c>
      <c r="B22" s="19">
        <v>78644.083190000005</v>
      </c>
      <c r="C22" s="19" t="s">
        <v>376</v>
      </c>
      <c r="D22" s="77" t="s">
        <v>376</v>
      </c>
      <c r="E22" s="19">
        <f>IF(78644.08319="","-",78644.08319/8346249.71981*100)</f>
        <v>0.94226851376536958</v>
      </c>
    </row>
    <row r="23" spans="1:6" x14ac:dyDescent="0.25">
      <c r="A23" s="22" t="s">
        <v>112</v>
      </c>
      <c r="B23" s="19">
        <v>44801.190620000001</v>
      </c>
      <c r="C23" s="19">
        <v>135.2681517789101</v>
      </c>
      <c r="D23" s="19">
        <f>IF(33120.28="","-",33120.28/6422564.27315*100)</f>
        <v>0.51568623670239866</v>
      </c>
      <c r="E23" s="19">
        <f>IF(44801.19062="","-",44801.19062/8346249.71981*100)</f>
        <v>0.53678229293407598</v>
      </c>
      <c r="F23" s="21"/>
    </row>
    <row r="24" spans="1:6" x14ac:dyDescent="0.25">
      <c r="A24" s="36" t="s">
        <v>200</v>
      </c>
      <c r="B24" s="21">
        <v>2058893.3990100001</v>
      </c>
      <c r="C24" s="41">
        <v>123.15120814781307</v>
      </c>
      <c r="D24" s="21">
        <f>IF(1671841.81948="","-",1671841.81948/6422564.27315*100)</f>
        <v>26.030752646092729</v>
      </c>
      <c r="E24" s="21">
        <f>IF(2058893.39901="","-",2058893.39901/8346249.71981*100)</f>
        <v>24.668485465072692</v>
      </c>
      <c r="F24" s="21"/>
    </row>
    <row r="25" spans="1:6" x14ac:dyDescent="0.25">
      <c r="A25" s="22" t="s">
        <v>120</v>
      </c>
      <c r="B25" s="21"/>
      <c r="C25" s="33"/>
      <c r="D25" s="21"/>
      <c r="E25" s="21"/>
      <c r="F25" s="19"/>
    </row>
    <row r="26" spans="1:6" x14ac:dyDescent="0.25">
      <c r="A26" s="22" t="s">
        <v>106</v>
      </c>
      <c r="B26" s="19">
        <v>148603.13034</v>
      </c>
      <c r="C26" s="33">
        <v>117.28146676533922</v>
      </c>
      <c r="D26" s="19">
        <f>IF(126706.40506="","-",126706.40506/6422564.27315*100)</f>
        <v>1.9728320289406118</v>
      </c>
      <c r="E26" s="19">
        <f>IF(148603.13034="","-",148603.13034/8346249.71981*100)</f>
        <v>1.780477883225652</v>
      </c>
      <c r="F26" s="19"/>
    </row>
    <row r="27" spans="1:6" x14ac:dyDescent="0.25">
      <c r="A27" s="22" t="s">
        <v>107</v>
      </c>
      <c r="B27" s="19">
        <v>157307.70822999999</v>
      </c>
      <c r="C27" s="33">
        <v>80.520834480424924</v>
      </c>
      <c r="D27" s="19">
        <f>IF(195362.73965="","-",195362.73965/6422564.27315*100)</f>
        <v>3.0418183663296019</v>
      </c>
      <c r="E27" s="19">
        <f>IF(157307.70823="","-",157307.70823/8346249.71981*100)</f>
        <v>1.8847711668227087</v>
      </c>
      <c r="F27" s="19"/>
    </row>
    <row r="28" spans="1:6" x14ac:dyDescent="0.25">
      <c r="A28" s="22" t="s">
        <v>108</v>
      </c>
      <c r="B28" s="19">
        <v>986766.45623999997</v>
      </c>
      <c r="C28" s="33">
        <v>96.345104502243885</v>
      </c>
      <c r="D28" s="19">
        <f>IF(1024199.89198="","-",1024199.89198/6422564.27315*100)</f>
        <v>15.946899842820454</v>
      </c>
      <c r="E28" s="19">
        <f>IF(986766.45624="","-",986766.45624/8346249.71981*100)</f>
        <v>11.822872420146847</v>
      </c>
      <c r="F28" s="19"/>
    </row>
    <row r="29" spans="1:6" x14ac:dyDescent="0.25">
      <c r="A29" s="22" t="s">
        <v>109</v>
      </c>
      <c r="B29" s="19">
        <v>16500.141309999999</v>
      </c>
      <c r="C29" s="33">
        <v>65.956106181124042</v>
      </c>
      <c r="D29" s="19">
        <f>IF(25016.85176="","-",25016.85176/6422564.27315*100)</f>
        <v>0.38951500827457319</v>
      </c>
      <c r="E29" s="19">
        <f>IF(16500.14131="","-",16500.14131/8346249.71981*100)</f>
        <v>0.19769527469129716</v>
      </c>
      <c r="F29" s="19"/>
    </row>
    <row r="30" spans="1:6" x14ac:dyDescent="0.25">
      <c r="A30" s="22" t="s">
        <v>110</v>
      </c>
      <c r="B30" s="19">
        <v>277.30405000000002</v>
      </c>
      <c r="C30" s="33">
        <v>80.982038749850673</v>
      </c>
      <c r="D30" s="19">
        <f>IF(342.42661="","-",342.42661/6422564.27315*100)</f>
        <v>5.3316182670454463E-3</v>
      </c>
      <c r="E30" s="19">
        <f>IF(277.30405="","-",277.30405/8346249.71981*100)</f>
        <v>3.3224988385120208E-3</v>
      </c>
      <c r="F30" s="19"/>
    </row>
    <row r="31" spans="1:6" x14ac:dyDescent="0.25">
      <c r="A31" s="22" t="s">
        <v>111</v>
      </c>
      <c r="B31" s="19">
        <v>748716.91660999996</v>
      </c>
      <c r="C31" s="33" t="s">
        <v>345</v>
      </c>
      <c r="D31" s="19">
        <f>IF(297772.2512="","-",297772.2512/6422564.27315*100)</f>
        <v>4.6363452125323006</v>
      </c>
      <c r="E31" s="19">
        <f>IF(748716.91661="","-",748716.91661/8346249.71981*100)</f>
        <v>8.9706987179272204</v>
      </c>
    </row>
    <row r="32" spans="1:6" x14ac:dyDescent="0.25">
      <c r="A32" s="22" t="s">
        <v>112</v>
      </c>
      <c r="B32" s="19">
        <v>721.74222999999995</v>
      </c>
      <c r="C32" s="42">
        <v>29.564414870490165</v>
      </c>
      <c r="D32" s="19">
        <f>IF(2441.25322="","-",2441.25322/6422564.27315*100)</f>
        <v>3.8010568928143515E-2</v>
      </c>
      <c r="E32" s="19">
        <f>IF(721.74223="","-",721.74223/8346249.71981*100)</f>
        <v>8.6475034204515789E-3</v>
      </c>
    </row>
    <row r="33" spans="1:5" x14ac:dyDescent="0.25">
      <c r="A33" s="36" t="s">
        <v>201</v>
      </c>
      <c r="B33" s="39">
        <v>2396828.3708500001</v>
      </c>
      <c r="C33" s="21">
        <v>126.42404811795926</v>
      </c>
      <c r="D33" s="21">
        <f>IF(1895864.28099="","-",1895864.28099/6422564.27315*100)</f>
        <v>29.518805890597307</v>
      </c>
      <c r="E33" s="21">
        <f>IF(2396828.37085="","-",2396828.37085/8346249.71981*100)</f>
        <v>28.717429400190092</v>
      </c>
    </row>
    <row r="34" spans="1:5" x14ac:dyDescent="0.25">
      <c r="A34" s="22" t="s">
        <v>120</v>
      </c>
      <c r="B34" s="33"/>
      <c r="C34" s="21"/>
      <c r="D34" s="21"/>
      <c r="E34" s="21"/>
    </row>
    <row r="35" spans="1:5" x14ac:dyDescent="0.25">
      <c r="A35" s="22" t="s">
        <v>106</v>
      </c>
      <c r="B35" s="19">
        <v>266123.29745000001</v>
      </c>
      <c r="C35" s="19" t="s">
        <v>404</v>
      </c>
      <c r="D35" s="19">
        <f>IF(23208.98467="","-",23208.98467/6422564.27315*100)</f>
        <v>0.36136632788599504</v>
      </c>
      <c r="E35" s="19">
        <f>IF(266123.29745="","-",266123.29745/8346249.71981*100)</f>
        <v>3.1885374435700236</v>
      </c>
    </row>
    <row r="36" spans="1:5" x14ac:dyDescent="0.25">
      <c r="A36" s="22" t="s">
        <v>107</v>
      </c>
      <c r="B36" s="19">
        <v>2034.65248</v>
      </c>
      <c r="C36" s="19" t="s">
        <v>405</v>
      </c>
      <c r="D36" s="19">
        <f>IF(116.29014="","-",116.29014/6422564.27315*100)</f>
        <v>1.8106496884143215E-3</v>
      </c>
      <c r="E36" s="19">
        <f>IF(2034.65248="","-",2034.65248/8346249.71981*100)</f>
        <v>2.4378044610511827E-2</v>
      </c>
    </row>
    <row r="37" spans="1:5" x14ac:dyDescent="0.25">
      <c r="A37" s="22" t="s">
        <v>108</v>
      </c>
      <c r="B37" s="19">
        <v>2031903.1625600001</v>
      </c>
      <c r="C37" s="19">
        <v>114.70428969559083</v>
      </c>
      <c r="D37" s="19">
        <f>IF(1771427.35285="","-",1771427.35285/6422564.27315*100)</f>
        <v>27.581309855560054</v>
      </c>
      <c r="E37" s="19">
        <f>IF(2031903.16256="","-",2031903.16256/8346249.71981*100)</f>
        <v>24.345103858290209</v>
      </c>
    </row>
    <row r="38" spans="1:5" x14ac:dyDescent="0.25">
      <c r="A38" s="22" t="s">
        <v>109</v>
      </c>
      <c r="B38" s="19">
        <v>89427.335919999998</v>
      </c>
      <c r="C38" s="19">
        <v>98.451604423364302</v>
      </c>
      <c r="D38" s="19">
        <f>IF(90833.8025="","-",90833.8025/6422564.27315*100)</f>
        <v>1.4142918410289387</v>
      </c>
      <c r="E38" s="19">
        <f>IF(89427.33592="","-",89427.33592/8346249.71981*100)</f>
        <v>1.0714672927619495</v>
      </c>
    </row>
    <row r="39" spans="1:5" x14ac:dyDescent="0.25">
      <c r="A39" s="22" t="s">
        <v>110</v>
      </c>
      <c r="B39" s="19">
        <v>2928.3207299999999</v>
      </c>
      <c r="C39" s="19">
        <v>59.675651648744378</v>
      </c>
      <c r="D39" s="19">
        <f>IF(4907.06117="","-",4907.06117/6422564.27315*100)</f>
        <v>7.6403457580242959E-2</v>
      </c>
      <c r="E39" s="19">
        <f>IF(2928.32073="","-",2928.32073/8346249.71981*100)</f>
        <v>3.5085467465100745E-2</v>
      </c>
    </row>
    <row r="40" spans="1:5" x14ac:dyDescent="0.25">
      <c r="A40" s="52" t="s">
        <v>112</v>
      </c>
      <c r="B40" s="23">
        <v>4411.6017099999999</v>
      </c>
      <c r="C40" s="23">
        <v>82.140653223794274</v>
      </c>
      <c r="D40" s="23">
        <f>IF(5370.78966="","-",5370.78966/6422564.27315*100)</f>
        <v>8.3623758853655694E-2</v>
      </c>
      <c r="E40" s="23">
        <f>IF(4411.60171="","-",4411.60171/8346249.71981*100)</f>
        <v>5.2857293492297147E-2</v>
      </c>
    </row>
    <row r="41" spans="1:5" x14ac:dyDescent="0.25">
      <c r="A41" s="26" t="s">
        <v>19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4"/>
  <sheetViews>
    <sheetView zoomScaleNormal="100" workbookViewId="0">
      <selection activeCell="D58" sqref="D58"/>
    </sheetView>
  </sheetViews>
  <sheetFormatPr defaultRowHeight="15.75" x14ac:dyDescent="0.25"/>
  <cols>
    <col min="1" max="1" width="4.875" customWidth="1"/>
    <col min="2" max="2" width="27.625" customWidth="1"/>
    <col min="3" max="3" width="11.125" customWidth="1"/>
    <col min="4" max="4" width="10.75" customWidth="1"/>
    <col min="5" max="5" width="7.875" customWidth="1"/>
    <col min="6" max="6" width="7.625" customWidth="1"/>
    <col min="7" max="7" width="8.5" customWidth="1"/>
    <col min="8" max="8" width="8.75" customWidth="1"/>
    <col min="10" max="10" width="9.125" customWidth="1"/>
  </cols>
  <sheetData>
    <row r="1" spans="1:11" x14ac:dyDescent="0.25">
      <c r="B1" s="92" t="s">
        <v>128</v>
      </c>
      <c r="C1" s="92"/>
      <c r="D1" s="92"/>
      <c r="E1" s="92"/>
      <c r="F1" s="92"/>
      <c r="G1" s="92"/>
      <c r="H1" s="92"/>
    </row>
    <row r="2" spans="1:11" x14ac:dyDescent="0.25">
      <c r="B2" s="92" t="s">
        <v>280</v>
      </c>
      <c r="C2" s="92"/>
      <c r="D2" s="92"/>
      <c r="E2" s="92"/>
      <c r="F2" s="92"/>
      <c r="G2" s="92"/>
      <c r="H2" s="92"/>
    </row>
    <row r="3" spans="1:11" x14ac:dyDescent="0.25">
      <c r="B3" s="5"/>
    </row>
    <row r="4" spans="1:11" ht="57" customHeight="1" x14ac:dyDescent="0.25">
      <c r="A4" s="102" t="s">
        <v>206</v>
      </c>
      <c r="B4" s="105"/>
      <c r="C4" s="108" t="s">
        <v>380</v>
      </c>
      <c r="D4" s="100"/>
      <c r="E4" s="108" t="s">
        <v>0</v>
      </c>
      <c r="F4" s="100"/>
      <c r="G4" s="97" t="s">
        <v>102</v>
      </c>
      <c r="H4" s="109"/>
    </row>
    <row r="5" spans="1:11" ht="22.5" customHeight="1" x14ac:dyDescent="0.25">
      <c r="A5" s="103"/>
      <c r="B5" s="106"/>
      <c r="C5" s="110" t="s">
        <v>105</v>
      </c>
      <c r="D5" s="95" t="s">
        <v>381</v>
      </c>
      <c r="E5" s="112" t="s">
        <v>382</v>
      </c>
      <c r="F5" s="112"/>
      <c r="G5" s="112" t="s">
        <v>386</v>
      </c>
      <c r="H5" s="108"/>
    </row>
    <row r="6" spans="1:11" ht="33" customHeight="1" x14ac:dyDescent="0.25">
      <c r="A6" s="104"/>
      <c r="B6" s="107"/>
      <c r="C6" s="111"/>
      <c r="D6" s="96"/>
      <c r="E6" s="32" t="s">
        <v>306</v>
      </c>
      <c r="F6" s="32" t="s">
        <v>307</v>
      </c>
      <c r="G6" s="32" t="s">
        <v>306</v>
      </c>
      <c r="H6" s="31" t="s">
        <v>307</v>
      </c>
    </row>
    <row r="7" spans="1:11" ht="16.5" customHeight="1" x14ac:dyDescent="0.25">
      <c r="A7" s="68"/>
      <c r="B7" s="54" t="s">
        <v>96</v>
      </c>
      <c r="C7" s="67">
        <v>3985350.8750300002</v>
      </c>
      <c r="D7" s="58">
        <f>IF(2819533.73145="","-",3985350.87503/2819533.73145*100)</f>
        <v>141.3478700600775</v>
      </c>
      <c r="E7" s="58">
        <v>100</v>
      </c>
      <c r="F7" s="58">
        <v>100</v>
      </c>
      <c r="G7" s="58">
        <f>IF(2248863.79366="","-",(2819533.73145-2248863.79366)/2248863.79366*100)</f>
        <v>25.375922694777397</v>
      </c>
      <c r="H7" s="58">
        <f>IF(2819533.73145="","-",(3985350.87503-2819533.73145)/2819533.73145*100)</f>
        <v>41.347870060077497</v>
      </c>
    </row>
    <row r="8" spans="1:11" x14ac:dyDescent="0.25">
      <c r="A8" s="15" t="s">
        <v>207</v>
      </c>
      <c r="B8" s="16" t="s">
        <v>176</v>
      </c>
      <c r="C8" s="13">
        <v>863354.23297999997</v>
      </c>
      <c r="D8" s="21">
        <f>IF(708861.52499="","-",863354.23298/708861.52499*100)</f>
        <v>121.7944834842291</v>
      </c>
      <c r="E8" s="21">
        <f>IF(708861.52499="","-",708861.52499/2819533.73145*100)</f>
        <v>25.141090425098554</v>
      </c>
      <c r="F8" s="21">
        <f>IF(863354.23298="","-",863354.23298/3985350.87503*100)</f>
        <v>21.663192528148503</v>
      </c>
      <c r="G8" s="21">
        <f>IF(2248863.79366="","-",(708861.52499-488701.16572)/2248863.79366*100)</f>
        <v>9.7898485399905653</v>
      </c>
      <c r="H8" s="21">
        <f>IF(2819533.73145="","-",(863354.23298-708861.52499)/2819533.73145*100)</f>
        <v>5.4793708004532062</v>
      </c>
    </row>
    <row r="9" spans="1:11" ht="13.5" customHeight="1" x14ac:dyDescent="0.25">
      <c r="A9" s="17" t="s">
        <v>208</v>
      </c>
      <c r="B9" s="18" t="s">
        <v>21</v>
      </c>
      <c r="C9" s="14">
        <v>5095.8450599999996</v>
      </c>
      <c r="D9" s="19">
        <f>IF(OR(6916.86207="",5095.84506=""),"-",5095.84506/6916.86207*100)</f>
        <v>73.672787001230461</v>
      </c>
      <c r="E9" s="19">
        <f>IF(6916.86207="","-",6916.86207/2819533.73145*100)</f>
        <v>0.24531935875946659</v>
      </c>
      <c r="F9" s="19">
        <f>IF(5095.84506="","-",5095.84506/3985350.87503*100)</f>
        <v>0.12786440190066425</v>
      </c>
      <c r="G9" s="19">
        <f>IF(OR(2248863.79366="",9455.92957="",6916.86207=""),"-",(6916.86207-9455.92957)/2248863.79366*100)</f>
        <v>-0.11290445900539386</v>
      </c>
      <c r="H9" s="19">
        <f>IF(OR(2819533.73145="",5095.84506="",6916.86207=""),"-",(5095.84506-6916.86207)/2819533.73145*100)</f>
        <v>-6.4585750107820389E-2</v>
      </c>
      <c r="I9" s="15"/>
      <c r="J9" s="16"/>
      <c r="K9" s="13"/>
    </row>
    <row r="10" spans="1:11" x14ac:dyDescent="0.25">
      <c r="A10" s="17" t="s">
        <v>209</v>
      </c>
      <c r="B10" s="18" t="s">
        <v>177</v>
      </c>
      <c r="C10" s="14">
        <v>4325.2551199999998</v>
      </c>
      <c r="D10" s="19">
        <f>IF(OR(7294.31342="",4325.25512=""),"-",4325.25512/7294.31342*100)</f>
        <v>59.296260949532922</v>
      </c>
      <c r="E10" s="19">
        <f>IF(7294.31342="","-",7294.31342/2819533.73145*100)</f>
        <v>0.2587063718598876</v>
      </c>
      <c r="F10" s="19">
        <f>IF(4325.25512="","-",4325.25512/3985350.87503*100)</f>
        <v>0.10852884113917426</v>
      </c>
      <c r="G10" s="19">
        <f>IF(OR(2248863.79366="",5241.35171="",7294.31342=""),"-",(7294.31342-5241.35171)/2248863.79366*100)</f>
        <v>9.1288841760346406E-2</v>
      </c>
      <c r="H10" s="19">
        <f>IF(OR(2819533.73145="",4325.25512="",7294.31342=""),"-",(4325.25512-7294.31342)/2819533.73145*100)</f>
        <v>-0.10530316650877963</v>
      </c>
      <c r="I10" s="17"/>
      <c r="J10" s="18"/>
      <c r="K10" s="14"/>
    </row>
    <row r="11" spans="1:11" s="6" customFormat="1" x14ac:dyDescent="0.25">
      <c r="A11" s="17" t="s">
        <v>210</v>
      </c>
      <c r="B11" s="18" t="s">
        <v>178</v>
      </c>
      <c r="C11" s="14">
        <v>16069.75266</v>
      </c>
      <c r="D11" s="19">
        <f>IF(OR(11227.49113="",16069.75266=""),"-",16069.75266/11227.49113*100)</f>
        <v>143.1286159475238</v>
      </c>
      <c r="E11" s="19">
        <f>IF(11227.49113="","-",11227.49113/2819533.73145*100)</f>
        <v>0.39820382373031749</v>
      </c>
      <c r="F11" s="19">
        <f>IF(16069.75266="","-",16069.75266/3985350.87503*100)</f>
        <v>0.40322052345965725</v>
      </c>
      <c r="G11" s="19">
        <f>IF(OR(2248863.79366="",11011.10098="",11227.49113=""),"-",(11227.49113-11011.10098)/2248863.79366*100)</f>
        <v>9.6221990237936386E-3</v>
      </c>
      <c r="H11" s="19">
        <f>IF(OR(2819533.73145="",16069.75266="",11227.49113=""),"-",(16069.75266-11227.49113)/2819533.73145*100)</f>
        <v>0.17173979782500326</v>
      </c>
      <c r="I11" s="17"/>
      <c r="J11" s="18"/>
      <c r="K11" s="14"/>
    </row>
    <row r="12" spans="1:11" s="6" customFormat="1" x14ac:dyDescent="0.25">
      <c r="A12" s="17" t="s">
        <v>211</v>
      </c>
      <c r="B12" s="18" t="s">
        <v>179</v>
      </c>
      <c r="C12" s="14">
        <v>56.987340000000003</v>
      </c>
      <c r="D12" s="19">
        <f>IF(OR(39.64692="",56.98734=""),"-",56.98734/39.64692*100)</f>
        <v>143.73711753649465</v>
      </c>
      <c r="E12" s="19">
        <f>IF(39.64692="","-",39.64692/2819533.73145*100)</f>
        <v>1.4061516469111653E-3</v>
      </c>
      <c r="F12" s="19">
        <f>IF(56.98734="","-",56.98734/3985350.87503*100)</f>
        <v>1.4299202701837646E-3</v>
      </c>
      <c r="G12" s="19">
        <f>IF(OR(2248863.79366="",14.31303="",39.64692=""),"-",(39.64692-14.31303)/2248863.79366*100)</f>
        <v>1.1265195371734538E-3</v>
      </c>
      <c r="H12" s="19">
        <f>IF(OR(2819533.73145="",56.98734="",39.64692=""),"-",(56.98734-39.64692)/2819533.73145*100)</f>
        <v>6.1501019855089137E-4</v>
      </c>
      <c r="I12" s="17"/>
      <c r="J12" s="18"/>
      <c r="K12" s="14"/>
    </row>
    <row r="13" spans="1:11" s="6" customFormat="1" ht="15.75" customHeight="1" x14ac:dyDescent="0.25">
      <c r="A13" s="17" t="s">
        <v>212</v>
      </c>
      <c r="B13" s="18" t="s">
        <v>180</v>
      </c>
      <c r="C13" s="14">
        <v>415930.16765000002</v>
      </c>
      <c r="D13" s="19">
        <f>IF(OR(331326.05799="",415930.16765=""),"-",415930.16765/331326.05799*100)</f>
        <v>125.53500022704327</v>
      </c>
      <c r="E13" s="19">
        <f>IF(331326.05799="","-",331326.05799/2819533.73145*100)</f>
        <v>11.751093959057165</v>
      </c>
      <c r="F13" s="19">
        <f>IF(415930.16765="","-",415930.16765/3985350.87503*100)</f>
        <v>10.436475499710401</v>
      </c>
      <c r="G13" s="19">
        <f>IF(OR(2248863.79366="",129598.46447="",331326.05799=""),"-",(331326.05799-129598.46447)/2248863.79366*100)</f>
        <v>8.9702006003525288</v>
      </c>
      <c r="H13" s="19">
        <f>IF(OR(2819533.73145="",415930.16765="",331326.05799=""),"-",(415930.16765-331326.05799)/2819533.73145*100)</f>
        <v>3.0006418691253152</v>
      </c>
      <c r="I13" s="17"/>
      <c r="J13" s="18"/>
      <c r="K13" s="14"/>
    </row>
    <row r="14" spans="1:11" s="6" customFormat="1" ht="15.75" customHeight="1" x14ac:dyDescent="0.25">
      <c r="A14" s="17" t="s">
        <v>213</v>
      </c>
      <c r="B14" s="18" t="s">
        <v>181</v>
      </c>
      <c r="C14" s="14">
        <v>328034.92653</v>
      </c>
      <c r="D14" s="19">
        <f>IF(OR(282694.96364="",328034.92653=""),"-",328034.92653/282694.96364*100)</f>
        <v>116.03847564392358</v>
      </c>
      <c r="E14" s="19">
        <f>IF(282694.96364="","-",282694.96364/2819533.73145*100)</f>
        <v>10.026301884128147</v>
      </c>
      <c r="F14" s="19">
        <f>IF(328034.92653="","-",328034.92653/3985350.87503*100)</f>
        <v>8.2310174641155207</v>
      </c>
      <c r="G14" s="19">
        <f>IF(OR(2248863.79366="",278406.82954="",282694.96364=""),"-",(282694.96364-278406.82954)/2248863.79366*100)</f>
        <v>0.19068002749161955</v>
      </c>
      <c r="H14" s="19">
        <f>IF(OR(2819533.73145="",328034.92653="",282694.96364=""),"-",(328034.92653-282694.96364)/2819533.73145*100)</f>
        <v>1.6080659856721442</v>
      </c>
      <c r="I14" s="17"/>
      <c r="J14" s="18"/>
      <c r="K14" s="14"/>
    </row>
    <row r="15" spans="1:11" s="6" customFormat="1" ht="14.25" customHeight="1" x14ac:dyDescent="0.25">
      <c r="A15" s="17" t="s">
        <v>214</v>
      </c>
      <c r="B15" s="18" t="s">
        <v>139</v>
      </c>
      <c r="C15" s="14">
        <v>24004.983540000001</v>
      </c>
      <c r="D15" s="19">
        <f>IF(OR(29788.83094="",24004.98354=""),"-",24004.98354/29788.83094*100)</f>
        <v>80.583838917177729</v>
      </c>
      <c r="E15" s="19">
        <f>IF(29788.83094="","-",29788.83094/2819533.73145*100)</f>
        <v>1.0565162107381676</v>
      </c>
      <c r="F15" s="19">
        <f>IF(24004.98354="","-",24004.98354/3985350.87503*100)</f>
        <v>0.6023304921632352</v>
      </c>
      <c r="G15" s="19">
        <f>IF(OR(2248863.79366="",17347.73221="",29788.83094=""),"-",(29788.83094-17347.73221)/2248863.79366*100)</f>
        <v>0.55321708522650259</v>
      </c>
      <c r="H15" s="19">
        <f>IF(OR(2819533.73145="",24004.98354="",29788.83094=""),"-",(24004.98354-29788.83094)/2819533.73145*100)</f>
        <v>-0.2051348893430526</v>
      </c>
      <c r="I15" s="17"/>
      <c r="J15" s="18"/>
      <c r="K15" s="14"/>
    </row>
    <row r="16" spans="1:11" s="6" customFormat="1" ht="25.5" x14ac:dyDescent="0.25">
      <c r="A16" s="17" t="s">
        <v>215</v>
      </c>
      <c r="B16" s="18" t="s">
        <v>182</v>
      </c>
      <c r="C16" s="14">
        <v>11191.852709999999</v>
      </c>
      <c r="D16" s="19">
        <f>IF(OR(9787.97283="",11191.85271=""),"-",11191.85271/9787.97283*100)</f>
        <v>114.34290740670147</v>
      </c>
      <c r="E16" s="19">
        <f>IF(9787.97283="","-",9787.97283/2819533.73145*100)</f>
        <v>0.34714863386175365</v>
      </c>
      <c r="F16" s="19">
        <f>IF(11191.85271="","-",11191.85271/3985350.87503*100)</f>
        <v>0.28082477706346876</v>
      </c>
      <c r="G16" s="19">
        <f>IF(OR(2248863.79366="",7320.6871="",9787.97283=""),"-",(9787.97283-7320.6871)/2248863.79366*100)</f>
        <v>0.10971254626250714</v>
      </c>
      <c r="H16" s="19">
        <f>IF(OR(2819533.73145="",11191.85271="",9787.97283=""),"-",(11191.85271-9787.97283)/2819533.73145*100)</f>
        <v>4.9791207118420465E-2</v>
      </c>
      <c r="I16" s="17"/>
      <c r="J16" s="18"/>
      <c r="K16" s="14"/>
    </row>
    <row r="17" spans="1:11" s="6" customFormat="1" ht="25.5" x14ac:dyDescent="0.25">
      <c r="A17" s="17" t="s">
        <v>216</v>
      </c>
      <c r="B17" s="18" t="s">
        <v>140</v>
      </c>
      <c r="C17" s="14">
        <v>50809.97062</v>
      </c>
      <c r="D17" s="19" t="s">
        <v>91</v>
      </c>
      <c r="E17" s="19">
        <f>IF(24630.30853="","-",24630.30853/2819533.73145*100)</f>
        <v>0.87355963346937449</v>
      </c>
      <c r="F17" s="19">
        <f>IF(50809.97062="","-",50809.97062/3985350.87503*100)</f>
        <v>1.274918375151034</v>
      </c>
      <c r="G17" s="19">
        <f>IF(OR(2248863.79366="",26836.79847="",24630.30853=""),"-",(24630.30853-26836.79847)/2248863.79366*100)</f>
        <v>-9.8115766113561112E-2</v>
      </c>
      <c r="H17" s="19">
        <f>IF(OR(2819533.73145="",50809.97062="",24630.30853=""),"-",(50809.97062-24630.30853)/2819533.73145*100)</f>
        <v>0.92851033481116052</v>
      </c>
      <c r="I17" s="17"/>
      <c r="J17" s="18"/>
      <c r="K17" s="14"/>
    </row>
    <row r="18" spans="1:11" s="6" customFormat="1" ht="15" customHeight="1" x14ac:dyDescent="0.25">
      <c r="A18" s="17" t="s">
        <v>217</v>
      </c>
      <c r="B18" s="18" t="s">
        <v>183</v>
      </c>
      <c r="C18" s="14">
        <v>7834.4917500000001</v>
      </c>
      <c r="D18" s="19">
        <f>IF(OR(5155.07752="",7834.49175=""),"-",7834.49175/5155.07752*100)</f>
        <v>151.97621606279938</v>
      </c>
      <c r="E18" s="19">
        <f>IF(5155.07752="","-",5155.07752/2819533.73145*100)</f>
        <v>0.18283439784736683</v>
      </c>
      <c r="F18" s="19">
        <f>IF(7834.49175="","-",7834.49175/3985350.87503*100)</f>
        <v>0.19658223317516615</v>
      </c>
      <c r="G18" s="19">
        <f>IF(OR(2248863.79366="",3467.95864="",5155.07752=""),"-",(5155.07752-3467.95864)/2248863.79366*100)</f>
        <v>7.5020945455048366E-2</v>
      </c>
      <c r="H18" s="19">
        <f>IF(OR(2819533.73145="",7834.49175="",5155.07752=""),"-",(7834.49175-5155.07752)/2819533.73145*100)</f>
        <v>9.5030401662265618E-2</v>
      </c>
      <c r="I18" s="17"/>
      <c r="J18" s="18"/>
      <c r="K18" s="14"/>
    </row>
    <row r="19" spans="1:11" s="6" customFormat="1" x14ac:dyDescent="0.25">
      <c r="A19" s="15" t="s">
        <v>218</v>
      </c>
      <c r="B19" s="16" t="s">
        <v>184</v>
      </c>
      <c r="C19" s="13">
        <v>175218.88386</v>
      </c>
      <c r="D19" s="21">
        <f>IF(189199.07119="","-",175218.88386/189199.07119*100)</f>
        <v>92.610858371518844</v>
      </c>
      <c r="E19" s="21">
        <f>IF(189199.07119="","-",189199.07119/2819533.73145*100)</f>
        <v>6.7102964252426487</v>
      </c>
      <c r="F19" s="21">
        <f>IF(175218.88386="","-",175218.88386/3985350.87503*100)</f>
        <v>4.3965735854733499</v>
      </c>
      <c r="G19" s="21">
        <f>IF(2248863.79366="","-",(189199.07119-169992.9538)/2248863.79366*100)</f>
        <v>0.8540364891882698</v>
      </c>
      <c r="H19" s="21">
        <f>IF(2819533.73145="","-",(175218.88386-189199.07119)/2819533.73145*100)</f>
        <v>-0.49583330655208741</v>
      </c>
      <c r="I19" s="17"/>
      <c r="J19" s="18"/>
      <c r="K19" s="14"/>
    </row>
    <row r="20" spans="1:11" s="6" customFormat="1" x14ac:dyDescent="0.25">
      <c r="A20" s="17" t="s">
        <v>219</v>
      </c>
      <c r="B20" s="18" t="s">
        <v>185</v>
      </c>
      <c r="C20" s="14">
        <v>165304.41631999999</v>
      </c>
      <c r="D20" s="19">
        <f>IF(OR(177509.87676="",165304.41632=""),"-",165304.41632/177509.87676*100)</f>
        <v>93.12406686164158</v>
      </c>
      <c r="E20" s="19">
        <f>IF(177509.87676="","-",177509.87676/2819533.73145*100)</f>
        <v>6.2957174365391309</v>
      </c>
      <c r="F20" s="19">
        <f>IF(165304.41632="","-",165304.41632/3985350.87503*100)</f>
        <v>4.1478008211449042</v>
      </c>
      <c r="G20" s="19">
        <f>IF(OR(2248863.79366="",162038.06947="",177509.87676=""),"-",(177509.87676-162038.06947)/2248863.79366*100)</f>
        <v>0.68798329777099743</v>
      </c>
      <c r="H20" s="19">
        <f>IF(OR(2819533.73145="",165304.41632="",177509.87676=""),"-",(165304.41632-177509.87676)/2819533.73145*100)</f>
        <v>-0.43288932151640303</v>
      </c>
      <c r="I20" s="15"/>
      <c r="J20" s="16"/>
      <c r="K20" s="13"/>
    </row>
    <row r="21" spans="1:11" s="6" customFormat="1" x14ac:dyDescent="0.25">
      <c r="A21" s="17" t="s">
        <v>220</v>
      </c>
      <c r="B21" s="18" t="s">
        <v>186</v>
      </c>
      <c r="C21" s="14">
        <v>9914.4675399999996</v>
      </c>
      <c r="D21" s="19">
        <f>IF(OR(11689.19443="",9914.46754=""),"-",9914.46754/11689.19443*100)</f>
        <v>84.817372141186979</v>
      </c>
      <c r="E21" s="19">
        <f>IF(11689.19443="","-",11689.19443/2819533.73145*100)</f>
        <v>0.41457898870351889</v>
      </c>
      <c r="F21" s="19">
        <f>IF(9914.46754="","-",9914.46754/3985350.87503*100)</f>
        <v>0.24877276432844492</v>
      </c>
      <c r="G21" s="19">
        <f>IF(OR(2248863.79366="",7954.88433="",11689.19443=""),"-",(11689.19443-7954.88433)/2248863.79366*100)</f>
        <v>0.16605319141727357</v>
      </c>
      <c r="H21" s="19">
        <f>IF(OR(2819533.73145="",9914.46754="",11689.19443=""),"-",(9914.46754-11689.19443)/2819533.73145*100)</f>
        <v>-6.2943985035685754E-2</v>
      </c>
      <c r="I21" s="17"/>
      <c r="J21" s="18"/>
      <c r="K21" s="14"/>
    </row>
    <row r="22" spans="1:11" s="6" customFormat="1" ht="25.5" x14ac:dyDescent="0.25">
      <c r="A22" s="15" t="s">
        <v>221</v>
      </c>
      <c r="B22" s="16" t="s">
        <v>22</v>
      </c>
      <c r="C22" s="13">
        <v>459697.04005000001</v>
      </c>
      <c r="D22" s="21">
        <f>IF(318242.30239="","-",459697.04005/318242.30239*100)</f>
        <v>144.44875385757166</v>
      </c>
      <c r="E22" s="21">
        <f>IF(318242.30239="","-",318242.30239/2819533.73145*100)</f>
        <v>11.287054268591344</v>
      </c>
      <c r="F22" s="21">
        <f>IF(459697.04005="","-",459697.04005/3985350.87503*100)</f>
        <v>11.534669203913936</v>
      </c>
      <c r="G22" s="21">
        <f>IF(2248863.79366="","-",(318242.30239-237152.96492)/2248863.79366*100)</f>
        <v>3.6057914089153464</v>
      </c>
      <c r="H22" s="21">
        <f>IF(2819533.73145="","-",(459697.04005-318242.30239)/2819533.73145*100)</f>
        <v>5.0169549696167017</v>
      </c>
      <c r="I22" s="17"/>
      <c r="J22" s="18"/>
      <c r="K22" s="14"/>
    </row>
    <row r="23" spans="1:11" s="6" customFormat="1" ht="15" customHeight="1" x14ac:dyDescent="0.25">
      <c r="A23" s="17" t="s">
        <v>222</v>
      </c>
      <c r="B23" s="18" t="s">
        <v>193</v>
      </c>
      <c r="C23" s="14">
        <v>1019.61056</v>
      </c>
      <c r="D23" s="19">
        <f>IF(OR(1106.69093="",1019.61056=""),"-",1019.61056/1106.69093*100)</f>
        <v>92.131464382743246</v>
      </c>
      <c r="E23" s="19">
        <f>IF(1106.69093="","-",1106.69093/2819533.73145*100)</f>
        <v>3.9250849090954575E-2</v>
      </c>
      <c r="F23" s="19">
        <f>IF(1019.61056="","-",1019.61056/3985350.87503*100)</f>
        <v>2.5583959655555415E-2</v>
      </c>
      <c r="G23" s="19">
        <f>IF(OR(2248863.79366="",1169.1185="",1106.69093=""),"-",(1106.69093-1169.1185)/2248863.79366*100)</f>
        <v>-2.7759604728394825E-3</v>
      </c>
      <c r="H23" s="19">
        <f>IF(OR(2819533.73145="",1019.61056="",1106.69093=""),"-",(1019.61056-1106.69093)/2819533.73145*100)</f>
        <v>-3.0884670407974602E-3</v>
      </c>
      <c r="I23" s="15"/>
      <c r="J23" s="16"/>
      <c r="K23" s="13"/>
    </row>
    <row r="24" spans="1:11" s="6" customFormat="1" ht="15" customHeight="1" x14ac:dyDescent="0.25">
      <c r="A24" s="17" t="s">
        <v>223</v>
      </c>
      <c r="B24" s="18" t="s">
        <v>187</v>
      </c>
      <c r="C24" s="14">
        <v>373299.91214999999</v>
      </c>
      <c r="D24" s="19" t="s">
        <v>99</v>
      </c>
      <c r="E24" s="19">
        <f>IF(219380.45809="","-",219380.45809/2819533.73145*100)</f>
        <v>7.7807353621259692</v>
      </c>
      <c r="F24" s="19">
        <f>IF(373299.91215="","-",373299.91215/3985350.87503*100)</f>
        <v>9.366801665792849</v>
      </c>
      <c r="G24" s="19">
        <f>IF(OR(2248863.79366="",198022.93457="",219380.45809=""),"-",(219380.45809-198022.93457)/2248863.79366*100)</f>
        <v>0.94970284906587721</v>
      </c>
      <c r="H24" s="19">
        <f>IF(OR(2819533.73145="",373299.91215="",219380.45809=""),"-",(373299.91215-219380.45809)/2819533.73145*100)</f>
        <v>5.4590392852240832</v>
      </c>
      <c r="I24" s="17"/>
      <c r="J24" s="18"/>
      <c r="K24" s="14"/>
    </row>
    <row r="25" spans="1:11" s="6" customFormat="1" ht="15" customHeight="1" x14ac:dyDescent="0.25">
      <c r="A25" s="17" t="s">
        <v>276</v>
      </c>
      <c r="B25" s="18" t="s">
        <v>188</v>
      </c>
      <c r="C25" s="14">
        <v>83.783529999999999</v>
      </c>
      <c r="D25" s="19" t="s">
        <v>406</v>
      </c>
      <c r="E25" s="19">
        <f>IF(0.79006="","-",0.79006/2819533.73145*100)</f>
        <v>2.8020945136687419E-5</v>
      </c>
      <c r="F25" s="19">
        <f>IF(83.78353="","-",83.78353/3985350.87503*100)</f>
        <v>2.1022874177764662E-3</v>
      </c>
      <c r="G25" s="19">
        <f>IF(OR(2248863.79366="",0.16791="",0.79006=""),"-",(0.79006-0.16791)/2248863.79366*100)</f>
        <v>2.766508144041298E-5</v>
      </c>
      <c r="H25" s="19">
        <f>IF(OR(2819533.73145="",83.78353="",0.79006=""),"-",(83.78353-0.79006)/2819533.73145*100)</f>
        <v>2.9435175424313508E-3</v>
      </c>
      <c r="I25" s="17"/>
      <c r="J25" s="18"/>
      <c r="K25" s="14"/>
    </row>
    <row r="26" spans="1:11" s="6" customFormat="1" x14ac:dyDescent="0.25">
      <c r="A26" s="17" t="s">
        <v>224</v>
      </c>
      <c r="B26" s="18" t="s">
        <v>189</v>
      </c>
      <c r="C26" s="14">
        <v>3680.29511</v>
      </c>
      <c r="D26" s="19" t="s">
        <v>99</v>
      </c>
      <c r="E26" s="19">
        <f>IF(2229.47178="","-",2229.47178/2819533.73145*100)</f>
        <v>7.9072357075630761E-2</v>
      </c>
      <c r="F26" s="19">
        <f>IF(3680.29511="","-",3680.29511/3985350.87503*100)</f>
        <v>9.2345573210597082E-2</v>
      </c>
      <c r="G26" s="19">
        <f>IF(OR(2248863.79366="",1466.13165="",2229.47178=""),"-",(2229.47178-1466.13165)/2248863.79366*100)</f>
        <v>3.3943368742562777E-2</v>
      </c>
      <c r="H26" s="19">
        <f>IF(OR(2819533.73145="",3680.29511="",2229.47178=""),"-",(3680.29511-2229.47178)/2819533.73145*100)</f>
        <v>5.1456143752317739E-2</v>
      </c>
      <c r="I26" s="17"/>
      <c r="J26" s="18"/>
      <c r="K26" s="14"/>
    </row>
    <row r="27" spans="1:11" s="6" customFormat="1" ht="14.25" customHeight="1" x14ac:dyDescent="0.25">
      <c r="A27" s="17" t="s">
        <v>225</v>
      </c>
      <c r="B27" s="18" t="s">
        <v>141</v>
      </c>
      <c r="C27" s="14">
        <v>4312.5666000000001</v>
      </c>
      <c r="D27" s="19">
        <f>IF(OR(4800.82713="",4312.5666=""),"-",4312.5666/4800.82713*100)</f>
        <v>89.829658165591979</v>
      </c>
      <c r="E27" s="19">
        <f>IF(4800.82713="","-",4800.82713/2819533.73145*100)</f>
        <v>0.17027024988032619</v>
      </c>
      <c r="F27" s="19">
        <f>IF(4312.5666="","-",4312.5666/3985350.87503*100)</f>
        <v>0.10821046214575868</v>
      </c>
      <c r="G27" s="19">
        <f>IF(OR(2248863.79366="",1835.76772="",4800.82713=""),"-",(4800.82713-1835.76772)/2248863.79366*100)</f>
        <v>0.13184699839799544</v>
      </c>
      <c r="H27" s="19">
        <f>IF(OR(2819533.73145="",4312.5666="",4800.82713=""),"-",(4312.5666-4800.82713)/2819533.73145*100)</f>
        <v>-1.7317066455129874E-2</v>
      </c>
      <c r="I27" s="17"/>
      <c r="J27" s="18"/>
      <c r="K27" s="14"/>
    </row>
    <row r="28" spans="1:11" s="6" customFormat="1" ht="40.5" customHeight="1" x14ac:dyDescent="0.25">
      <c r="A28" s="17" t="s">
        <v>226</v>
      </c>
      <c r="B28" s="18" t="s">
        <v>142</v>
      </c>
      <c r="C28" s="14">
        <v>222.15167</v>
      </c>
      <c r="D28" s="19">
        <f>IF(OR(287.16449="",222.15167=""),"-",222.15167/287.16449*100)</f>
        <v>77.360425030267493</v>
      </c>
      <c r="E28" s="19">
        <f>IF(287.16449="","-",287.16449/2819533.73145*100)</f>
        <v>1.0184821936934945E-2</v>
      </c>
      <c r="F28" s="19">
        <f>IF(222.15167="","-",222.15167/3985350.87503*100)</f>
        <v>5.5742060602964527E-3</v>
      </c>
      <c r="G28" s="19">
        <f>IF(OR(2248863.79366="",174.35751="",287.16449=""),"-",(287.16449-174.35751)/2248863.79366*100)</f>
        <v>5.0161766274162802E-3</v>
      </c>
      <c r="H28" s="19">
        <f>IF(OR(2819533.73145="",222.15167="",287.16449=""),"-",(222.15167-287.16449)/2819533.73145*100)</f>
        <v>-2.3058003979461489E-3</v>
      </c>
      <c r="I28" s="17"/>
      <c r="J28" s="18"/>
      <c r="K28" s="14"/>
    </row>
    <row r="29" spans="1:11" s="6" customFormat="1" ht="38.25" x14ac:dyDescent="0.25">
      <c r="A29" s="17" t="s">
        <v>227</v>
      </c>
      <c r="B29" s="18" t="s">
        <v>143</v>
      </c>
      <c r="C29" s="14">
        <v>19845.592530000002</v>
      </c>
      <c r="D29" s="19" t="s">
        <v>304</v>
      </c>
      <c r="E29" s="19">
        <f>IF(7185.75833="","-",7185.75833/2819533.73145*100)</f>
        <v>0.25485626399314559</v>
      </c>
      <c r="F29" s="19">
        <f>IF(19845.59253="","-",19845.59253/3985350.87503*100)</f>
        <v>0.49796349561945691</v>
      </c>
      <c r="G29" s="19">
        <f>IF(OR(2248863.79366="",7817.62157="",7185.75833=""),"-",(7185.75833-7817.62157)/2248863.79366*100)</f>
        <v>-2.8096999106008567E-2</v>
      </c>
      <c r="H29" s="19">
        <f>IF(OR(2819533.73145="",19845.59253="",7185.75833=""),"-",(19845.59253-7185.75833)/2819533.73145*100)</f>
        <v>0.44900453074166408</v>
      </c>
      <c r="I29" s="17"/>
      <c r="J29" s="18"/>
      <c r="K29" s="14"/>
    </row>
    <row r="30" spans="1:11" s="6" customFormat="1" ht="15" customHeight="1" x14ac:dyDescent="0.25">
      <c r="A30" s="17" t="s">
        <v>228</v>
      </c>
      <c r="B30" s="18" t="s">
        <v>144</v>
      </c>
      <c r="C30" s="14">
        <v>52915.781329999998</v>
      </c>
      <c r="D30" s="19">
        <f>IF(OR(79202.79857="",52915.78133=""),"-",52915.78133/79202.79857*100)</f>
        <v>66.810494433770103</v>
      </c>
      <c r="E30" s="19">
        <f>IF(79202.79857="","-",79202.79857/2819533.73145*100)</f>
        <v>2.8090743404324665</v>
      </c>
      <c r="F30" s="19">
        <f>IF(52915.78133="","-",52915.78133/3985350.87503*100)</f>
        <v>1.3277571533673724</v>
      </c>
      <c r="G30" s="19">
        <f>IF(OR(2248863.79366="",22818.46866="",79202.79857=""),"-",(79202.79857-22818.46866)/2248863.79366*100)</f>
        <v>2.5072363239142708</v>
      </c>
      <c r="H30" s="19">
        <f>IF(OR(2819533.73145="",52915.78133="",79202.79857=""),"-",(52915.78133-79202.79857)/2819533.73145*100)</f>
        <v>-0.93231788457736919</v>
      </c>
      <c r="I30" s="17"/>
      <c r="J30" s="18"/>
      <c r="K30" s="14"/>
    </row>
    <row r="31" spans="1:11" s="6" customFormat="1" ht="25.5" x14ac:dyDescent="0.25">
      <c r="A31" s="17" t="s">
        <v>229</v>
      </c>
      <c r="B31" s="18" t="s">
        <v>145</v>
      </c>
      <c r="C31" s="14">
        <v>4317.3465699999997</v>
      </c>
      <c r="D31" s="19">
        <f>IF(OR(4048.34301="",4317.34657=""),"-",4317.34657/4048.34301*100)</f>
        <v>106.6447818116084</v>
      </c>
      <c r="E31" s="19">
        <f>IF(4048.34301="","-",4048.34301/2819533.73145*100)</f>
        <v>0.14358200311077893</v>
      </c>
      <c r="F31" s="19">
        <f>IF(4317.34657="","-",4317.34657/3985350.87503*100)</f>
        <v>0.108330400644272</v>
      </c>
      <c r="G31" s="19">
        <f>IF(OR(2248863.79366="",3848.39683="",4048.34301=""),"-",(4048.34301-3848.39683)/2248863.79366*100)</f>
        <v>8.8909866646298668E-3</v>
      </c>
      <c r="H31" s="19">
        <f>IF(OR(2819533.73145="",4317.34657="",4048.34301=""),"-",(4317.34657-4048.34301)/2819533.73145*100)</f>
        <v>9.5407108274480311E-3</v>
      </c>
      <c r="I31" s="17"/>
      <c r="J31" s="18"/>
      <c r="K31" s="14"/>
    </row>
    <row r="32" spans="1:11" s="6" customFormat="1" ht="25.5" x14ac:dyDescent="0.25">
      <c r="A32" s="15" t="s">
        <v>230</v>
      </c>
      <c r="B32" s="16" t="s">
        <v>146</v>
      </c>
      <c r="C32" s="13">
        <v>518373.29889999999</v>
      </c>
      <c r="D32" s="21" t="s">
        <v>407</v>
      </c>
      <c r="E32" s="21">
        <f>IF(15073.9546="","-",15073.9546/2819533.73145*100)</f>
        <v>0.53462579404034749</v>
      </c>
      <c r="F32" s="21">
        <f>IF(518373.2989="","-",518373.2989/3985350.87503*100)</f>
        <v>13.006967646132233</v>
      </c>
      <c r="G32" s="21">
        <f>IF(2248863.79366="","-",(15073.9546-11154.3558)/2248863.79366*100)</f>
        <v>0.17429240539378765</v>
      </c>
      <c r="H32" s="21">
        <f>IF(2819533.73145="","-",(518373.2989-15073.9546)/2819533.73145*100)</f>
        <v>17.850445933170963</v>
      </c>
      <c r="I32" s="17"/>
      <c r="J32" s="18"/>
      <c r="K32" s="14"/>
    </row>
    <row r="33" spans="1:11" s="6" customFormat="1" x14ac:dyDescent="0.25">
      <c r="A33" s="17" t="s">
        <v>231</v>
      </c>
      <c r="B33" s="18" t="s">
        <v>190</v>
      </c>
      <c r="C33" s="14">
        <v>813.15363000000002</v>
      </c>
      <c r="D33" s="19" t="s">
        <v>91</v>
      </c>
      <c r="E33" s="19">
        <f>IF(385.35397="","-",385.35397/2819533.73145*100)</f>
        <v>1.366729419483924E-2</v>
      </c>
      <c r="F33" s="19">
        <f>IF(813.15363="","-",813.15363/3985350.87503*100)</f>
        <v>2.040356434096606E-2</v>
      </c>
      <c r="G33" s="19">
        <f>IF(OR(2248863.79366="",67.49932="",385.35397=""),"-",(385.35397-67.49932)/2248863.79366*100)</f>
        <v>1.4134010734491626E-2</v>
      </c>
      <c r="H33" s="19">
        <f>IF(OR(2819533.73145="",813.15363="",385.35397=""),"-",(813.15363-385.35397)/2819533.73145*100)</f>
        <v>1.5172709417453776E-2</v>
      </c>
      <c r="I33" s="15"/>
      <c r="J33" s="16"/>
      <c r="K33" s="13"/>
    </row>
    <row r="34" spans="1:11" s="6" customFormat="1" ht="25.5" x14ac:dyDescent="0.25">
      <c r="A34" s="17" t="s">
        <v>232</v>
      </c>
      <c r="B34" s="18" t="s">
        <v>147</v>
      </c>
      <c r="C34" s="14">
        <v>491776.20941000001</v>
      </c>
      <c r="D34" s="19" t="s">
        <v>408</v>
      </c>
      <c r="E34" s="19">
        <f>IF(14682.90706="","-",14682.90706/2819533.73145*100)</f>
        <v>0.52075656681181215</v>
      </c>
      <c r="F34" s="19">
        <f>IF(491776.20941="","-",491776.20941/3985350.87503*100)</f>
        <v>12.339596307346417</v>
      </c>
      <c r="G34" s="19">
        <f>IF(OR(2248863.79366="",10554.89231="",14682.90706=""),"-",(14682.90706-10554.89231)/2248863.79366*100)</f>
        <v>0.18356001646865877</v>
      </c>
      <c r="H34" s="19">
        <f>IF(OR(2819533.73145="",491776.20941="",14682.90706=""),"-",(491776.20941-14682.90706)/2819533.73145*100)</f>
        <v>16.920999987634321</v>
      </c>
      <c r="I34" s="17"/>
      <c r="J34" s="18"/>
      <c r="K34" s="14"/>
    </row>
    <row r="35" spans="1:11" s="6" customFormat="1" ht="25.5" x14ac:dyDescent="0.25">
      <c r="A35" s="45" t="s">
        <v>277</v>
      </c>
      <c r="B35" s="18" t="s">
        <v>335</v>
      </c>
      <c r="C35" s="14">
        <v>6638.61672</v>
      </c>
      <c r="D35" s="19" t="str">
        <f>IF(OR(""="",6638.61672=""),"-",6638.61672/""*100)</f>
        <v>-</v>
      </c>
      <c r="E35" s="19" t="str">
        <f>IF(""="","-",""/2819533.73145*100)</f>
        <v>-</v>
      </c>
      <c r="F35" s="19">
        <f>IF(6638.61672="","-",6638.61672/3985350.87503*100)</f>
        <v>0.16657546419799305</v>
      </c>
      <c r="G35" s="19" t="str">
        <f>IF(OR(2248863.79366="",525.37764="",""=""),"-",(""-525.37764)/2248863.79366*100)</f>
        <v>-</v>
      </c>
      <c r="H35" s="19" t="str">
        <f>IF(OR(2819533.73145="",6638.61672="",""=""),"-",(6638.61672-"")/2819533.73145*100)</f>
        <v>-</v>
      </c>
      <c r="I35" s="17"/>
      <c r="J35" s="18"/>
      <c r="K35" s="14"/>
    </row>
    <row r="36" spans="1:11" s="6" customFormat="1" x14ac:dyDescent="0.25">
      <c r="A36" s="17" t="s">
        <v>283</v>
      </c>
      <c r="B36" s="18" t="s">
        <v>284</v>
      </c>
      <c r="C36" s="14">
        <v>19145.31914</v>
      </c>
      <c r="D36" s="19" t="s">
        <v>401</v>
      </c>
      <c r="E36" s="19">
        <f>IF(5.69357="","-",5.69357/2819533.73145*100)</f>
        <v>2.0193303369603495E-4</v>
      </c>
      <c r="F36" s="19">
        <f>IF(19145.31914="","-",19145.31914/3985350.87503*100)</f>
        <v>0.4803923102468583</v>
      </c>
      <c r="G36" s="19">
        <f>IF(OR(2248863.79366="",6.58653="",5.69357=""),"-",(5.69357-6.58653)/2248863.79366*100)</f>
        <v>-3.9707162457656781E-5</v>
      </c>
      <c r="H36" s="19">
        <f>IF(OR(2819533.73145="",19145.31914="",5.69357=""),"-",(19145.31914-5.69357)/2819533.73145*100)</f>
        <v>0.67882236543263752</v>
      </c>
      <c r="I36" s="17"/>
      <c r="J36" s="18"/>
      <c r="K36" s="14"/>
    </row>
    <row r="37" spans="1:11" s="6" customFormat="1" ht="25.5" x14ac:dyDescent="0.25">
      <c r="A37" s="15" t="s">
        <v>233</v>
      </c>
      <c r="B37" s="16" t="s">
        <v>148</v>
      </c>
      <c r="C37" s="13">
        <v>346495.64984000003</v>
      </c>
      <c r="D37" s="21" t="s">
        <v>324</v>
      </c>
      <c r="E37" s="21">
        <f>IF(99888.81709="","-",99888.81709/2819533.73145*100)</f>
        <v>3.5427424036750303</v>
      </c>
      <c r="F37" s="21">
        <f>IF(346495.64984="","-",346495.64984/3985350.87503*100)</f>
        <v>8.6942319686567551</v>
      </c>
      <c r="G37" s="21">
        <f>IF(2248863.79366="","-",(99888.81709-94629.52149)/2248863.79366*100)</f>
        <v>0.23386456818002993</v>
      </c>
      <c r="H37" s="21">
        <f>IF(2819533.73145="","-",(346495.64984-99888.81709)/2819533.73145*100)</f>
        <v>8.7463693021036395</v>
      </c>
      <c r="I37" s="17"/>
      <c r="J37" s="18"/>
      <c r="K37" s="14"/>
    </row>
    <row r="38" spans="1:11" s="6" customFormat="1" ht="15.75" customHeight="1" x14ac:dyDescent="0.25">
      <c r="A38" s="17" t="s">
        <v>234</v>
      </c>
      <c r="B38" s="18" t="s">
        <v>194</v>
      </c>
      <c r="C38" s="14">
        <v>2.7789799999999998</v>
      </c>
      <c r="D38" s="19">
        <f>IF(OR(10.03732="",2.77898=""),"-",2.77898/10.03732*100)</f>
        <v>27.686474078738151</v>
      </c>
      <c r="E38" s="19">
        <f>IF(10.03732="","-",10.03732/2819533.73145*100)</f>
        <v>3.559921943135652E-4</v>
      </c>
      <c r="F38" s="19">
        <f>IF(2.77898="","-",2.77898/3985350.87503*100)</f>
        <v>6.9729870396394657E-5</v>
      </c>
      <c r="G38" s="19">
        <f>IF(OR(2248863.79366="",4.31983="",10.03732=""),"-",(10.03732-4.31983)/2248863.79366*100)</f>
        <v>2.5423905245478874E-4</v>
      </c>
      <c r="H38" s="19">
        <f>IF(OR(2819533.73145="",2.77898="",10.03732=""),"-",(2.77898-10.03732)/2819533.73145*100)</f>
        <v>-2.5743050771260883E-4</v>
      </c>
      <c r="I38" s="15"/>
      <c r="J38" s="16"/>
      <c r="K38" s="13"/>
    </row>
    <row r="39" spans="1:11" s="6" customFormat="1" ht="25.5" x14ac:dyDescent="0.25">
      <c r="A39" s="17" t="s">
        <v>235</v>
      </c>
      <c r="B39" s="18" t="s">
        <v>149</v>
      </c>
      <c r="C39" s="14">
        <v>346480.75319000002</v>
      </c>
      <c r="D39" s="19" t="s">
        <v>324</v>
      </c>
      <c r="E39" s="19">
        <f>IF(99875.21744="","-",99875.21744/2819533.73145*100)</f>
        <v>3.5422600668315902</v>
      </c>
      <c r="F39" s="19">
        <f>IF(346480.75319="","-",346480.75319/3985350.87503*100)</f>
        <v>8.6938581835003887</v>
      </c>
      <c r="G39" s="19">
        <f>IF(OR(2248863.79366="",94589.89099="",99875.21744=""),"-",(99875.21744-94589.89099)/2248863.79366*100)</f>
        <v>0.23502207936738512</v>
      </c>
      <c r="H39" s="19">
        <f>IF(OR(2819533.73145="",346480.75319="",99875.21744=""),"-",(346480.75319-99875.21744)/2819533.73145*100)</f>
        <v>8.7463233015899533</v>
      </c>
      <c r="I39" s="17"/>
      <c r="J39" s="18"/>
      <c r="K39" s="14"/>
    </row>
    <row r="40" spans="1:11" s="6" customFormat="1" ht="65.25" customHeight="1" x14ac:dyDescent="0.25">
      <c r="A40" s="17" t="s">
        <v>236</v>
      </c>
      <c r="B40" s="18" t="s">
        <v>192</v>
      </c>
      <c r="C40" s="14">
        <v>12.11767</v>
      </c>
      <c r="D40" s="19" t="s">
        <v>364</v>
      </c>
      <c r="E40" s="19">
        <f>IF(3.56233="","-",3.56233/2819533.73145*100)</f>
        <v>1.2634464912636472E-4</v>
      </c>
      <c r="F40" s="19">
        <f>IF(12.11767="","-",12.11767/3985350.87503*100)</f>
        <v>3.0405528597049269E-4</v>
      </c>
      <c r="G40" s="19">
        <f>IF(OR(2248863.79366="",35.31067="",3.56233=""),"-",(3.56233-35.31067)/2248863.79366*100)</f>
        <v>-1.4117502398102086E-3</v>
      </c>
      <c r="H40" s="19">
        <f>IF(OR(2819533.73145="",12.11767="",3.56233=""),"-",(12.11767-3.56233)/2819533.73145*100)</f>
        <v>3.0343102139800441E-4</v>
      </c>
      <c r="I40" s="15"/>
      <c r="J40" s="16"/>
      <c r="K40" s="13"/>
    </row>
    <row r="41" spans="1:11" s="6" customFormat="1" ht="25.5" x14ac:dyDescent="0.25">
      <c r="A41" s="15" t="s">
        <v>237</v>
      </c>
      <c r="B41" s="16" t="s">
        <v>150</v>
      </c>
      <c r="C41" s="13">
        <v>133539.35490000001</v>
      </c>
      <c r="D41" s="21">
        <f>IF(137912.00697="","-",133539.3549/137912.00697*100)</f>
        <v>96.829389865270272</v>
      </c>
      <c r="E41" s="21">
        <f>IF(137912.00697="","-",137912.00697/2819533.73145*100)</f>
        <v>4.8913054464177685</v>
      </c>
      <c r="F41" s="21">
        <f>IF(133539.3549="","-",133539.3549/3985350.87503*100)</f>
        <v>3.3507552807127623</v>
      </c>
      <c r="G41" s="21">
        <f>IF(2248863.79366="","-",(137912.00697-113512.93772)/2248863.79366*100)</f>
        <v>1.0849509569581706</v>
      </c>
      <c r="H41" s="21">
        <f>IF(2819533.73145="","-",(133539.3549-137912.00697)/2819533.73145*100)</f>
        <v>-0.15508422620470871</v>
      </c>
      <c r="I41" s="17"/>
      <c r="J41" s="18"/>
      <c r="K41" s="14"/>
    </row>
    <row r="42" spans="1:11" s="6" customFormat="1" x14ac:dyDescent="0.25">
      <c r="A42" s="17" t="s">
        <v>238</v>
      </c>
      <c r="B42" s="18" t="s">
        <v>23</v>
      </c>
      <c r="C42" s="14">
        <v>45547.400009999998</v>
      </c>
      <c r="D42" s="19">
        <f>IF(OR(32555.98347="",45547.40001=""),"-",45547.40001/32555.98347*100)</f>
        <v>139.90485052301202</v>
      </c>
      <c r="E42" s="19">
        <f>IF(32555.98347="","-",32555.98347/2819533.73145*100)</f>
        <v>1.154658414150536</v>
      </c>
      <c r="F42" s="19">
        <f>IF(45547.40001="","-",45547.40001/3985350.87503*100)</f>
        <v>1.1428705134941759</v>
      </c>
      <c r="G42" s="19">
        <f>IF(OR(2248863.79366="",46036.35833="",32555.98347=""),"-",(32555.98347-46036.35833)/2248863.79366*100)</f>
        <v>-0.59943047231245827</v>
      </c>
      <c r="H42" s="19">
        <f>IF(OR(2819533.73145="",45547.40001="",32555.98347=""),"-",(45547.40001-32555.98347)/2819533.73145*100)</f>
        <v>0.46076471421815229</v>
      </c>
      <c r="I42" s="17"/>
      <c r="J42" s="18"/>
      <c r="K42" s="14"/>
    </row>
    <row r="43" spans="1:11" s="6" customFormat="1" x14ac:dyDescent="0.25">
      <c r="A43" s="17" t="s">
        <v>239</v>
      </c>
      <c r="B43" s="18" t="s">
        <v>24</v>
      </c>
      <c r="C43" s="14">
        <v>7587.3394600000001</v>
      </c>
      <c r="D43" s="19" t="s">
        <v>355</v>
      </c>
      <c r="E43" s="19">
        <f>IF(1279.4021="","-",1279.4021/2819533.73145*100)</f>
        <v>4.5376371480473215E-2</v>
      </c>
      <c r="F43" s="19">
        <f>IF(7587.33946="","-",7587.33946/3985350.87503*100)</f>
        <v>0.19038071421861658</v>
      </c>
      <c r="G43" s="19">
        <f>IF(OR(2248863.79366="",1472.64824="",1279.4021=""),"-",(1279.4021-1472.64824)/2248863.79366*100)</f>
        <v>-8.5930566602032427E-3</v>
      </c>
      <c r="H43" s="19">
        <f>IF(OR(2819533.73145="",7587.33946="",1279.4021=""),"-",(7587.33946-1279.4021)/2819533.73145*100)</f>
        <v>0.22372271307270442</v>
      </c>
      <c r="I43" s="17"/>
      <c r="J43" s="18"/>
      <c r="K43" s="14"/>
    </row>
    <row r="44" spans="1:11" s="6" customFormat="1" ht="16.5" customHeight="1" x14ac:dyDescent="0.25">
      <c r="A44" s="17" t="s">
        <v>240</v>
      </c>
      <c r="B44" s="18" t="s">
        <v>151</v>
      </c>
      <c r="C44" s="14">
        <v>2935.1842799999999</v>
      </c>
      <c r="D44" s="19">
        <f>IF(OR(2762.61177="",2935.18428=""),"-",2935.18428/2762.61177*100)</f>
        <v>106.2467159473515</v>
      </c>
      <c r="E44" s="19">
        <f>IF(2762.61177="","-",2762.61177/2819533.73145*100)</f>
        <v>9.7981156926229537E-2</v>
      </c>
      <c r="F44" s="19">
        <f>IF(2935.18428="","-",2935.18428/3985350.87503*100)</f>
        <v>7.3649331565515036E-2</v>
      </c>
      <c r="G44" s="19">
        <f>IF(OR(2248863.79366="",830.9745="",2762.61177=""),"-",(2762.61177-830.9745)/2248863.79366*100)</f>
        <v>8.5893920096258139E-2</v>
      </c>
      <c r="H44" s="19">
        <f>IF(OR(2819533.73145="",2935.18428="",2762.61177=""),"-",(2935.18428-2762.61177)/2819533.73145*100)</f>
        <v>6.1206045551102954E-3</v>
      </c>
      <c r="I44" s="17"/>
      <c r="J44" s="18"/>
      <c r="K44" s="14"/>
    </row>
    <row r="45" spans="1:11" s="6" customFormat="1" x14ac:dyDescent="0.25">
      <c r="A45" s="17" t="s">
        <v>241</v>
      </c>
      <c r="B45" s="18" t="s">
        <v>152</v>
      </c>
      <c r="C45" s="14">
        <v>42632.530859999999</v>
      </c>
      <c r="D45" s="19">
        <f>IF(OR(78063.78757="",42632.53086=""),"-",42632.53086/78063.78757*100)</f>
        <v>54.612429382537066</v>
      </c>
      <c r="E45" s="19">
        <f>IF(78063.78757="","-",78063.78757/2819533.73145*100)</f>
        <v>2.7686772000366946</v>
      </c>
      <c r="F45" s="19">
        <f>IF(42632.53086="","-",42632.53086/3985350.87503*100)</f>
        <v>1.0697309270085054</v>
      </c>
      <c r="G45" s="19">
        <f>IF(OR(2248863.79366="",47814.37376="",78063.78757=""),"-",(78063.78757-47814.37376)/2248863.79366*100)</f>
        <v>1.3450976397627632</v>
      </c>
      <c r="H45" s="19">
        <f>IF(OR(2819533.73145="",42632.53086="",78063.78757=""),"-",(42632.53086-78063.78757)/2819533.73145*100)</f>
        <v>-1.2566353193362503</v>
      </c>
      <c r="I45" s="17"/>
      <c r="J45" s="18"/>
      <c r="K45" s="14"/>
    </row>
    <row r="46" spans="1:11" ht="38.25" x14ac:dyDescent="0.25">
      <c r="A46" s="17" t="s">
        <v>242</v>
      </c>
      <c r="B46" s="18" t="s">
        <v>153</v>
      </c>
      <c r="C46" s="14">
        <v>17427.805660000002</v>
      </c>
      <c r="D46" s="19">
        <f>IF(OR(11932.12855="",17427.80566=""),"-",17427.80566/11932.12855*100)</f>
        <v>146.05781011301627</v>
      </c>
      <c r="E46" s="19">
        <f>IF(11932.12855="","-",11932.12855/2819533.73145*100)</f>
        <v>0.42319509842727338</v>
      </c>
      <c r="F46" s="19">
        <f>IF(17427.80566="","-",17427.80566/3985350.87503*100)</f>
        <v>0.43729664479965796</v>
      </c>
      <c r="G46" s="19">
        <f>IF(OR(2248863.79366="",10461.06167="",11932.12855=""),"-",(11932.12855-10461.06167)/2248863.79366*100)</f>
        <v>6.5413782913275334E-2</v>
      </c>
      <c r="H46" s="19">
        <f>IF(OR(2819533.73145="",17427.80566="",11932.12855=""),"-",(17427.80566-11932.12855)/2819533.73145*100)</f>
        <v>0.19491439484122589</v>
      </c>
      <c r="I46" s="17"/>
      <c r="J46" s="18"/>
      <c r="K46" s="14"/>
    </row>
    <row r="47" spans="1:11" x14ac:dyDescent="0.25">
      <c r="A47" s="17" t="s">
        <v>243</v>
      </c>
      <c r="B47" s="18" t="s">
        <v>154</v>
      </c>
      <c r="C47" s="14">
        <v>266.11606</v>
      </c>
      <c r="D47" s="19" t="s">
        <v>99</v>
      </c>
      <c r="E47" s="19">
        <f>IF(153.29059="","-",153.29059/2819533.73145*100)</f>
        <v>5.4367354534597947E-3</v>
      </c>
      <c r="F47" s="19">
        <f>IF(266.11606="","-",266.11606/3985350.87503*100)</f>
        <v>6.6773558550976215E-3</v>
      </c>
      <c r="G47" s="19">
        <f>IF(OR(2248863.79366="",37.30839="",153.29059=""),"-",(153.29059-37.30839)/2248863.79366*100)</f>
        <v>5.1573688156204564E-3</v>
      </c>
      <c r="H47" s="19">
        <f>IF(OR(2819533.73145="",266.11606="",153.29059=""),"-",(266.11606-153.29059)/2819533.73145*100)</f>
        <v>4.0015648240525684E-3</v>
      </c>
      <c r="I47" s="17"/>
      <c r="J47" s="18"/>
      <c r="K47" s="14"/>
    </row>
    <row r="48" spans="1:11" x14ac:dyDescent="0.25">
      <c r="A48" s="17" t="s">
        <v>244</v>
      </c>
      <c r="B48" s="18" t="s">
        <v>25</v>
      </c>
      <c r="C48" s="14">
        <v>4715.28856</v>
      </c>
      <c r="D48" s="19" t="s">
        <v>99</v>
      </c>
      <c r="E48" s="19">
        <f>IF(2785.20555="","-",2785.20555/2819533.73145*100)</f>
        <v>9.8782487293303425E-2</v>
      </c>
      <c r="F48" s="19">
        <f>IF(4715.28856="","-",4715.28856/3985350.87503*100)</f>
        <v>0.11831551870484942</v>
      </c>
      <c r="G48" s="19">
        <f>IF(OR(2248863.79366="",1882.0542="",2785.20555=""),"-",(2785.20555-1882.0542)/2248863.79366*100)</f>
        <v>4.016034019250813E-2</v>
      </c>
      <c r="H48" s="19">
        <f>IF(OR(2819533.73145="",4715.28856="",2785.20555=""),"-",(4715.28856-2785.20555)/2819533.73145*100)</f>
        <v>6.8453978346533814E-2</v>
      </c>
      <c r="I48" s="17"/>
      <c r="J48" s="18"/>
      <c r="K48" s="14"/>
    </row>
    <row r="49" spans="1:11" x14ac:dyDescent="0.25">
      <c r="A49" s="17" t="s">
        <v>245</v>
      </c>
      <c r="B49" s="18" t="s">
        <v>26</v>
      </c>
      <c r="C49" s="14">
        <v>7280.2113600000002</v>
      </c>
      <c r="D49" s="19" t="s">
        <v>91</v>
      </c>
      <c r="E49" s="19">
        <f>IF(3440.10287="","-",3440.10287/2819533.73145*100)</f>
        <v>0.12200963697039584</v>
      </c>
      <c r="F49" s="19">
        <f>IF(7280.21136="","-",7280.21136/3985350.87503*100)</f>
        <v>0.18267428862070262</v>
      </c>
      <c r="G49" s="19">
        <f>IF(OR(2248863.79366="",2406.92718="",3440.10287=""),"-",(3440.10287-2406.92718)/2248863.79366*100)</f>
        <v>4.5942119434388619E-2</v>
      </c>
      <c r="H49" s="19">
        <f>IF(OR(2819533.73145="",7280.21136="",3440.10287=""),"-",(7280.21136-3440.10287)/2819533.73145*100)</f>
        <v>0.13619657914236585</v>
      </c>
      <c r="I49" s="17"/>
      <c r="J49" s="18"/>
      <c r="K49" s="14"/>
    </row>
    <row r="50" spans="1:11" x14ac:dyDescent="0.25">
      <c r="A50" s="17" t="s">
        <v>246</v>
      </c>
      <c r="B50" s="18" t="s">
        <v>155</v>
      </c>
      <c r="C50" s="14">
        <v>5147.47865</v>
      </c>
      <c r="D50" s="19">
        <f>IF(OR(4939.4945="",5147.47865=""),"-",5147.47865/4939.4945*100)</f>
        <v>104.21063633130881</v>
      </c>
      <c r="E50" s="19">
        <f>IF(4939.4945="","-",4939.4945/2819533.73145*100)</f>
        <v>0.17518834567940314</v>
      </c>
      <c r="F50" s="19">
        <f>IF(5147.47865="","-",5147.47865/3985350.87503*100)</f>
        <v>0.12915998644564142</v>
      </c>
      <c r="G50" s="19">
        <f>IF(OR(2248863.79366="",2571.23145="",4939.4945=""),"-",(4939.4945-2571.23145)/2248863.79366*100)</f>
        <v>0.10530931471601837</v>
      </c>
      <c r="H50" s="19">
        <f>IF(OR(2819533.73145="",5147.47865="",4939.4945=""),"-",(5147.47865-4939.4945)/2819533.73145*100)</f>
        <v>7.3765441313958079E-3</v>
      </c>
      <c r="I50" s="15"/>
      <c r="J50" s="16"/>
      <c r="K50" s="13"/>
    </row>
    <row r="51" spans="1:11" ht="25.5" x14ac:dyDescent="0.25">
      <c r="A51" s="15" t="s">
        <v>247</v>
      </c>
      <c r="B51" s="16" t="s">
        <v>336</v>
      </c>
      <c r="C51" s="13">
        <v>267159.77669000003</v>
      </c>
      <c r="D51" s="21">
        <f>IF(224076.27371="","-",267159.77669/224076.27371*100)</f>
        <v>119.22715969284583</v>
      </c>
      <c r="E51" s="21">
        <f>IF(224076.27371="","-",224076.27371/2819533.73145*100)</f>
        <v>7.9472811837851101</v>
      </c>
      <c r="F51" s="21">
        <f>IF(267159.77669="","-",267159.77669/3985350.87503*100)</f>
        <v>6.7035446832015495</v>
      </c>
      <c r="G51" s="21">
        <f>IF(2248863.79366="","-",(224076.27371-159615.21915)/2248863.79366*100)</f>
        <v>2.8663832261308451</v>
      </c>
      <c r="H51" s="21">
        <f>IF(2819533.73145="","-",(267159.77669-224076.27371)/2819533.73145*100)</f>
        <v>1.5280364444458514</v>
      </c>
      <c r="I51" s="17"/>
      <c r="J51" s="18"/>
      <c r="K51" s="14"/>
    </row>
    <row r="52" spans="1:11" x14ac:dyDescent="0.25">
      <c r="A52" s="17" t="s">
        <v>248</v>
      </c>
      <c r="B52" s="18" t="s">
        <v>156</v>
      </c>
      <c r="C52" s="14">
        <v>2947.35671</v>
      </c>
      <c r="D52" s="19" t="s">
        <v>347</v>
      </c>
      <c r="E52" s="19">
        <f>IF(982.5417="","-",982.5417/2819533.73145*100)</f>
        <v>3.4847666088914243E-2</v>
      </c>
      <c r="F52" s="19">
        <f>IF(2947.35671="","-",2947.35671/3985350.87503*100)</f>
        <v>7.3954760883577497E-2</v>
      </c>
      <c r="G52" s="19">
        <f>IF(OR(2248863.79366="",702.17933="",982.5417=""),"-",(982.5417-702.17933)/2248863.79366*100)</f>
        <v>1.2466845292738402E-2</v>
      </c>
      <c r="H52" s="19">
        <f>IF(OR(2819533.73145="",2947.35671="",982.5417=""),"-",(2947.35671-982.5417)/2819533.73145*100)</f>
        <v>6.9685813228045901E-2</v>
      </c>
      <c r="I52" s="17"/>
      <c r="J52" s="18"/>
      <c r="K52" s="14"/>
    </row>
    <row r="53" spans="1:11" x14ac:dyDescent="0.25">
      <c r="A53" s="17" t="s">
        <v>249</v>
      </c>
      <c r="B53" s="18" t="s">
        <v>27</v>
      </c>
      <c r="C53" s="14">
        <v>1306.7919300000001</v>
      </c>
      <c r="D53" s="19">
        <f>IF(OR(1254.87349="",1306.79193=""),"-",1306.79193/1254.87349*100)</f>
        <v>104.13734455415104</v>
      </c>
      <c r="E53" s="19">
        <f>IF(1254.87349="","-",1254.87349/2819533.73145*100)</f>
        <v>4.4506418774236722E-2</v>
      </c>
      <c r="F53" s="19">
        <f>IF(1306.79193="","-",1306.79193/3985350.87503*100)</f>
        <v>3.278988402721663E-2</v>
      </c>
      <c r="G53" s="19">
        <f>IF(OR(2248863.79366="",2033.66742="",1254.87349=""),"-",(1254.87349-2033.66742)/2248863.79366*100)</f>
        <v>-3.4630551311981499E-2</v>
      </c>
      <c r="H53" s="19">
        <f>IF(OR(2819533.73145="",1306.79193="",1254.87349=""),"-",(1306.79193-1254.87349)/2819533.73145*100)</f>
        <v>1.8413838934035409E-3</v>
      </c>
      <c r="I53" s="17"/>
      <c r="J53" s="18"/>
      <c r="K53" s="14"/>
    </row>
    <row r="54" spans="1:11" ht="16.5" customHeight="1" x14ac:dyDescent="0.25">
      <c r="A54" s="17" t="s">
        <v>250</v>
      </c>
      <c r="B54" s="18" t="s">
        <v>157</v>
      </c>
      <c r="C54" s="14">
        <v>24438.249749999999</v>
      </c>
      <c r="D54" s="19">
        <f>IF(OR(23684.31267="",24438.24975=""),"-",24438.24975/23684.31267*100)</f>
        <v>103.1832761647121</v>
      </c>
      <c r="E54" s="19">
        <f>IF(23684.31267="","-",23684.31267/2819533.73145*100)</f>
        <v>0.84000813346609204</v>
      </c>
      <c r="F54" s="19">
        <f>IF(24438.24975="","-",24438.24975/3985350.87503*100)</f>
        <v>0.61320196179253694</v>
      </c>
      <c r="G54" s="19">
        <f>IF(OR(2248863.79366="",17724.55759="",23684.31267=""),"-",(23684.31267-17724.55759)/2248863.79366*100)</f>
        <v>0.26501182938698864</v>
      </c>
      <c r="H54" s="19">
        <f>IF(OR(2819533.73145="",24438.24975="",23684.31267=""),"-",(24438.24975-23684.31267)/2819533.73145*100)</f>
        <v>2.6739778694269172E-2</v>
      </c>
      <c r="I54" s="17"/>
      <c r="J54" s="18"/>
      <c r="K54" s="14"/>
    </row>
    <row r="55" spans="1:11" ht="25.5" x14ac:dyDescent="0.25">
      <c r="A55" s="17" t="s">
        <v>251</v>
      </c>
      <c r="B55" s="18" t="s">
        <v>158</v>
      </c>
      <c r="C55" s="14">
        <v>18077.629400000002</v>
      </c>
      <c r="D55" s="19" t="s">
        <v>197</v>
      </c>
      <c r="E55" s="19">
        <f>IF(10328.26308="","-",10328.26308/2819533.73145*100)</f>
        <v>0.36631103096214745</v>
      </c>
      <c r="F55" s="19">
        <f>IF(18077.6294="","-",18077.6294/3985350.87503*100)</f>
        <v>0.45360195292375405</v>
      </c>
      <c r="G55" s="19">
        <f>IF(OR(2248863.79366="",8470.6009="",10328.26308=""),"-",(10328.26308-8470.6009)/2248863.79366*100)</f>
        <v>8.260447721365452E-2</v>
      </c>
      <c r="H55" s="19">
        <f>IF(OR(2819533.73145="",18077.6294="",10328.26308=""),"-",(18077.6294-10328.26308)/2819533.73145*100)</f>
        <v>0.27484566804649435</v>
      </c>
      <c r="I55" s="17"/>
      <c r="J55" s="18"/>
      <c r="K55" s="14"/>
    </row>
    <row r="56" spans="1:11" ht="15.75" customHeight="1" x14ac:dyDescent="0.25">
      <c r="A56" s="17" t="s">
        <v>252</v>
      </c>
      <c r="B56" s="18" t="s">
        <v>159</v>
      </c>
      <c r="C56" s="14">
        <v>86150.695869999996</v>
      </c>
      <c r="D56" s="19">
        <f>IF(OR(74004.58263="",86150.69587=""),"-",86150.69587/74004.58263*100)</f>
        <v>116.41265014725749</v>
      </c>
      <c r="E56" s="19">
        <f>IF(74004.58263="","-",74004.58263/2819533.73145*100)</f>
        <v>2.6247099584065525</v>
      </c>
      <c r="F56" s="19">
        <f>IF(86150.69587="","-",86150.69587/3985350.87503*100)</f>
        <v>2.1616840918517992</v>
      </c>
      <c r="G56" s="19">
        <f>IF(OR(2248863.79366="",56327.77963="",74004.58263=""),"-",(74004.58263-56327.77963)/2248863.79366*100)</f>
        <v>0.78603262010951824</v>
      </c>
      <c r="H56" s="19">
        <f>IF(OR(2819533.73145="",86150.69587="",74004.58263=""),"-",(86150.69587-74004.58263)/2819533.73145*100)</f>
        <v>0.43078446285349525</v>
      </c>
      <c r="I56" s="17"/>
      <c r="J56" s="18"/>
      <c r="K56" s="14"/>
    </row>
    <row r="57" spans="1:11" x14ac:dyDescent="0.25">
      <c r="A57" s="17" t="s">
        <v>253</v>
      </c>
      <c r="B57" s="18" t="s">
        <v>28</v>
      </c>
      <c r="C57" s="14">
        <v>85723.925229999993</v>
      </c>
      <c r="D57" s="19">
        <f>IF(OR(61565.2208="",85723.92523=""),"-",85723.92523/61565.2208*100)</f>
        <v>139.24083129415169</v>
      </c>
      <c r="E57" s="19">
        <f>IF(61565.2208="","-",61565.2208/2819533.73145*100)</f>
        <v>2.1835248897107142</v>
      </c>
      <c r="F57" s="19">
        <f>IF(85723.92523="","-",85723.92523/3985350.87503*100)</f>
        <v>2.1509756083736216</v>
      </c>
      <c r="G57" s="19">
        <f>IF(OR(2248863.79366="",46969.68928="",61565.2208=""),"-",(61565.2208-46969.68928)/2248863.79366*100)</f>
        <v>0.64901803128974489</v>
      </c>
      <c r="H57" s="19">
        <f>IF(OR(2819533.73145="",85723.92523="",61565.2208=""),"-",(85723.92523-61565.2208)/2819533.73145*100)</f>
        <v>0.85683331823719344</v>
      </c>
      <c r="I57" s="17"/>
      <c r="J57" s="18"/>
      <c r="K57" s="14"/>
    </row>
    <row r="58" spans="1:11" x14ac:dyDescent="0.25">
      <c r="A58" s="17" t="s">
        <v>254</v>
      </c>
      <c r="B58" s="18" t="s">
        <v>160</v>
      </c>
      <c r="C58" s="14">
        <v>9579.3398500000003</v>
      </c>
      <c r="D58" s="19">
        <f>IF(OR(11228.90606="",9579.33985=""),"-",9579.33985/11228.90606*100)</f>
        <v>85.309644579928033</v>
      </c>
      <c r="E58" s="19">
        <f>IF(11228.90606="","-",11228.90606/2819533.73145*100)</f>
        <v>0.39825400685046303</v>
      </c>
      <c r="F58" s="19">
        <f>IF(9579.33985="","-",9579.33985/3985350.87503*100)</f>
        <v>0.24036377599821473</v>
      </c>
      <c r="G58" s="19">
        <f>IF(OR(2248863.79366="",1204.56161="",11228.90606=""),"-",(11228.90606-1204.56161)/2248863.79366*100)</f>
        <v>0.44575151586595174</v>
      </c>
      <c r="H58" s="19">
        <f>IF(OR(2819533.73145="",9579.33985="",11228.90606=""),"-",(9579.33985-11228.90606)/2819533.73145*100)</f>
        <v>-5.8504929081010772E-2</v>
      </c>
      <c r="I58" s="17"/>
      <c r="J58" s="18"/>
      <c r="K58" s="14"/>
    </row>
    <row r="59" spans="1:11" x14ac:dyDescent="0.25">
      <c r="A59" s="17" t="s">
        <v>255</v>
      </c>
      <c r="B59" s="18" t="s">
        <v>29</v>
      </c>
      <c r="C59" s="14">
        <v>1682.26485</v>
      </c>
      <c r="D59" s="19">
        <f>IF(OR(1819.96268="",1682.26485=""),"-",1682.26485/1819.96268*100)</f>
        <v>92.43403002087932</v>
      </c>
      <c r="E59" s="19">
        <f>IF(1819.96268="","-",1819.96268/2819533.73145*100)</f>
        <v>6.4548356336352433E-2</v>
      </c>
      <c r="F59" s="19">
        <f>IF(1682.26485="","-",1682.26485/3985350.87503*100)</f>
        <v>4.2211210574710979E-2</v>
      </c>
      <c r="G59" s="19">
        <f>IF(OR(2248863.79366="",2127.72071="",1819.96268=""),"-",(1819.96268-2127.72071)/2248863.79366*100)</f>
        <v>-1.3685045349017216E-2</v>
      </c>
      <c r="H59" s="19">
        <f>IF(OR(2819533.73145="",1682.26485="",1819.96268=""),"-",(1682.26485-1819.96268)/2819533.73145*100)</f>
        <v>-4.883709262424262E-3</v>
      </c>
      <c r="I59" s="17"/>
      <c r="J59" s="18"/>
      <c r="K59" s="14"/>
    </row>
    <row r="60" spans="1:11" x14ac:dyDescent="0.25">
      <c r="A60" s="17" t="s">
        <v>256</v>
      </c>
      <c r="B60" s="18" t="s">
        <v>30</v>
      </c>
      <c r="C60" s="14">
        <v>37253.523099999999</v>
      </c>
      <c r="D60" s="19">
        <f>IF(OR(39207.6106="",37253.5231=""),"-",37253.5231/39207.6106*100)</f>
        <v>95.01605053178119</v>
      </c>
      <c r="E60" s="19">
        <f>IF(39207.6106="","-",39207.6106/2819533.73145*100)</f>
        <v>1.3905707231896363</v>
      </c>
      <c r="F60" s="19">
        <f>IF(37253.5231="","-",37253.5231/3985350.87503*100)</f>
        <v>0.93476143677611745</v>
      </c>
      <c r="G60" s="19">
        <f>IF(OR(2248863.79366="",24054.46268="",39207.6106=""),"-",(39207.6106-24054.46268)/2248863.79366*100)</f>
        <v>0.67381350363324688</v>
      </c>
      <c r="H60" s="19">
        <f>IF(OR(2819533.73145="",37253.5231="",39207.6106=""),"-",(37253.5231-39207.6106)/2819533.73145*100)</f>
        <v>-6.9305342163616321E-2</v>
      </c>
      <c r="I60" s="15"/>
      <c r="J60" s="16"/>
      <c r="K60" s="13"/>
    </row>
    <row r="61" spans="1:11" ht="15" customHeight="1" x14ac:dyDescent="0.25">
      <c r="A61" s="15" t="s">
        <v>257</v>
      </c>
      <c r="B61" s="16" t="s">
        <v>161</v>
      </c>
      <c r="C61" s="13">
        <v>639694.52720000001</v>
      </c>
      <c r="D61" s="21">
        <f>IF(583674.30348="","-",639694.5272/583674.30348*100)</f>
        <v>109.59785678176932</v>
      </c>
      <c r="E61" s="21">
        <f>IF(583674.30348="","-",583674.30348/2819533.73145*100)</f>
        <v>20.701093126480675</v>
      </c>
      <c r="F61" s="21">
        <f>IF(639694.5272="","-",639694.5272/3985350.87503*100)</f>
        <v>16.051146994558781</v>
      </c>
      <c r="G61" s="21">
        <f>IF(2248863.79366="","-",(583674.30348-503197.08209)/2248863.79366*100)</f>
        <v>3.5785725047858175</v>
      </c>
      <c r="H61" s="21">
        <f>IF(2819533.73145="","-",(639694.5272-583674.30348)/2819533.73145*100)</f>
        <v>1.9868612705403073</v>
      </c>
      <c r="I61" s="17"/>
      <c r="J61" s="18"/>
      <c r="K61" s="14"/>
    </row>
    <row r="62" spans="1:11" ht="25.5" x14ac:dyDescent="0.25">
      <c r="A62" s="17" t="s">
        <v>258</v>
      </c>
      <c r="B62" s="18" t="s">
        <v>162</v>
      </c>
      <c r="C62" s="14">
        <v>4232.6058800000001</v>
      </c>
      <c r="D62" s="19" t="s">
        <v>91</v>
      </c>
      <c r="E62" s="19">
        <f>IF(2064.28472="","-",2064.28472/2819533.73145*100)</f>
        <v>7.3213691220441676E-2</v>
      </c>
      <c r="F62" s="19">
        <f>IF(4232.60588="","-",4232.60588/3985350.87503*100)</f>
        <v>0.10620409626964498</v>
      </c>
      <c r="G62" s="19">
        <f>IF(OR(2248863.79366="",1787.56803="",2064.28472=""),"-",(2064.28472-1787.56803)/2248863.79366*100)</f>
        <v>1.2304733207058617E-2</v>
      </c>
      <c r="H62" s="19">
        <f>IF(OR(2819533.73145="",4232.60588="",2064.28472=""),"-",(4232.60588-2064.28472)/2819533.73145*100)</f>
        <v>7.6903536773255718E-2</v>
      </c>
      <c r="I62" s="17"/>
      <c r="J62" s="18"/>
      <c r="K62" s="14"/>
    </row>
    <row r="63" spans="1:11" ht="25.5" x14ac:dyDescent="0.25">
      <c r="A63" s="17" t="s">
        <v>259</v>
      </c>
      <c r="B63" s="18" t="s">
        <v>163</v>
      </c>
      <c r="C63" s="14">
        <v>13401.98163</v>
      </c>
      <c r="D63" s="19">
        <f>IF(OR(12266.26731="",13401.98163=""),"-",13401.98163/12266.26731*100)</f>
        <v>109.25884208535157</v>
      </c>
      <c r="E63" s="19">
        <f>IF(12266.26731="","-",12266.26731/2819533.73145*100)</f>
        <v>0.43504595008664199</v>
      </c>
      <c r="F63" s="19">
        <f>IF(13401.98163="","-",13401.98163/3985350.87503*100)</f>
        <v>0.33628109670266143</v>
      </c>
      <c r="G63" s="19">
        <f>IF(OR(2248863.79366="",13738.66755="",12266.26731=""),"-",(12266.26731-13738.66755)/2248863.79366*100)</f>
        <v>-6.5473073298213683E-2</v>
      </c>
      <c r="H63" s="19">
        <f>IF(OR(2819533.73145="",13401.98163="",12266.26731=""),"-",(13401.98163-12266.26731)/2819533.73145*100)</f>
        <v>4.0280217517239557E-2</v>
      </c>
      <c r="I63" s="17"/>
      <c r="J63" s="18"/>
      <c r="K63" s="14"/>
    </row>
    <row r="64" spans="1:11" ht="26.25" customHeight="1" x14ac:dyDescent="0.25">
      <c r="A64" s="17" t="s">
        <v>260</v>
      </c>
      <c r="B64" s="18" t="s">
        <v>164</v>
      </c>
      <c r="C64" s="14">
        <v>4435.5128599999998</v>
      </c>
      <c r="D64" s="19">
        <f>IF(OR(3809.0114="",4435.51286=""),"-",4435.51286/3809.0114*100)</f>
        <v>116.44787568763905</v>
      </c>
      <c r="E64" s="19">
        <f>IF(3809.0114="","-",3809.0114/2819533.73145*100)</f>
        <v>0.13509366309446996</v>
      </c>
      <c r="F64" s="19">
        <f>IF(4435.51286="","-",4435.51286/3985350.87503*100)</f>
        <v>0.11129541661665136</v>
      </c>
      <c r="G64" s="19">
        <f>IF(OR(2248863.79366="",2808.38943="",3809.0114=""),"-",(3809.0114-2808.38943)/2248863.79366*100)</f>
        <v>4.4494556443167195E-2</v>
      </c>
      <c r="H64" s="19">
        <f>IF(OR(2819533.73145="",4435.51286="",3809.0114=""),"-",(4435.51286-3809.0114)/2819533.73145*100)</f>
        <v>2.2220037767656336E-2</v>
      </c>
      <c r="I64" s="17"/>
      <c r="J64" s="18"/>
      <c r="K64" s="14"/>
    </row>
    <row r="65" spans="1:11" ht="38.25" x14ac:dyDescent="0.25">
      <c r="A65" s="17" t="s">
        <v>261</v>
      </c>
      <c r="B65" s="18" t="s">
        <v>165</v>
      </c>
      <c r="C65" s="14">
        <v>25889.360379999998</v>
      </c>
      <c r="D65" s="19">
        <f>IF(OR(23336.63111="",25889.36038=""),"-",25889.36038/23336.63111*100)</f>
        <v>110.93872229443662</v>
      </c>
      <c r="E65" s="19">
        <f>IF(23336.63111="","-",23336.63111/2819533.73145*100)</f>
        <v>0.82767696125411083</v>
      </c>
      <c r="F65" s="19">
        <f>IF(25889.36038="","-",25889.36038/3985350.87503*100)</f>
        <v>0.6496130752804824</v>
      </c>
      <c r="G65" s="19">
        <f>IF(OR(2248863.79366="",18919.77674="",23336.63111=""),"-",(23336.63111-18919.77674)/2248863.79366*100)</f>
        <v>0.1964038187840455</v>
      </c>
      <c r="H65" s="19">
        <f>IF(OR(2819533.73145="",25889.36038="",23336.63111=""),"-",(25889.36038-23336.63111)/2819533.73145*100)</f>
        <v>9.0537284286618877E-2</v>
      </c>
      <c r="I65" s="17"/>
      <c r="J65" s="18"/>
      <c r="K65" s="14"/>
    </row>
    <row r="66" spans="1:11" ht="25.5" x14ac:dyDescent="0.25">
      <c r="A66" s="17" t="s">
        <v>262</v>
      </c>
      <c r="B66" s="18" t="s">
        <v>166</v>
      </c>
      <c r="C66" s="14">
        <v>6800.9638400000003</v>
      </c>
      <c r="D66" s="19" t="s">
        <v>371</v>
      </c>
      <c r="E66" s="19">
        <f>IF(1791.88972="","-",1791.88972/2819533.73145*100)</f>
        <v>6.3552696675080594E-2</v>
      </c>
      <c r="F66" s="19">
        <f>IF(6800.96384="","-",6800.96384/3985350.87503*100)</f>
        <v>0.17064906085461812</v>
      </c>
      <c r="G66" s="19">
        <f>IF(OR(2248863.79366="",1970.25607="",1791.88972=""),"-",(1791.88972-1970.25607)/2248863.79366*100)</f>
        <v>-7.9313985356894746E-3</v>
      </c>
      <c r="H66" s="19">
        <f>IF(OR(2819533.73145="",6800.96384="",1791.88972=""),"-",(6800.96384-1791.88972)/2819533.73145*100)</f>
        <v>0.17765611612044757</v>
      </c>
      <c r="I66" s="17"/>
      <c r="J66" s="18"/>
      <c r="K66" s="14"/>
    </row>
    <row r="67" spans="1:11" ht="38.25" x14ac:dyDescent="0.25">
      <c r="A67" s="17" t="s">
        <v>263</v>
      </c>
      <c r="B67" s="18" t="s">
        <v>167</v>
      </c>
      <c r="C67" s="14">
        <v>3096.5311799999999</v>
      </c>
      <c r="D67" s="19">
        <f>IF(OR(2446.20057="",3096.53118=""),"-",3096.53118/2446.20057*100)</f>
        <v>126.58533474219573</v>
      </c>
      <c r="E67" s="19">
        <f>IF(2446.20057="","-",2446.20057/2819533.73145*100)</f>
        <v>8.6759046104477489E-2</v>
      </c>
      <c r="F67" s="19">
        <f>IF(3096.53118="","-",3096.53118/3985350.87503*100)</f>
        <v>7.7697830808352367E-2</v>
      </c>
      <c r="G67" s="19">
        <f>IF(OR(2248863.79366="",2121.0894="",2446.20057=""),"-",(2446.20057-2121.0894)/2248863.79366*100)</f>
        <v>1.4456685679077321E-2</v>
      </c>
      <c r="H67" s="19">
        <f>IF(OR(2819533.73145="",3096.53118="",2446.20057=""),"-",(3096.53118-2446.20057)/2819533.73145*100)</f>
        <v>2.3065182826011266E-2</v>
      </c>
      <c r="I67" s="17"/>
      <c r="J67" s="18"/>
      <c r="K67" s="14"/>
    </row>
    <row r="68" spans="1:11" ht="39.75" customHeight="1" x14ac:dyDescent="0.25">
      <c r="A68" s="17" t="s">
        <v>264</v>
      </c>
      <c r="B68" s="18" t="s">
        <v>168</v>
      </c>
      <c r="C68" s="14">
        <v>493329.78175000002</v>
      </c>
      <c r="D68" s="19">
        <f>IF(OR(481177.60549="",493329.78175=""),"-",493329.78175/481177.60549*100)</f>
        <v>102.52550744701119</v>
      </c>
      <c r="E68" s="19">
        <f>IF(481177.60549="","-",481177.60549/2819533.73145*100)</f>
        <v>17.065857383537846</v>
      </c>
      <c r="F68" s="19">
        <f>IF(493329.78175="","-",493329.78175/3985350.87503*100)</f>
        <v>12.378578379156801</v>
      </c>
      <c r="G68" s="19">
        <f>IF(OR(2248863.79366="",436175.32534="",481177.60549=""),"-",(481177.60549-436175.32534)/2248863.79366*100)</f>
        <v>2.0011118626601796</v>
      </c>
      <c r="H68" s="19">
        <f>IF(OR(2819533.73145="",493329.78175="",481177.60549=""),"-",(493329.78175-481177.60549)/2819533.73145*100)</f>
        <v>0.43099949911755603</v>
      </c>
      <c r="I68" s="17"/>
      <c r="J68" s="18"/>
      <c r="K68" s="14"/>
    </row>
    <row r="69" spans="1:11" ht="25.5" x14ac:dyDescent="0.25">
      <c r="A69" s="17" t="s">
        <v>265</v>
      </c>
      <c r="B69" s="18" t="s">
        <v>169</v>
      </c>
      <c r="C69" s="14">
        <v>85633.069650000005</v>
      </c>
      <c r="D69" s="19">
        <f>IF(OR(55850.35438="",85633.06965=""),"-",85633.06965/55850.35438*100)</f>
        <v>153.32591995273927</v>
      </c>
      <c r="E69" s="19">
        <f>IF(55850.35438="","-",55850.35438/2819533.73145*100)</f>
        <v>1.9808365389293596</v>
      </c>
      <c r="F69" s="19">
        <f>IF(85633.06965="","-",85633.06965/3985350.87503*100)</f>
        <v>2.1486958698299152</v>
      </c>
      <c r="G69" s="19">
        <f>IF(OR(2248863.79366="",25120.81291="",55850.35438=""),"-",(55850.35438-25120.81291)/2248863.79366*100)</f>
        <v>1.3664474281027053</v>
      </c>
      <c r="H69" s="19">
        <f>IF(OR(2819533.73145="",85633.06965="",55850.35438=""),"-",(85633.06965-55850.35438)/2819533.73145*100)</f>
        <v>1.0562993071440812</v>
      </c>
      <c r="I69" s="17"/>
      <c r="J69" s="18"/>
      <c r="K69" s="14"/>
    </row>
    <row r="70" spans="1:11" x14ac:dyDescent="0.25">
      <c r="A70" s="17" t="s">
        <v>266</v>
      </c>
      <c r="B70" s="18" t="s">
        <v>31</v>
      </c>
      <c r="C70" s="14">
        <v>2874.72003</v>
      </c>
      <c r="D70" s="19" t="s">
        <v>330</v>
      </c>
      <c r="E70" s="19">
        <f>IF(932.05878="","-",932.05878/2819533.73145*100)</f>
        <v>3.3057195578244443E-2</v>
      </c>
      <c r="F70" s="19">
        <f>IF(2874.72003="","-",2874.72003/3985350.87503*100)</f>
        <v>7.2132169039654762E-2</v>
      </c>
      <c r="G70" s="19">
        <f>IF(OR(2248863.79366="",555.19662="",932.05878=""),"-",(932.05878-555.19662)/2248863.79366*100)</f>
        <v>1.6757891743486211E-2</v>
      </c>
      <c r="H70" s="19">
        <f>IF(OR(2819533.73145="",2874.72003="",932.05878=""),"-",(2874.72003-932.05878)/2819533.73145*100)</f>
        <v>6.8900088987442223E-2</v>
      </c>
      <c r="I70" s="15"/>
      <c r="J70" s="16"/>
      <c r="K70" s="13"/>
    </row>
    <row r="71" spans="1:11" x14ac:dyDescent="0.25">
      <c r="A71" s="15" t="s">
        <v>267</v>
      </c>
      <c r="B71" s="16" t="s">
        <v>32</v>
      </c>
      <c r="C71" s="13">
        <v>578162.46345000004</v>
      </c>
      <c r="D71" s="21">
        <f>IF(541767.24782="","-",578162.46345/541767.24782*100)</f>
        <v>106.71786930207567</v>
      </c>
      <c r="E71" s="21">
        <f>IF(541767.24782="","-",541767.24782/2819533.73145*100)</f>
        <v>19.214781571043158</v>
      </c>
      <c r="F71" s="21">
        <f>IF(578162.46345="","-",578162.46345/3985350.87503*100)</f>
        <v>14.507190999729675</v>
      </c>
      <c r="G71" s="21">
        <f>IF(2248863.79366="","-",(541767.24782-470321.65019)/2248863.79366*100)</f>
        <v>3.176964199940413</v>
      </c>
      <c r="H71" s="21">
        <f>IF(2819533.73145="","-",(578162.46345-541767.24782)/2819533.73145*100)</f>
        <v>1.2908239126220011</v>
      </c>
      <c r="I71" s="17"/>
      <c r="J71" s="18"/>
      <c r="K71" s="14"/>
    </row>
    <row r="72" spans="1:11" ht="38.25" x14ac:dyDescent="0.25">
      <c r="A72" s="17" t="s">
        <v>268</v>
      </c>
      <c r="B72" s="18" t="s">
        <v>195</v>
      </c>
      <c r="C72" s="14">
        <v>17785.962749999999</v>
      </c>
      <c r="D72" s="19">
        <f>IF(OR(13659.67813="",17785.96275=""),"-",17785.96275/13659.67813*100)</f>
        <v>130.20777342430688</v>
      </c>
      <c r="E72" s="19">
        <f>IF(13659.67813="","-",13659.67813/2819533.73145*100)</f>
        <v>0.48446585254985569</v>
      </c>
      <c r="F72" s="19">
        <f>IF(17785.96275="","-",17785.96275/3985350.87503*100)</f>
        <v>0.44628348438369592</v>
      </c>
      <c r="G72" s="19">
        <f>IF(OR(2248863.79366="",10429.33245="",13659.67813=""),"-",(13659.67813-10429.33245)/2248863.79366*100)</f>
        <v>0.1436434562692056</v>
      </c>
      <c r="H72" s="19">
        <f>IF(OR(2819533.73145="",17785.96275="",13659.67813=""),"-",(17785.96275-13659.67813)/2819533.73145*100)</f>
        <v>0.14634634705639704</v>
      </c>
      <c r="I72" s="17"/>
      <c r="J72" s="18"/>
      <c r="K72" s="14"/>
    </row>
    <row r="73" spans="1:11" x14ac:dyDescent="0.25">
      <c r="A73" s="17" t="s">
        <v>269</v>
      </c>
      <c r="B73" s="18" t="s">
        <v>170</v>
      </c>
      <c r="C73" s="14">
        <v>136898.49572000001</v>
      </c>
      <c r="D73" s="19">
        <f>IF(OR(147295.97256="",136898.49572=""),"-",136898.49572/147295.97256*100)</f>
        <v>92.941099027154564</v>
      </c>
      <c r="E73" s="19">
        <f>IF(147295.97256="","-",147295.97256/2819533.73145*100)</f>
        <v>5.224125213222762</v>
      </c>
      <c r="F73" s="19">
        <f>IF(136898.49572="","-",136898.49572/3985350.87503*100)</f>
        <v>3.4350424846587559</v>
      </c>
      <c r="G73" s="19">
        <f>IF(OR(2248863.79366="",126946.81909="",147295.97256=""),"-",(147295.97256-126946.81909)/2248863.79366*100)</f>
        <v>0.90486375952907216</v>
      </c>
      <c r="H73" s="19">
        <f>IF(OR(2819533.73145="",136898.49572="",147295.97256=""),"-",(136898.49572-147295.97256)/2819533.73145*100)</f>
        <v>-0.36876582549884529</v>
      </c>
      <c r="I73" s="17"/>
      <c r="J73" s="18"/>
      <c r="K73" s="14"/>
    </row>
    <row r="74" spans="1:11" x14ac:dyDescent="0.25">
      <c r="A74" s="17" t="s">
        <v>270</v>
      </c>
      <c r="B74" s="18" t="s">
        <v>171</v>
      </c>
      <c r="C74" s="14">
        <v>14323.739869999999</v>
      </c>
      <c r="D74" s="19">
        <f>IF(OR(13289.08164="",14323.73987=""),"-",14323.73987/13289.08164*100)</f>
        <v>107.78577676041728</v>
      </c>
      <c r="E74" s="19">
        <f>IF(13289.08164="","-",13289.08164/2819533.73145*100)</f>
        <v>0.47132195978963631</v>
      </c>
      <c r="F74" s="19">
        <f>IF(14323.73987="","-",14323.73987/3985350.87503*100)</f>
        <v>0.35940975635908534</v>
      </c>
      <c r="G74" s="19">
        <f>IF(OR(2248863.79366="",11128.92417="",13289.08164=""),"-",(13289.08164-11128.92417)/2248863.79366*100)</f>
        <v>9.6055504832703489E-2</v>
      </c>
      <c r="H74" s="19">
        <f>IF(OR(2819533.73145="",14323.73987="",13289.08164=""),"-",(14323.73987-13289.08164)/2819533.73145*100)</f>
        <v>3.6696075612044764E-2</v>
      </c>
      <c r="I74" s="17"/>
      <c r="J74" s="18"/>
      <c r="K74" s="14"/>
    </row>
    <row r="75" spans="1:11" x14ac:dyDescent="0.25">
      <c r="A75" s="17" t="s">
        <v>271</v>
      </c>
      <c r="B75" s="18" t="s">
        <v>172</v>
      </c>
      <c r="C75" s="14">
        <v>270262.44839999999</v>
      </c>
      <c r="D75" s="19">
        <f>IF(OR(251873.82324="",270262.4484=""),"-",270262.4484/251873.82324*100)</f>
        <v>107.30072896161116</v>
      </c>
      <c r="E75" s="19">
        <f>IF(251873.82324="","-",251873.82324/2819533.73145*100)</f>
        <v>8.933172901267934</v>
      </c>
      <c r="F75" s="19">
        <f>IF(270262.4484="","-",270262.4484/3985350.87503*100)</f>
        <v>6.7813965915351329</v>
      </c>
      <c r="G75" s="19">
        <f>IF(OR(2248863.79366="",218709.41359="",251873.82324=""),"-",(251873.82324-218709.41359)/2248863.79366*100)</f>
        <v>1.4747184664316773</v>
      </c>
      <c r="H75" s="19">
        <f>IF(OR(2819533.73145="",270262.4484="",251873.82324=""),"-",(270262.4484-251873.82324)/2819533.73145*100)</f>
        <v>0.65218674119366848</v>
      </c>
      <c r="I75" s="17"/>
      <c r="J75" s="18"/>
      <c r="K75" s="14"/>
    </row>
    <row r="76" spans="1:11" x14ac:dyDescent="0.25">
      <c r="A76" s="17" t="s">
        <v>272</v>
      </c>
      <c r="B76" s="18" t="s">
        <v>173</v>
      </c>
      <c r="C76" s="14">
        <v>36819.328500000003</v>
      </c>
      <c r="D76" s="19">
        <f>IF(OR(33772.10564="",36819.3285=""),"-",36819.3285/33772.10564*100)</f>
        <v>109.02289863854637</v>
      </c>
      <c r="E76" s="19">
        <f>IF(33772.10564="","-",33772.10564/2819533.73145*100)</f>
        <v>1.1977904453950987</v>
      </c>
      <c r="F76" s="19">
        <f>IF(36819.3285="","-",36819.3285/3985350.87503*100)</f>
        <v>0.92386667208374329</v>
      </c>
      <c r="G76" s="19">
        <f>IF(OR(2248863.79366="",30600.52013="",33772.10564=""),"-",(33772.10564-30600.52013)/2248863.79366*100)</f>
        <v>0.14103057370310018</v>
      </c>
      <c r="H76" s="19">
        <f>IF(OR(2819533.73145="",36819.3285="",33772.10564=""),"-",(36819.3285-33772.10564)/2819533.73145*100)</f>
        <v>0.10807541779019286</v>
      </c>
      <c r="I76" s="17"/>
      <c r="J76" s="18"/>
      <c r="K76" s="14"/>
    </row>
    <row r="77" spans="1:11" ht="25.5" x14ac:dyDescent="0.25">
      <c r="A77" s="17" t="s">
        <v>273</v>
      </c>
      <c r="B77" s="18" t="s">
        <v>379</v>
      </c>
      <c r="C77" s="14">
        <v>21539.493719999999</v>
      </c>
      <c r="D77" s="19">
        <f>IF(OR(20865.10053="",21539.49372=""),"-",21539.49372/20865.10053*100)</f>
        <v>103.23215883398382</v>
      </c>
      <c r="E77" s="19">
        <f>IF(20865.10053="","-",20865.10053/2819533.73145*100)</f>
        <v>0.74001953930410036</v>
      </c>
      <c r="F77" s="19">
        <f>IF(21539.49372="","-",21539.49372/3985350.87503*100)</f>
        <v>0.54046668399900566</v>
      </c>
      <c r="G77" s="19">
        <f>IF(OR(2248863.79366="",20552.60952="",20865.10053=""),"-",(20865.10053-20552.60952)/2248863.79366*100)</f>
        <v>1.3895506294377323E-2</v>
      </c>
      <c r="H77" s="19">
        <f>IF(OR(2819533.73145="",21539.49372="",20865.10053=""),"-",(21539.49372-20865.10053)/2819533.73145*100)</f>
        <v>2.3918606912823815E-2</v>
      </c>
      <c r="I77" s="17"/>
      <c r="J77" s="18"/>
      <c r="K77" s="14"/>
    </row>
    <row r="78" spans="1:11" ht="25.5" x14ac:dyDescent="0.25">
      <c r="A78" s="17" t="s">
        <v>274</v>
      </c>
      <c r="B78" s="18" t="s">
        <v>174</v>
      </c>
      <c r="C78" s="14">
        <v>5049.4876999999997</v>
      </c>
      <c r="D78" s="19">
        <f>IF(OR(3469.11797="",5049.4877=""),"-",5049.4877/3469.11797*100)</f>
        <v>145.55537585249658</v>
      </c>
      <c r="E78" s="19">
        <f>IF(3469.11797="","-",3469.11797/2819533.73145*100)</f>
        <v>0.12303871137643524</v>
      </c>
      <c r="F78" s="19">
        <f>IF(5049.4877="","-",5049.4877/3985350.87503*100)</f>
        <v>0.12670120795730411</v>
      </c>
      <c r="G78" s="19">
        <f>IF(OR(2248863.79366="",2556.24367="",3469.11797=""),"-",(3469.11797-2556.24367)/2248863.79366*100)</f>
        <v>4.0592689631696523E-2</v>
      </c>
      <c r="H78" s="19">
        <f>IF(OR(2819533.73145="",5049.4877="",3469.11797=""),"-",(5049.4877-3469.11797)/2819533.73145*100)</f>
        <v>5.6050747411603555E-2</v>
      </c>
      <c r="I78" s="17"/>
      <c r="J78" s="18"/>
      <c r="K78" s="14"/>
    </row>
    <row r="79" spans="1:11" x14ac:dyDescent="0.25">
      <c r="A79" s="17" t="s">
        <v>275</v>
      </c>
      <c r="B79" s="18" t="s">
        <v>33</v>
      </c>
      <c r="C79" s="14">
        <v>75483.506789999999</v>
      </c>
      <c r="D79" s="19">
        <f>IF(OR(57542.36811="",75483.50679=""),"-",75483.50679/57542.36811*100)</f>
        <v>131.17900647693727</v>
      </c>
      <c r="E79" s="19">
        <f>IF(57542.36811="","-",57542.36811/2819533.73145*100)</f>
        <v>2.0408469481373337</v>
      </c>
      <c r="F79" s="19">
        <f>IF(75483.50679="","-",75483.50679/3985350.87503*100)</f>
        <v>1.8940241187529512</v>
      </c>
      <c r="G79" s="19">
        <f>IF(OR(2248863.79366="",49397.78757="",57542.36811=""),"-",(57542.36811-49397.78757)/2248863.79366*100)</f>
        <v>0.36216424324857804</v>
      </c>
      <c r="H79" s="19">
        <f>IF(OR(2819533.73145="",75483.50679="",57542.36811=""),"-",(75483.50679-57542.36811)/2819533.73145*100)</f>
        <v>0.63631580214411609</v>
      </c>
      <c r="I79" s="17"/>
      <c r="J79" s="18"/>
      <c r="K79" s="14"/>
    </row>
    <row r="80" spans="1:11" ht="25.5" x14ac:dyDescent="0.25">
      <c r="A80" s="15" t="s">
        <v>278</v>
      </c>
      <c r="B80" s="16" t="s">
        <v>175</v>
      </c>
      <c r="C80" s="13">
        <v>3655.64716</v>
      </c>
      <c r="D80" s="21" t="s">
        <v>343</v>
      </c>
      <c r="E80" s="21">
        <f>IF(838.22921="","-",838.22921/2819533.73145*100)</f>
        <v>2.9729355625368749E-2</v>
      </c>
      <c r="F80" s="21">
        <f>IF(3655.64716="","-",3655.64716/3985350.87503*100)</f>
        <v>9.1727109472449692E-2</v>
      </c>
      <c r="G80" s="21">
        <f>IF(2248863.79366="","-",(838.22921-585.94278)/2248863.79366*100)</f>
        <v>1.1218395294159045E-2</v>
      </c>
      <c r="H80" s="21">
        <f>IF(2819533.73145="","-",(3655.64716-838.22921)/2819533.73145*100)</f>
        <v>9.992495988161447E-2</v>
      </c>
      <c r="I80" s="17"/>
      <c r="J80" s="18"/>
      <c r="K80" s="14"/>
    </row>
    <row r="81" spans="1:11" x14ac:dyDescent="0.25">
      <c r="A81" s="17" t="s">
        <v>313</v>
      </c>
      <c r="B81" s="18" t="s">
        <v>314</v>
      </c>
      <c r="C81" s="14">
        <v>1320.5115800000001</v>
      </c>
      <c r="D81" s="19">
        <f>IF(OR(838.22921="",1320.51158=""),"-",1320.51158/838.22921*100)</f>
        <v>157.5358582409697</v>
      </c>
      <c r="E81" s="19">
        <f>IF(838.22921="","-",838.22921/2819533.73145*100)</f>
        <v>2.9729355625368749E-2</v>
      </c>
      <c r="F81" s="19">
        <f>IF(1320.51158="","-",1320.51158/3985350.87503*100)</f>
        <v>3.3134136024850255E-2</v>
      </c>
      <c r="G81" s="19">
        <f>IF(OR(2248863.79366="",585.94278="",838.22921=""),"-",(838.22921-585.94278)/2248863.79366*100)</f>
        <v>1.1218395294159045E-2</v>
      </c>
      <c r="H81" s="19">
        <f>IF(OR(2819533.73145="",1320.51158="",838.22921=""),"-",(1320.51158-838.22921)/2819533.73145*100)</f>
        <v>1.7105039908565916E-2</v>
      </c>
      <c r="I81" s="17"/>
      <c r="J81" s="18"/>
      <c r="K81" s="14"/>
    </row>
    <row r="82" spans="1:11" ht="25.5" x14ac:dyDescent="0.25">
      <c r="A82" s="46" t="s">
        <v>315</v>
      </c>
      <c r="B82" s="47" t="s">
        <v>321</v>
      </c>
      <c r="C82" s="63">
        <v>2335.1355800000001</v>
      </c>
      <c r="D82" s="23" t="str">
        <f>IF(OR(""="",2335.13558=""),"-",2335.13558/""*100)</f>
        <v>-</v>
      </c>
      <c r="E82" s="23" t="str">
        <f>IF(""="","-",""/2819533.73145*100)</f>
        <v>-</v>
      </c>
      <c r="F82" s="23">
        <f>IF(2335.13558="","-",2335.13558/3985350.87503*100)</f>
        <v>5.8592973447599443E-2</v>
      </c>
      <c r="G82" s="23" t="str">
        <f>IF(OR(2248863.79366="",""="",""=""),"-",(""-"")/2248863.79366*100)</f>
        <v>-</v>
      </c>
      <c r="H82" s="23" t="str">
        <f>IF(OR(2819533.73145="",2335.13558="",""=""),"-",(2335.13558-"")/2819533.73145*100)</f>
        <v>-</v>
      </c>
      <c r="I82" s="17"/>
      <c r="J82" s="18"/>
      <c r="K82" s="14"/>
    </row>
    <row r="83" spans="1:11" x14ac:dyDescent="0.25">
      <c r="A83" s="24" t="s">
        <v>281</v>
      </c>
      <c r="B83" s="25"/>
    </row>
    <row r="84" spans="1:11" x14ac:dyDescent="0.25">
      <c r="A84" s="25" t="s">
        <v>296</v>
      </c>
      <c r="B84" s="25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M85"/>
  <sheetViews>
    <sheetView zoomScaleNormal="100" workbookViewId="0">
      <selection activeCell="D21" sqref="D21"/>
    </sheetView>
  </sheetViews>
  <sheetFormatPr defaultRowHeight="15.75" x14ac:dyDescent="0.25"/>
  <cols>
    <col min="1" max="1" width="5.25" customWidth="1"/>
    <col min="2" max="2" width="26.75" customWidth="1"/>
    <col min="3" max="3" width="11.25" customWidth="1"/>
    <col min="4" max="4" width="10" customWidth="1"/>
    <col min="5" max="5" width="7.875" customWidth="1"/>
    <col min="6" max="6" width="8" customWidth="1"/>
    <col min="7" max="7" width="8.75" customWidth="1"/>
    <col min="8" max="8" width="8.5" customWidth="1"/>
  </cols>
  <sheetData>
    <row r="1" spans="1:13" x14ac:dyDescent="0.25">
      <c r="B1" s="92" t="s">
        <v>129</v>
      </c>
      <c r="C1" s="92"/>
      <c r="D1" s="92"/>
      <c r="E1" s="92"/>
      <c r="F1" s="92"/>
      <c r="G1" s="92"/>
      <c r="H1" s="92"/>
    </row>
    <row r="2" spans="1:13" x14ac:dyDescent="0.25">
      <c r="B2" s="92" t="s">
        <v>280</v>
      </c>
      <c r="C2" s="92"/>
      <c r="D2" s="92"/>
      <c r="E2" s="92"/>
      <c r="F2" s="92"/>
      <c r="G2" s="92"/>
      <c r="H2" s="92"/>
    </row>
    <row r="3" spans="1:13" x14ac:dyDescent="0.25">
      <c r="B3" s="4"/>
    </row>
    <row r="4" spans="1:13" ht="57.75" customHeight="1" x14ac:dyDescent="0.25">
      <c r="A4" s="102" t="s">
        <v>206</v>
      </c>
      <c r="B4" s="105"/>
      <c r="C4" s="108" t="s">
        <v>380</v>
      </c>
      <c r="D4" s="100"/>
      <c r="E4" s="108" t="s">
        <v>0</v>
      </c>
      <c r="F4" s="100"/>
      <c r="G4" s="97" t="s">
        <v>113</v>
      </c>
      <c r="H4" s="109"/>
    </row>
    <row r="5" spans="1:13" ht="19.5" customHeight="1" x14ac:dyDescent="0.25">
      <c r="A5" s="103"/>
      <c r="B5" s="106"/>
      <c r="C5" s="110" t="s">
        <v>105</v>
      </c>
      <c r="D5" s="95" t="s">
        <v>381</v>
      </c>
      <c r="E5" s="112" t="s">
        <v>382</v>
      </c>
      <c r="F5" s="112"/>
      <c r="G5" s="112" t="s">
        <v>387</v>
      </c>
      <c r="H5" s="108"/>
    </row>
    <row r="6" spans="1:13" ht="33" customHeight="1" x14ac:dyDescent="0.25">
      <c r="A6" s="104"/>
      <c r="B6" s="107"/>
      <c r="C6" s="111"/>
      <c r="D6" s="96"/>
      <c r="E6" s="32" t="s">
        <v>306</v>
      </c>
      <c r="F6" s="32" t="s">
        <v>307</v>
      </c>
      <c r="G6" s="32" t="s">
        <v>306</v>
      </c>
      <c r="H6" s="31" t="s">
        <v>307</v>
      </c>
    </row>
    <row r="7" spans="1:13" x14ac:dyDescent="0.25">
      <c r="A7" s="68"/>
      <c r="B7" s="50" t="s">
        <v>117</v>
      </c>
      <c r="C7" s="67">
        <v>8346249.7198099997</v>
      </c>
      <c r="D7" s="58">
        <f>IF(6422564.27315="","-",8346249.71981/6422564.27315*100)</f>
        <v>129.95198436085892</v>
      </c>
      <c r="E7" s="58">
        <v>100</v>
      </c>
      <c r="F7" s="58">
        <v>100</v>
      </c>
      <c r="G7" s="58">
        <f>IF(4848686.17434="","-",(6422564.27315-4848686.17434)/4848686.17434*100)</f>
        <v>32.459887941174799</v>
      </c>
      <c r="H7" s="58">
        <f>IF(6422564.27315="","-",(8346249.71981-6422564.27315)/6422564.27315*100)</f>
        <v>29.951984360858912</v>
      </c>
      <c r="I7" s="12"/>
      <c r="J7" s="12"/>
      <c r="K7" s="12"/>
      <c r="L7" s="12"/>
      <c r="M7" s="12"/>
    </row>
    <row r="8" spans="1:13" ht="13.5" customHeight="1" x14ac:dyDescent="0.25">
      <c r="A8" s="15" t="s">
        <v>207</v>
      </c>
      <c r="B8" s="16" t="s">
        <v>176</v>
      </c>
      <c r="C8" s="13">
        <v>829625.30056999996</v>
      </c>
      <c r="D8" s="21">
        <f>IF(685504.98739="","-",829625.30057/685504.98739*100)</f>
        <v>121.02396274733542</v>
      </c>
      <c r="E8" s="21">
        <f>IF(685504.98739="","-",685504.98739/6422564.27315*100)</f>
        <v>10.6733846207784</v>
      </c>
      <c r="F8" s="21">
        <f>IF(829625.30057="","-",829625.30057/8346249.71981*100)</f>
        <v>9.9400967910277931</v>
      </c>
      <c r="G8" s="21">
        <f>IF(4848686.17434="","-",(685504.98739-584817.29964)/4848686.17434*100)</f>
        <v>2.0765973323424172</v>
      </c>
      <c r="H8" s="21">
        <f>IF(6422564.27315="","-",(829625.30057-685504.98739)/6422564.27315*100)</f>
        <v>2.2439684065522778</v>
      </c>
    </row>
    <row r="9" spans="1:13" x14ac:dyDescent="0.25">
      <c r="A9" s="17" t="s">
        <v>208</v>
      </c>
      <c r="B9" s="18" t="s">
        <v>21</v>
      </c>
      <c r="C9" s="14">
        <v>8131.3</v>
      </c>
      <c r="D9" s="19">
        <f>IF(OR(5364.11596="",8131.3=""),"-",8131.3/5364.11596*100)</f>
        <v>151.58695413437707</v>
      </c>
      <c r="E9" s="19">
        <f>IF(5364.11596="","-",5364.11596/6422564.27315*100)</f>
        <v>8.3519848644023384E-2</v>
      </c>
      <c r="F9" s="19">
        <f>IF(8131.3="","-",8131.3/8346249.71981*100)</f>
        <v>9.7424595153200233E-2</v>
      </c>
      <c r="G9" s="19">
        <f>IF(OR(4848686.17434="",5838.76201="",5364.11596=""),"-",(5364.11596-5838.76201)/4848686.17434*100)</f>
        <v>-9.7891683011348696E-3</v>
      </c>
      <c r="H9" s="19">
        <f>IF(OR(6422564.27315="",8131.3="",5364.11596=""),"-",(8131.3-5364.11596)/6422564.27315*100)</f>
        <v>4.3085346013093488E-2</v>
      </c>
    </row>
    <row r="10" spans="1:13" ht="14.25" customHeight="1" x14ac:dyDescent="0.25">
      <c r="A10" s="17" t="s">
        <v>209</v>
      </c>
      <c r="B10" s="18" t="s">
        <v>177</v>
      </c>
      <c r="C10" s="14">
        <v>74174.386419999995</v>
      </c>
      <c r="D10" s="19">
        <f>IF(OR(58254.82188="",74174.38642=""),"-",74174.38642/58254.82188*100)</f>
        <v>127.32746239065489</v>
      </c>
      <c r="E10" s="19">
        <f>IF(58254.82188="","-",58254.82188/6422564.27315*100)</f>
        <v>0.90703369250096177</v>
      </c>
      <c r="F10" s="19">
        <f>IF(74174.38642="","-",74174.38642/8346249.71981*100)</f>
        <v>0.88871515842553239</v>
      </c>
      <c r="G10" s="19">
        <f>IF(OR(4848686.17434="",36980.56465="",58254.82188=""),"-",(58254.82188-36980.56465)/4848686.17434*100)</f>
        <v>0.43876333639794368</v>
      </c>
      <c r="H10" s="19">
        <f>IF(OR(6422564.27315="",74174.38642="",58254.82188=""),"-",(74174.38642-58254.82188)/6422564.27315*100)</f>
        <v>0.24786929118876858</v>
      </c>
    </row>
    <row r="11" spans="1:13" s="6" customFormat="1" x14ac:dyDescent="0.25">
      <c r="A11" s="17" t="s">
        <v>210</v>
      </c>
      <c r="B11" s="18" t="s">
        <v>178</v>
      </c>
      <c r="C11" s="14">
        <v>105812.30022999999</v>
      </c>
      <c r="D11" s="19">
        <f>IF(OR(85154.75639="",105812.30023=""),"-",105812.30023/85154.75639*100)</f>
        <v>124.25882559676475</v>
      </c>
      <c r="E11" s="19">
        <f>IF(85154.75639="","-",85154.75639/6422564.27315*100)</f>
        <v>1.3258684968867605</v>
      </c>
      <c r="F11" s="19">
        <f>IF(105812.30023="","-",105812.30023/8346249.71981*100)</f>
        <v>1.2677825823837054</v>
      </c>
      <c r="G11" s="19">
        <f>IF(OR(4848686.17434="",72051.46341="",85154.75639=""),"-",(85154.75639-72051.46341)/4848686.17434*100)</f>
        <v>0.27024419623906898</v>
      </c>
      <c r="H11" s="19">
        <f>IF(OR(6422564.27315="",105812.30023="",85154.75639=""),"-",(105812.30023-85154.75639)/6422564.27315*100)</f>
        <v>0.32164012630220573</v>
      </c>
    </row>
    <row r="12" spans="1:13" s="6" customFormat="1" x14ac:dyDescent="0.25">
      <c r="A12" s="17" t="s">
        <v>211</v>
      </c>
      <c r="B12" s="18" t="s">
        <v>179</v>
      </c>
      <c r="C12" s="14">
        <v>72531.054860000004</v>
      </c>
      <c r="D12" s="19">
        <f>IF(OR(67649.18292="",72531.05486=""),"-",72531.05486/67649.18292*100)</f>
        <v>107.21645366474442</v>
      </c>
      <c r="E12" s="19">
        <f>IF(67649.18292="","-",67649.18292/6422564.27315*100)</f>
        <v>1.0533048801521905</v>
      </c>
      <c r="F12" s="19">
        <f>IF(72531.05486="","-",72531.05486/8346249.71981*100)</f>
        <v>0.86902569770763061</v>
      </c>
      <c r="G12" s="19">
        <f>IF(OR(4848686.17434="",52511.17669="",67649.18292=""),"-",(67649.18292-52511.17669)/4848686.17434*100)</f>
        <v>0.31220841452087955</v>
      </c>
      <c r="H12" s="19">
        <f>IF(OR(6422564.27315="",72531.05486="",67649.18292=""),"-",(72531.05486-67649.18292)/6422564.27315*100)</f>
        <v>7.6011258624674574E-2</v>
      </c>
    </row>
    <row r="13" spans="1:13" s="6" customFormat="1" ht="14.25" customHeight="1" x14ac:dyDescent="0.25">
      <c r="A13" s="17" t="s">
        <v>212</v>
      </c>
      <c r="B13" s="18" t="s">
        <v>180</v>
      </c>
      <c r="C13" s="14">
        <v>145376.01592000001</v>
      </c>
      <c r="D13" s="19">
        <f>IF(OR(93228.92699="",145376.01592=""),"-",145376.01592/93228.92699*100)</f>
        <v>155.93445147726891</v>
      </c>
      <c r="E13" s="19">
        <f>IF(93228.92699="","-",93228.92699/6422564.27315*100)</f>
        <v>1.4515841807881995</v>
      </c>
      <c r="F13" s="19">
        <f>IF(145376.01592="","-",145376.01592/8346249.71981*100)</f>
        <v>1.7418124403221122</v>
      </c>
      <c r="G13" s="19">
        <f>IF(OR(4848686.17434="",89764.20146="",93228.92699=""),"-",(93228.92699-89764.20146)/4848686.17434*100)</f>
        <v>7.1456996914666809E-2</v>
      </c>
      <c r="H13" s="19">
        <f>IF(OR(6422564.27315="",145376.01592="",93228.92699=""),"-",(145376.01592-93228.92699)/6422564.27315*100)</f>
        <v>0.81193564925468675</v>
      </c>
    </row>
    <row r="14" spans="1:13" s="6" customFormat="1" ht="14.25" customHeight="1" x14ac:dyDescent="0.25">
      <c r="A14" s="17" t="s">
        <v>213</v>
      </c>
      <c r="B14" s="18" t="s">
        <v>181</v>
      </c>
      <c r="C14" s="14">
        <v>167693.18654</v>
      </c>
      <c r="D14" s="19">
        <f>IF(OR(154405.95412="",167693.18654=""),"-",167693.18654/154405.95412*100)</f>
        <v>108.60538863007415</v>
      </c>
      <c r="E14" s="19">
        <f>IF(154405.95412="","-",154405.95412/6422564.27315*100)</f>
        <v>2.4041169158167155</v>
      </c>
      <c r="F14" s="19">
        <f>IF(167693.18654="","-",167693.18654/8346249.71981*100)</f>
        <v>2.0092040397734166</v>
      </c>
      <c r="G14" s="19">
        <f>IF(OR(4848686.17434="",150020.60171="",154405.95412=""),"-",(154405.95412-150020.60171)/4848686.17434*100)</f>
        <v>9.0444137902922786E-2</v>
      </c>
      <c r="H14" s="19">
        <f>IF(OR(6422564.27315="",167693.18654="",154405.95412=""),"-",(167693.18654-154405.95412)/6422564.27315*100)</f>
        <v>0.20688360372738088</v>
      </c>
    </row>
    <row r="15" spans="1:13" s="6" customFormat="1" ht="25.5" x14ac:dyDescent="0.25">
      <c r="A15" s="17" t="s">
        <v>214</v>
      </c>
      <c r="B15" s="18" t="s">
        <v>139</v>
      </c>
      <c r="C15" s="14">
        <v>21164.591530000002</v>
      </c>
      <c r="D15" s="19">
        <f>IF(OR(16844.16351="",21164.59153=""),"-",21164.59153/16844.16351*100)</f>
        <v>125.64940679562426</v>
      </c>
      <c r="E15" s="19">
        <f>IF(16844.16351="","-",16844.16351/6422564.27315*100)</f>
        <v>0.26226539421984857</v>
      </c>
      <c r="F15" s="19">
        <f>IF(21164.59153="","-",21164.59153/8346249.71981*100)</f>
        <v>0.25358205470135164</v>
      </c>
      <c r="G15" s="19">
        <f>IF(OR(4848686.17434="",15229.28451="",16844.16351=""),"-",(16844.16351-15229.28451)/4848686.17434*100)</f>
        <v>3.3305496415630881E-2</v>
      </c>
      <c r="H15" s="19">
        <f>IF(OR(6422564.27315="",21164.59153="",16844.16351=""),"-",(21164.59153-16844.16351)/6422564.27315*100)</f>
        <v>6.7269517847596619E-2</v>
      </c>
    </row>
    <row r="16" spans="1:13" s="6" customFormat="1" ht="25.5" x14ac:dyDescent="0.25">
      <c r="A16" s="17" t="s">
        <v>215</v>
      </c>
      <c r="B16" s="18" t="s">
        <v>182</v>
      </c>
      <c r="C16" s="14">
        <v>67702.444810000001</v>
      </c>
      <c r="D16" s="19">
        <f>IF(OR(61550.33954="",67702.44481=""),"-",67702.44481/61550.33954*100)</f>
        <v>109.99524180691465</v>
      </c>
      <c r="E16" s="19">
        <f>IF(61550.33954="","-",61550.33954/6422564.27315*100)</f>
        <v>0.95834524844407876</v>
      </c>
      <c r="F16" s="19">
        <f>IF(67702.44481="","-",67702.44481/8346249.71981*100)</f>
        <v>0.81117204831898126</v>
      </c>
      <c r="G16" s="19">
        <f>IF(OR(4848686.17434="",51808.0332="",61550.33954=""),"-",(61550.33954-51808.0332)/4848686.17434*100)</f>
        <v>0.200926725090145</v>
      </c>
      <c r="H16" s="19">
        <f>IF(OR(6422564.27315="",67702.44481="",61550.33954=""),"-",(67702.44481-61550.33954)/6422564.27315*100)</f>
        <v>9.5788924927062646E-2</v>
      </c>
    </row>
    <row r="17" spans="1:8" s="6" customFormat="1" ht="25.5" x14ac:dyDescent="0.25">
      <c r="A17" s="17" t="s">
        <v>216</v>
      </c>
      <c r="B17" s="18" t="s">
        <v>140</v>
      </c>
      <c r="C17" s="14">
        <v>52827.764459999999</v>
      </c>
      <c r="D17" s="19">
        <f>IF(OR(43804.47536="",52827.76446=""),"-",52827.76446/43804.47536*100)</f>
        <v>120.59901191794573</v>
      </c>
      <c r="E17" s="19">
        <f>IF(43804.47536="","-",43804.47536/6422564.27315*100)</f>
        <v>0.68204028012810736</v>
      </c>
      <c r="F17" s="19">
        <f>IF(52827.76446="","-",52827.76446/8346249.71981*100)</f>
        <v>0.63295211901714599</v>
      </c>
      <c r="G17" s="19">
        <f>IF(OR(4848686.17434="",35373.35135="",43804.47536=""),"-",(43804.47536-35373.35135)/4848686.17434*100)</f>
        <v>0.17388471241176251</v>
      </c>
      <c r="H17" s="19">
        <f>IF(OR(6422564.27315="",52827.76446="",43804.47536=""),"-",(52827.76446-43804.47536)/6422564.27315*100)</f>
        <v>0.14049355858877929</v>
      </c>
    </row>
    <row r="18" spans="1:8" s="6" customFormat="1" ht="15" customHeight="1" x14ac:dyDescent="0.25">
      <c r="A18" s="17" t="s">
        <v>217</v>
      </c>
      <c r="B18" s="18" t="s">
        <v>183</v>
      </c>
      <c r="C18" s="14">
        <v>114212.2558</v>
      </c>
      <c r="D18" s="19">
        <f>IF(OR(99248.25072="",114212.2558=""),"-",114212.2558/99248.25072*100)</f>
        <v>115.07734894211545</v>
      </c>
      <c r="E18" s="19">
        <f>IF(99248.25072="","-",99248.25072/6422564.27315*100)</f>
        <v>1.5453056831975132</v>
      </c>
      <c r="F18" s="19">
        <f>IF(114212.2558="","-",114212.2558/8346249.71981*100)</f>
        <v>1.3684260552247174</v>
      </c>
      <c r="G18" s="19">
        <f>IF(OR(4848686.17434="",75239.86065="",99248.25072=""),"-",(99248.25072-75239.86065)/4848686.17434*100)</f>
        <v>0.49515248475053136</v>
      </c>
      <c r="H18" s="19">
        <f>IF(OR(6422564.27315="",114212.2558="",99248.25072=""),"-",(114212.2558-99248.25072)/6422564.27315*100)</f>
        <v>0.2329911300780301</v>
      </c>
    </row>
    <row r="19" spans="1:8" s="6" customFormat="1" x14ac:dyDescent="0.25">
      <c r="A19" s="15" t="s">
        <v>218</v>
      </c>
      <c r="B19" s="16" t="s">
        <v>184</v>
      </c>
      <c r="C19" s="13">
        <v>120039.85511999999</v>
      </c>
      <c r="D19" s="21">
        <f>IF(118673.16097="","-",120039.85512/118673.16097*100)</f>
        <v>101.151645526949</v>
      </c>
      <c r="E19" s="21">
        <f>IF(118673.16097="","-",118673.16097/6422564.27315*100)</f>
        <v>1.8477535750965053</v>
      </c>
      <c r="F19" s="21">
        <f>IF(120039.85512="","-",120039.85512/8346249.71981*100)</f>
        <v>1.4382490238110521</v>
      </c>
      <c r="G19" s="21">
        <f>IF(4848686.17434="","-",(118673.16097-94588.41936)/4848686.17434*100)</f>
        <v>0.49672716987666032</v>
      </c>
      <c r="H19" s="21">
        <f>IF(6422564.27315="","-",(120039.85512-118673.16097)/6422564.27315*100)</f>
        <v>2.1279571396639201E-2</v>
      </c>
    </row>
    <row r="20" spans="1:8" s="6" customFormat="1" x14ac:dyDescent="0.25">
      <c r="A20" s="17" t="s">
        <v>219</v>
      </c>
      <c r="B20" s="18" t="s">
        <v>185</v>
      </c>
      <c r="C20" s="14">
        <v>76118.529509999993</v>
      </c>
      <c r="D20" s="19">
        <f>IF(OR(71023.84641="",76118.52951=""),"-",76118.52951/71023.84641*100)</f>
        <v>107.17320077342738</v>
      </c>
      <c r="E20" s="19">
        <f>IF(71023.84641="","-",71023.84641/6422564.27315*100)</f>
        <v>1.1058487449774601</v>
      </c>
      <c r="F20" s="19">
        <f>IF(76118.52951="","-",76118.52951/8346249.71981*100)</f>
        <v>0.91200877118894563</v>
      </c>
      <c r="G20" s="19">
        <f>IF(OR(4848686.17434="",47954.08944="",71023.84641=""),"-",(71023.84641-47954.08944)/4848686.17434*100)</f>
        <v>0.47579398089504599</v>
      </c>
      <c r="H20" s="19">
        <f>IF(OR(6422564.27315="",76118.52951="",71023.84641=""),"-",(76118.52951-71023.84641)/6422564.27315*100)</f>
        <v>7.932475072766014E-2</v>
      </c>
    </row>
    <row r="21" spans="1:8" s="6" customFormat="1" x14ac:dyDescent="0.25">
      <c r="A21" s="17" t="s">
        <v>220</v>
      </c>
      <c r="B21" s="18" t="s">
        <v>186</v>
      </c>
      <c r="C21" s="14">
        <v>43921.32561</v>
      </c>
      <c r="D21" s="19">
        <f>IF(OR(47649.31456="",43921.32561=""),"-",43921.32561/47649.31456*100)</f>
        <v>92.176196059849474</v>
      </c>
      <c r="E21" s="19">
        <f>IF(47649.31456="","-",47649.31456/6422564.27315*100)</f>
        <v>0.74190483011904518</v>
      </c>
      <c r="F21" s="19">
        <f>IF(43921.32561="","-",43921.32561/8346249.71981*100)</f>
        <v>0.5262402526221065</v>
      </c>
      <c r="G21" s="19">
        <f>IF(OR(4848686.17434="",46634.32992="",47649.31456=""),"-",(47649.31456-46634.32992)/4848686.17434*100)</f>
        <v>2.0933188981614413E-2</v>
      </c>
      <c r="H21" s="19">
        <f>IF(OR(6422564.27315="",43921.32561="",47649.31456=""),"-",(43921.32561-47649.31456)/6422564.27315*100)</f>
        <v>-5.8045179331020949E-2</v>
      </c>
    </row>
    <row r="22" spans="1:8" s="6" customFormat="1" ht="25.5" x14ac:dyDescent="0.25">
      <c r="A22" s="15" t="s">
        <v>221</v>
      </c>
      <c r="B22" s="16" t="s">
        <v>22</v>
      </c>
      <c r="C22" s="13">
        <v>254979.73585</v>
      </c>
      <c r="D22" s="21">
        <f>IF(172185.39731="","-",254979.73585/172185.39731*100)</f>
        <v>148.08441356437348</v>
      </c>
      <c r="E22" s="21">
        <f>IF(172185.39731="","-",172185.39731/6422564.27315*100)</f>
        <v>2.6809447128436479</v>
      </c>
      <c r="F22" s="21">
        <f>IF(254979.73585="","-",254979.73585/8346249.71981*100)</f>
        <v>3.0550216493618709</v>
      </c>
      <c r="G22" s="21">
        <f>IF(4848686.17434="","-",(172185.39731-127218.07768)/4848686.17434*100)</f>
        <v>0.92741245799684935</v>
      </c>
      <c r="H22" s="21">
        <f>IF(6422564.27315="","-",(254979.73585-172185.39731)/6422564.27315*100)</f>
        <v>1.2891165431559446</v>
      </c>
    </row>
    <row r="23" spans="1:8" s="6" customFormat="1" ht="16.5" customHeight="1" x14ac:dyDescent="0.25">
      <c r="A23" s="45" t="s">
        <v>222</v>
      </c>
      <c r="B23" s="18" t="s">
        <v>378</v>
      </c>
      <c r="C23" s="14">
        <v>6.9120000000000001E-2</v>
      </c>
      <c r="D23" s="19">
        <f>IF(OR(15.41886="",0.06912=""),"-",0.06912/15.41886*100)</f>
        <v>0.44828216872064469</v>
      </c>
      <c r="E23" s="19">
        <f>IF(15.41886="","-",15.41886/6422564.27315*100)</f>
        <v>2.4007326893495909E-4</v>
      </c>
      <c r="F23" s="19">
        <f>IF(0.06912="","-",0.06912/8346249.71981*100)</f>
        <v>8.2815638544749295E-7</v>
      </c>
      <c r="G23" s="19">
        <f>IF(OR(4848686.17434="",7.6099="",15.41886=""),"-",(15.41886-7.6099)/4848686.17434*100)</f>
        <v>1.61053112517907E-4</v>
      </c>
      <c r="H23" s="19">
        <f>IF(OR(6422564.27315="",0.06912="",15.41886=""),"-",(0.06912-15.41886)/6422564.27315*100)</f>
        <v>-2.3899706327845893E-4</v>
      </c>
    </row>
    <row r="24" spans="1:8" s="6" customFormat="1" x14ac:dyDescent="0.25">
      <c r="A24" s="17" t="s">
        <v>223</v>
      </c>
      <c r="B24" s="18" t="s">
        <v>187</v>
      </c>
      <c r="C24" s="14">
        <v>125779.39573</v>
      </c>
      <c r="D24" s="19" t="s">
        <v>304</v>
      </c>
      <c r="E24" s="19">
        <f>IF(45387.06436="","-",45387.06436/6422564.27315*100)</f>
        <v>0.70668135700477053</v>
      </c>
      <c r="F24" s="19">
        <f>IF(125779.39573="","-",125779.39573/8346249.71981*100)</f>
        <v>1.5070169231991699</v>
      </c>
      <c r="G24" s="19">
        <f>IF(OR(4848686.17434="",32952.16148="",45387.06436=""),"-",(45387.06436-32952.16148)/4848686.17434*100)</f>
        <v>0.25645922282632827</v>
      </c>
      <c r="H24" s="19">
        <f>IF(OR(6422564.27315="",125779.39573="",45387.06436=""),"-",(125779.39573-45387.06436)/6422564.27315*100)</f>
        <v>1.251717039346512</v>
      </c>
    </row>
    <row r="25" spans="1:8" s="6" customFormat="1" ht="25.5" x14ac:dyDescent="0.25">
      <c r="A25" s="17" t="s">
        <v>276</v>
      </c>
      <c r="B25" s="18" t="s">
        <v>188</v>
      </c>
      <c r="C25" s="14">
        <v>4088.8945899999999</v>
      </c>
      <c r="D25" s="19">
        <f>IF(OR(2588.29931="",4088.89459=""),"-",4088.89459/2588.29931*100)</f>
        <v>157.97611096222099</v>
      </c>
      <c r="E25" s="19">
        <f>IF(2588.29931="","-",2588.29931/6422564.27315*100)</f>
        <v>4.0300091986943204E-2</v>
      </c>
      <c r="F25" s="19">
        <f>IF(4088.89459="","-",4088.89459/8346249.71981*100)</f>
        <v>4.8990800985680094E-2</v>
      </c>
      <c r="G25" s="19">
        <f>IF(OR(4848686.17434="",1322.07269="",2588.29931=""),"-",(2588.29931-1322.07269)/4848686.17434*100)</f>
        <v>2.6114839659062031E-2</v>
      </c>
      <c r="H25" s="19">
        <f>IF(OR(6422564.27315="",4088.89459="",2588.29931=""),"-",(4088.89459-2588.29931)/6422564.27315*100)</f>
        <v>2.3364426048227319E-2</v>
      </c>
    </row>
    <row r="26" spans="1:8" s="6" customFormat="1" ht="14.25" customHeight="1" x14ac:dyDescent="0.25">
      <c r="A26" s="17" t="s">
        <v>224</v>
      </c>
      <c r="B26" s="18" t="s">
        <v>189</v>
      </c>
      <c r="C26" s="14">
        <v>52720.644650000002</v>
      </c>
      <c r="D26" s="19">
        <f>IF(OR(52509.65118="",52720.64465=""),"-",52720.64465/52509.65118*100)</f>
        <v>100.40181845671898</v>
      </c>
      <c r="E26" s="19">
        <f>IF(52509.65118="","-",52509.65118/6422564.27315*100)</f>
        <v>0.81758078155045388</v>
      </c>
      <c r="F26" s="19">
        <f>IF(52720.64465="","-",52720.64465/8346249.71981*100)</f>
        <v>0.63166867059904097</v>
      </c>
      <c r="G26" s="19">
        <f>IF(OR(4848686.17434="",36620.01221="",52509.65118=""),"-",(52509.65118-36620.01221)/4848686.17434*100)</f>
        <v>0.32771019609580909</v>
      </c>
      <c r="H26" s="19">
        <f>IF(OR(6422564.27315="",52720.64465="",52509.65118=""),"-",(52720.64465-52509.65118)/6422564.27315*100)</f>
        <v>3.2851904788570962E-3</v>
      </c>
    </row>
    <row r="27" spans="1:8" s="6" customFormat="1" x14ac:dyDescent="0.25">
      <c r="A27" s="17" t="s">
        <v>225</v>
      </c>
      <c r="B27" s="18" t="s">
        <v>141</v>
      </c>
      <c r="C27" s="14">
        <v>658.96601999999996</v>
      </c>
      <c r="D27" s="19">
        <f>IF(OR(560.6359="",658.96602=""),"-",658.96602/560.6359*100)</f>
        <v>117.53903380072521</v>
      </c>
      <c r="E27" s="19">
        <f>IF(560.6359="","-",560.6359/6422564.27315*100)</f>
        <v>8.7291598208488058E-3</v>
      </c>
      <c r="F27" s="19">
        <f>IF(658.96602="","-",658.96602/8346249.71981*100)</f>
        <v>7.8953547056701424E-3</v>
      </c>
      <c r="G27" s="19">
        <f>IF(OR(4848686.17434="",456.59706="",560.6359=""),"-",(560.6359-456.59706)/4848686.17434*100)</f>
        <v>2.1457119776196218E-3</v>
      </c>
      <c r="H27" s="19">
        <f>IF(OR(6422564.27315="",658.96602="",560.6359=""),"-",(658.96602-560.6359)/6422564.27315*100)</f>
        <v>1.5310102914979961E-3</v>
      </c>
    </row>
    <row r="28" spans="1:8" s="6" customFormat="1" ht="41.25" customHeight="1" x14ac:dyDescent="0.25">
      <c r="A28" s="17" t="s">
        <v>226</v>
      </c>
      <c r="B28" s="18" t="s">
        <v>142</v>
      </c>
      <c r="C28" s="14">
        <v>7991.1708399999998</v>
      </c>
      <c r="D28" s="19">
        <f>IF(OR(9625.86952="",7991.17084=""),"-",7991.17084/9625.86952*100)</f>
        <v>83.017651791315785</v>
      </c>
      <c r="E28" s="19">
        <f>IF(9625.86952="","-",9625.86952/6422564.27315*100)</f>
        <v>0.14987579898953526</v>
      </c>
      <c r="F28" s="19">
        <f>IF(7991.17084="","-",7991.17084/8346249.71981*100)</f>
        <v>9.5745647545541171E-2</v>
      </c>
      <c r="G28" s="19">
        <f>IF(OR(4848686.17434="",7148.94516="",9625.86952=""),"-",(9625.86952-7148.94516)/4848686.17434*100)</f>
        <v>5.1084443722265803E-2</v>
      </c>
      <c r="H28" s="19">
        <f>IF(OR(6422564.27315="",7991.17084="",9625.86952=""),"-",(7991.17084-9625.86952)/6422564.27315*100)</f>
        <v>-2.5452430064950501E-2</v>
      </c>
    </row>
    <row r="29" spans="1:8" s="6" customFormat="1" ht="38.25" x14ac:dyDescent="0.25">
      <c r="A29" s="17" t="s">
        <v>227</v>
      </c>
      <c r="B29" s="18" t="s">
        <v>143</v>
      </c>
      <c r="C29" s="14">
        <v>21040.746910000002</v>
      </c>
      <c r="D29" s="19">
        <f>IF(OR(18014.69506="",21040.74691=""),"-",21040.74691/18014.69506*100)</f>
        <v>116.79768566673702</v>
      </c>
      <c r="E29" s="19">
        <f>IF(18014.69506="","-",18014.69506/6422564.27315*100)</f>
        <v>0.28049069334053611</v>
      </c>
      <c r="F29" s="19">
        <f>IF(21040.74691="","-",21040.74691/8346249.71981*100)</f>
        <v>0.25209821915655534</v>
      </c>
      <c r="G29" s="19">
        <f>IF(OR(4848686.17434="",16558.60145="",18014.69506=""),"-",(18014.69506-16558.60145)/4848686.17434*100)</f>
        <v>3.0030683728426748E-2</v>
      </c>
      <c r="H29" s="19">
        <f>IF(OR(6422564.27315="",21040.74691="",18014.69506=""),"-",(21040.74691-18014.69506)/6422564.27315*100)</f>
        <v>4.7115944991794556E-2</v>
      </c>
    </row>
    <row r="30" spans="1:8" s="6" customFormat="1" ht="25.5" x14ac:dyDescent="0.25">
      <c r="A30" s="17" t="s">
        <v>228</v>
      </c>
      <c r="B30" s="18" t="s">
        <v>144</v>
      </c>
      <c r="C30" s="14">
        <v>2478.2460999999998</v>
      </c>
      <c r="D30" s="19" t="s">
        <v>18</v>
      </c>
      <c r="E30" s="19">
        <f>IF(1214.34265="","-",1214.34265/6422564.27315*100)</f>
        <v>1.8907442547155946E-2</v>
      </c>
      <c r="F30" s="19">
        <f>IF(2478.2461="","-",2478.2461/8346249.71981*100)</f>
        <v>2.9692930156616698E-2</v>
      </c>
      <c r="G30" s="19">
        <f>IF(OR(4848686.17434="",1503.00056="",1214.34265=""),"-",(1214.34265-1503.00056)/4848686.17434*100)</f>
        <v>-5.953322191228262E-3</v>
      </c>
      <c r="H30" s="19">
        <f>IF(OR(6422564.27315="",2478.2461="",1214.34265=""),"-",(2478.2461-1214.34265)/6422564.27315*100)</f>
        <v>1.9679109406251342E-2</v>
      </c>
    </row>
    <row r="31" spans="1:8" s="6" customFormat="1" ht="25.5" x14ac:dyDescent="0.25">
      <c r="A31" s="17" t="s">
        <v>229</v>
      </c>
      <c r="B31" s="18" t="s">
        <v>145</v>
      </c>
      <c r="C31" s="14">
        <v>40221.601889999998</v>
      </c>
      <c r="D31" s="19">
        <f>IF(OR(42269.42047="",40221.60189=""),"-",40221.60189/42269.42047*100)</f>
        <v>95.155319005489076</v>
      </c>
      <c r="E31" s="19">
        <f>IF(42269.42047="","-",42269.42047/6422564.27315*100)</f>
        <v>0.65813931433446926</v>
      </c>
      <c r="F31" s="19">
        <f>IF(40221.60189="","-",40221.60189/8346249.71981*100)</f>
        <v>0.48191227485721133</v>
      </c>
      <c r="G31" s="19">
        <f>IF(OR(4848686.17434="",30649.07717="",42269.42047=""),"-",(42269.42047-30649.07717)/4848686.17434*100)</f>
        <v>0.23965962906604796</v>
      </c>
      <c r="H31" s="19">
        <f>IF(OR(6422564.27315="",40221.60189="",42269.42047=""),"-",(40221.60189-42269.42047)/6422564.27315*100)</f>
        <v>-3.1884750278966527E-2</v>
      </c>
    </row>
    <row r="32" spans="1:8" s="6" customFormat="1" ht="25.5" x14ac:dyDescent="0.25">
      <c r="A32" s="15" t="s">
        <v>230</v>
      </c>
      <c r="B32" s="16" t="s">
        <v>146</v>
      </c>
      <c r="C32" s="13">
        <v>2292522.7295900001</v>
      </c>
      <c r="D32" s="21" t="s">
        <v>345</v>
      </c>
      <c r="E32" s="21">
        <f>IF(928958.3902="","-",928958.3902/6422564.27315*100)</f>
        <v>14.463979661263625</v>
      </c>
      <c r="F32" s="21">
        <f>IF(2292522.72959="","-",2292522.72959/8346249.71981*100)</f>
        <v>27.467698745565315</v>
      </c>
      <c r="G32" s="21">
        <f>IF(4848686.17434="","-",(928958.3902-522828.27531)/4848686.17434*100)</f>
        <v>8.3760858155618241</v>
      </c>
      <c r="H32" s="21">
        <f>IF(6422564.27315="","-",(2292522.72959-928958.3902)/6422564.27315*100)</f>
        <v>21.230839916861257</v>
      </c>
    </row>
    <row r="33" spans="1:8" s="6" customFormat="1" x14ac:dyDescent="0.25">
      <c r="A33" s="17" t="s">
        <v>231</v>
      </c>
      <c r="B33" s="18" t="s">
        <v>190</v>
      </c>
      <c r="C33" s="14">
        <v>34772.160199999998</v>
      </c>
      <c r="D33" s="19" t="s">
        <v>18</v>
      </c>
      <c r="E33" s="19">
        <f>IF(17460.31753="","-",17460.31753/6422564.27315*100)</f>
        <v>0.27185897699761663</v>
      </c>
      <c r="F33" s="19">
        <f>IF(34772.1602="","-",34772.1602/8346249.71981*100)</f>
        <v>0.41662017513647531</v>
      </c>
      <c r="G33" s="19">
        <f>IF(OR(4848686.17434="",13679.85516="",17460.31753=""),"-",(17460.31753-13679.85516)/4848686.17434*100)</f>
        <v>7.7968798847135021E-2</v>
      </c>
      <c r="H33" s="19">
        <f>IF(OR(6422564.27315="",34772.1602="",17460.31753=""),"-",(34772.1602-17460.31753)/6422564.27315*100)</f>
        <v>0.26954720783991876</v>
      </c>
    </row>
    <row r="34" spans="1:8" s="6" customFormat="1" ht="25.5" x14ac:dyDescent="0.25">
      <c r="A34" s="17" t="s">
        <v>232</v>
      </c>
      <c r="B34" s="18" t="s">
        <v>147</v>
      </c>
      <c r="C34" s="14">
        <v>1383357.6090299999</v>
      </c>
      <c r="D34" s="19" t="s">
        <v>282</v>
      </c>
      <c r="E34" s="19">
        <f>IF(577197.6305="","-",577197.6305/6422564.27315*100)</f>
        <v>8.9870277034519823</v>
      </c>
      <c r="F34" s="19">
        <f>IF(1383357.60903="","-",1383357.60903/8346249.71981*100)</f>
        <v>16.574601233732217</v>
      </c>
      <c r="G34" s="19">
        <f>IF(OR(4848686.17434="",337998.26198="",577197.6305=""),"-",(577197.6305-337998.26198)/4848686.17434*100)</f>
        <v>4.9332821287935715</v>
      </c>
      <c r="H34" s="19">
        <f>IF(OR(6422564.27315="",1383357.60903="",577197.6305=""),"-",(1383357.60903-577197.6305)/6422564.27315*100)</f>
        <v>12.551995499682436</v>
      </c>
    </row>
    <row r="35" spans="1:8" s="6" customFormat="1" ht="25.5" x14ac:dyDescent="0.25">
      <c r="A35" s="17" t="s">
        <v>277</v>
      </c>
      <c r="B35" s="18" t="s">
        <v>191</v>
      </c>
      <c r="C35" s="14">
        <v>744168.16879999998</v>
      </c>
      <c r="D35" s="19" t="s">
        <v>349</v>
      </c>
      <c r="E35" s="19">
        <f>IF(326579.19044="","-",326579.19044/6422564.27315*100)</f>
        <v>5.0848722807693525</v>
      </c>
      <c r="F35" s="19">
        <f>IF(744168.1688="","-",744168.1688/8346249.71981*100)</f>
        <v>8.9161982181494182</v>
      </c>
      <c r="G35" s="19">
        <f>IF(OR(4848686.17434="",162035.15635="",326579.19044=""),"-",(326579.19044-162035.15635)/4848686.17434*100)</f>
        <v>3.3935797899396443</v>
      </c>
      <c r="H35" s="19">
        <f>IF(OR(6422564.27315="",744168.1688="",326579.19044=""),"-",(744168.1688-326579.19044)/6422564.27315*100)</f>
        <v>6.5019042332633603</v>
      </c>
    </row>
    <row r="36" spans="1:8" s="6" customFormat="1" x14ac:dyDescent="0.25">
      <c r="A36" s="17" t="s">
        <v>283</v>
      </c>
      <c r="B36" s="18" t="s">
        <v>285</v>
      </c>
      <c r="C36" s="14">
        <v>130224.79156</v>
      </c>
      <c r="D36" s="19" t="s">
        <v>409</v>
      </c>
      <c r="E36" s="19">
        <f>IF(7721.25173="","-",7721.25173/6422564.27315*100)</f>
        <v>0.1202207000446731</v>
      </c>
      <c r="F36" s="19">
        <f>IF(130224.79156="","-",130224.79156/8346249.71981*100)</f>
        <v>1.5602791185472047</v>
      </c>
      <c r="G36" s="19">
        <f>IF(OR(4848686.17434="",9115.00182="",7721.25173=""),"-",(7721.25173-9115.00182)/4848686.17434*100)</f>
        <v>-2.8744902018529091E-2</v>
      </c>
      <c r="H36" s="19">
        <f>IF(OR(6422564.27315="",130224.79156="",7721.25173=""),"-",(130224.79156-7721.25173)/6422564.27315*100)</f>
        <v>1.9073929760755375</v>
      </c>
    </row>
    <row r="37" spans="1:8" s="6" customFormat="1" ht="25.5" x14ac:dyDescent="0.25">
      <c r="A37" s="15" t="s">
        <v>233</v>
      </c>
      <c r="B37" s="16" t="s">
        <v>148</v>
      </c>
      <c r="C37" s="13">
        <v>60256.665950000002</v>
      </c>
      <c r="D37" s="21" t="s">
        <v>410</v>
      </c>
      <c r="E37" s="21">
        <f>IF(12938.08304="","-",12938.08304/6422564.27315*100)</f>
        <v>0.20144731122565177</v>
      </c>
      <c r="F37" s="21">
        <f>IF(60256.66595="","-",60256.66595/8346249.71981*100)</f>
        <v>0.72196097616129962</v>
      </c>
      <c r="G37" s="21">
        <f>IF(4848686.17434="","-",(12938.08304-10607.9755)/4848686.17434*100)</f>
        <v>4.805647254159879E-2</v>
      </c>
      <c r="H37" s="21">
        <f>IF(6422564.27315="","-",(60256.66595-12938.08304)/6422564.27315*100)</f>
        <v>0.7367553036069846</v>
      </c>
    </row>
    <row r="38" spans="1:8" s="6" customFormat="1" x14ac:dyDescent="0.25">
      <c r="A38" s="17" t="s">
        <v>234</v>
      </c>
      <c r="B38" s="18" t="s">
        <v>194</v>
      </c>
      <c r="C38" s="14">
        <v>2410.0877500000001</v>
      </c>
      <c r="D38" s="19">
        <f>IF(OR(1886.5325="",2410.08775=""),"-",2410.08775/1886.5325*100)</f>
        <v>127.75225181649404</v>
      </c>
      <c r="E38" s="19">
        <f>IF(1886.5325="","-",1886.5325/6422564.27315*100)</f>
        <v>2.9373509080894485E-2</v>
      </c>
      <c r="F38" s="19">
        <f>IF(2410.08775="","-",2410.08775/8346249.71981*100)</f>
        <v>2.8876295712547472E-2</v>
      </c>
      <c r="G38" s="19">
        <f>IF(OR(4848686.17434="",1538.71262="",1886.5325=""),"-",(1886.5325-1538.71262)/4848686.17434*100)</f>
        <v>7.1734871570100127E-3</v>
      </c>
      <c r="H38" s="19">
        <f>IF(OR(6422564.27315="",2410.08775="",1886.5325=""),"-",(2410.08775-1886.5325)/6422564.27315*100)</f>
        <v>8.1518102074705761E-3</v>
      </c>
    </row>
    <row r="39" spans="1:8" s="6" customFormat="1" ht="25.5" x14ac:dyDescent="0.25">
      <c r="A39" s="17" t="s">
        <v>235</v>
      </c>
      <c r="B39" s="18" t="s">
        <v>149</v>
      </c>
      <c r="C39" s="14">
        <v>54595.267549999997</v>
      </c>
      <c r="D39" s="19" t="s">
        <v>392</v>
      </c>
      <c r="E39" s="19">
        <f>IF(9063.03097="","-",9063.03097/6422564.27315*100)</f>
        <v>0.14111234367694325</v>
      </c>
      <c r="F39" s="19">
        <f>IF(54595.26755="","-",54595.26755/8346249.71981*100)</f>
        <v>0.65412933212886004</v>
      </c>
      <c r="G39" s="19">
        <f>IF(OR(4848686.17434="",7492.63144="",9063.03097=""),"-",(9063.03097-7492.63144)/4848686.17434*100)</f>
        <v>3.2388145438465327E-2</v>
      </c>
      <c r="H39" s="19">
        <f>IF(OR(6422564.27315="",54595.26755="",9063.03097=""),"-",(54595.26755-9063.03097)/6422564.27315*100)</f>
        <v>0.70894170371094367</v>
      </c>
    </row>
    <row r="40" spans="1:8" s="6" customFormat="1" ht="66" customHeight="1" x14ac:dyDescent="0.25">
      <c r="A40" s="17" t="s">
        <v>236</v>
      </c>
      <c r="B40" s="18" t="s">
        <v>192</v>
      </c>
      <c r="C40" s="14">
        <v>3251.3106499999999</v>
      </c>
      <c r="D40" s="19" t="s">
        <v>100</v>
      </c>
      <c r="E40" s="19">
        <f>IF(1988.51957="","-",1988.51957/6422564.27315*100)</f>
        <v>3.0961458467814042E-2</v>
      </c>
      <c r="F40" s="19">
        <f>IF(3251.31065="","-",3251.31065/8346249.71981*100)</f>
        <v>3.8955348319892058E-2</v>
      </c>
      <c r="G40" s="19">
        <f>IF(OR(4848686.17434="",1576.63144="",1988.51957=""),"-",(1988.51957-1576.63144)/4848686.17434*100)</f>
        <v>8.4948399461234614E-3</v>
      </c>
      <c r="H40" s="19">
        <f>IF(OR(6422564.27315="",3251.31065="",1988.51957=""),"-",(3251.31065-1988.51957)/6422564.27315*100)</f>
        <v>1.9661789688570193E-2</v>
      </c>
    </row>
    <row r="41" spans="1:8" s="6" customFormat="1" ht="25.5" x14ac:dyDescent="0.25">
      <c r="A41" s="15" t="s">
        <v>237</v>
      </c>
      <c r="B41" s="16" t="s">
        <v>150</v>
      </c>
      <c r="C41" s="13">
        <v>997568.85482999997</v>
      </c>
      <c r="D41" s="21">
        <f>IF(935300.4437="","-",997568.85483/935300.4437*100)</f>
        <v>106.65758383302691</v>
      </c>
      <c r="E41" s="21">
        <f>IF(935300.4437="","-",935300.4437/6422564.27315*100)</f>
        <v>14.562726100073329</v>
      </c>
      <c r="F41" s="21">
        <f>IF(997568.85483="","-",997568.85483/8346249.71981*100)</f>
        <v>11.952300593909253</v>
      </c>
      <c r="G41" s="21">
        <f>IF(4848686.17434="","-",(935300.4437-745490.96155)/4848686.17434*100)</f>
        <v>3.9146580192073719</v>
      </c>
      <c r="H41" s="21">
        <f>IF(6422564.27315="","-",(997568.85483-935300.4437)/6422564.27315*100)</f>
        <v>0.96952569848647008</v>
      </c>
    </row>
    <row r="42" spans="1:8" s="6" customFormat="1" x14ac:dyDescent="0.25">
      <c r="A42" s="17" t="s">
        <v>238</v>
      </c>
      <c r="B42" s="18" t="s">
        <v>23</v>
      </c>
      <c r="C42" s="14">
        <v>17482.29045</v>
      </c>
      <c r="D42" s="19">
        <f>IF(OR(13711.61808="",17482.29045=""),"-",17482.29045/13711.61808*100)</f>
        <v>127.49983516168648</v>
      </c>
      <c r="E42" s="19">
        <f>IF(13711.61808="","-",13711.61808/6422564.27315*100)</f>
        <v>0.2134913330073227</v>
      </c>
      <c r="F42" s="19">
        <f>IF(17482.29045="","-",17482.29045/8346249.71981*100)</f>
        <v>0.2094628250638777</v>
      </c>
      <c r="G42" s="19">
        <f>IF(OR(4848686.17434="",11364.53551="",13711.61808=""),"-",(13711.61808-11364.53551)/4848686.17434*100)</f>
        <v>4.8406567998174964E-2</v>
      </c>
      <c r="H42" s="19">
        <f>IF(OR(6422564.27315="",17482.29045="",13711.61808=""),"-",(17482.29045-13711.61808)/6422564.27315*100)</f>
        <v>5.8709764661500893E-2</v>
      </c>
    </row>
    <row r="43" spans="1:8" s="6" customFormat="1" x14ac:dyDescent="0.25">
      <c r="A43" s="17" t="s">
        <v>239</v>
      </c>
      <c r="B43" s="18" t="s">
        <v>24</v>
      </c>
      <c r="C43" s="14">
        <v>30879.14661</v>
      </c>
      <c r="D43" s="19" t="s">
        <v>91</v>
      </c>
      <c r="E43" s="19">
        <f>IF(14801.35787="","-",14801.35787/6422564.27315*100)</f>
        <v>0.23045869594296101</v>
      </c>
      <c r="F43" s="19">
        <f>IF(30879.14661="","-",30879.14661/8346249.71981*100)</f>
        <v>0.3699763084814931</v>
      </c>
      <c r="G43" s="19">
        <f>IF(OR(4848686.17434="",14391.37153="",14801.35787=""),"-",(14801.35787-14391.37153)/4848686.17434*100)</f>
        <v>8.4556171560393172E-3</v>
      </c>
      <c r="H43" s="19">
        <f>IF(OR(6422564.27315="",30879.14661="",14801.35787=""),"-",(30879.14661-14801.35787)/6422564.27315*100)</f>
        <v>0.25033285859379212</v>
      </c>
    </row>
    <row r="44" spans="1:8" s="6" customFormat="1" ht="17.25" customHeight="1" x14ac:dyDescent="0.25">
      <c r="A44" s="17" t="s">
        <v>240</v>
      </c>
      <c r="B44" s="18" t="s">
        <v>151</v>
      </c>
      <c r="C44" s="14">
        <v>47727.070769999998</v>
      </c>
      <c r="D44" s="19">
        <f>IF(OR(47630.88416="",47727.07077=""),"-",47727.07077/47630.88416*100)</f>
        <v>100.20194168488852</v>
      </c>
      <c r="E44" s="19">
        <f>IF(47630.88416="","-",47630.88416/6422564.27315*100)</f>
        <v>0.74161786685614661</v>
      </c>
      <c r="F44" s="19">
        <f>IF(47727.07077="","-",47727.07077/8346249.71981*100)</f>
        <v>0.57183851876272995</v>
      </c>
      <c r="G44" s="19">
        <f>IF(OR(4848686.17434="",39958.08071="",47630.88416=""),"-",(47630.88416-39958.08071)/4848686.17434*100)</f>
        <v>0.15824500027668661</v>
      </c>
      <c r="H44" s="19">
        <f>IF(OR(6422564.27315="",47727.07077="",47630.88416=""),"-",(47727.07077-47630.88416)/6422564.27315*100)</f>
        <v>1.4976356157635072E-3</v>
      </c>
    </row>
    <row r="45" spans="1:8" s="6" customFormat="1" x14ac:dyDescent="0.25">
      <c r="A45" s="17" t="s">
        <v>241</v>
      </c>
      <c r="B45" s="18" t="s">
        <v>152</v>
      </c>
      <c r="C45" s="14">
        <v>254519.61992</v>
      </c>
      <c r="D45" s="19">
        <f>IF(OR(294902.83286="",254519.61992=""),"-",254519.61992/294902.83286*100)</f>
        <v>86.306264830229267</v>
      </c>
      <c r="E45" s="19">
        <f>IF(294902.83286="","-",294902.83286/6422564.27315*100)</f>
        <v>4.5916680677352337</v>
      </c>
      <c r="F45" s="19">
        <f>IF(254519.61992="","-",254519.61992/8346249.71981*100)</f>
        <v>3.0495088029284858</v>
      </c>
      <c r="G45" s="19">
        <f>IF(OR(4848686.17434="",227846.23952="",294902.83286=""),"-",(294902.83286-227846.23952)/4848686.17434*100)</f>
        <v>1.3829848113262913</v>
      </c>
      <c r="H45" s="19">
        <f>IF(OR(6422564.27315="",254519.61992="",294902.83286=""),"-",(254519.61992-294902.83286)/6422564.27315*100)</f>
        <v>-0.62877086507059188</v>
      </c>
    </row>
    <row r="46" spans="1:8" s="6" customFormat="1" ht="41.25" customHeight="1" x14ac:dyDescent="0.25">
      <c r="A46" s="17" t="s">
        <v>242</v>
      </c>
      <c r="B46" s="18" t="s">
        <v>153</v>
      </c>
      <c r="C46" s="14">
        <v>140679.36780000001</v>
      </c>
      <c r="D46" s="19">
        <f>IF(OR(126978.82972="",140679.3678=""),"-",140679.3678/126978.82972*100)</f>
        <v>110.78962383746249</v>
      </c>
      <c r="E46" s="19">
        <f>IF(126978.82972="","-",126978.82972/6422564.27315*100)</f>
        <v>1.9770737094970663</v>
      </c>
      <c r="F46" s="19">
        <f>IF(140679.3678="","-",140679.3678/8346249.71981*100)</f>
        <v>1.685539883453218</v>
      </c>
      <c r="G46" s="19">
        <f>IF(OR(4848686.17434="",102910.77095="",126978.82972=""),"-",(126978.82972-102910.77095)/4848686.17434*100)</f>
        <v>0.49638310058860668</v>
      </c>
      <c r="H46" s="19">
        <f>IF(OR(6422564.27315="",140679.3678="",126978.82972=""),"-",(140679.3678-126978.82972)/6422564.27315*100)</f>
        <v>0.21331881624409918</v>
      </c>
    </row>
    <row r="47" spans="1:8" s="6" customFormat="1" x14ac:dyDescent="0.25">
      <c r="A47" s="17" t="s">
        <v>243</v>
      </c>
      <c r="B47" s="18" t="s">
        <v>154</v>
      </c>
      <c r="C47" s="14">
        <v>128382.42352</v>
      </c>
      <c r="D47" s="19">
        <f>IF(OR(80274.05148="",128382.42352=""),"-",128382.42352/80274.05148*100)</f>
        <v>159.93016566752712</v>
      </c>
      <c r="E47" s="19">
        <f>IF(80274.05148="","-",80274.05148/6422564.27315*100)</f>
        <v>1.2498754090417055</v>
      </c>
      <c r="F47" s="19">
        <f>IF(128382.42352="","-",128382.42352/8346249.71981*100)</f>
        <v>1.5382049163384317</v>
      </c>
      <c r="G47" s="19">
        <f>IF(OR(4848686.17434="",69213.24585="",80274.05148=""),"-",(80274.05148-69213.24585)/4848686.17434*100)</f>
        <v>0.22811964380238686</v>
      </c>
      <c r="H47" s="19">
        <f>IF(OR(6422564.27315="",128382.42352="",80274.05148=""),"-",(128382.42352-80274.05148)/6422564.27315*100)</f>
        <v>0.74905240327637634</v>
      </c>
    </row>
    <row r="48" spans="1:8" s="6" customFormat="1" ht="15" customHeight="1" x14ac:dyDescent="0.25">
      <c r="A48" s="17" t="s">
        <v>244</v>
      </c>
      <c r="B48" s="18" t="s">
        <v>25</v>
      </c>
      <c r="C48" s="14">
        <v>74561.260769999993</v>
      </c>
      <c r="D48" s="19">
        <f>IF(OR(66363.79438="",74561.26077=""),"-",74561.26077/66363.79438*100)</f>
        <v>112.35231720335517</v>
      </c>
      <c r="E48" s="19">
        <f>IF(66363.79438="","-",66363.79438/6422564.27315*100)</f>
        <v>1.0332912456390464</v>
      </c>
      <c r="F48" s="19">
        <f>IF(74561.26077="","-",74561.26077/8346249.71981*100)</f>
        <v>0.89335046605455937</v>
      </c>
      <c r="G48" s="19">
        <f>IF(OR(4848686.17434="",43467.86913="",66363.79438=""),"-",(66363.79438-43467.86913)/4848686.17434*100)</f>
        <v>0.47220885053705469</v>
      </c>
      <c r="H48" s="19">
        <f>IF(OR(6422564.27315="",74561.26077="",66363.79438=""),"-",(74561.26077-66363.79438)/6422564.27315*100)</f>
        <v>0.12763541229583478</v>
      </c>
    </row>
    <row r="49" spans="1:8" s="6" customFormat="1" x14ac:dyDescent="0.25">
      <c r="A49" s="17" t="s">
        <v>245</v>
      </c>
      <c r="B49" s="18" t="s">
        <v>26</v>
      </c>
      <c r="C49" s="14">
        <v>140099.66412</v>
      </c>
      <c r="D49" s="19">
        <f>IF(OR(144958.82462="",140099.66412=""),"-",140099.66412/144958.82462*100)</f>
        <v>96.647902938825581</v>
      </c>
      <c r="E49" s="19">
        <f>IF(144958.82462="","-",144958.82462/6422564.27315*100)</f>
        <v>2.2570241177034376</v>
      </c>
      <c r="F49" s="19">
        <f>IF(140099.66412="","-",140099.66412/8346249.71981*100)</f>
        <v>1.6785942048615019</v>
      </c>
      <c r="G49" s="19">
        <f>IF(OR(4848686.17434="",111688.93483="",144958.82462=""),"-",(144958.82462-111688.93483)/4848686.17434*100)</f>
        <v>0.68616298505911599</v>
      </c>
      <c r="H49" s="19">
        <f>IF(OR(6422564.27315="",140099.66412="",144958.82462=""),"-",(140099.66412-144958.82462)/6422564.27315*100)</f>
        <v>-7.565763911953477E-2</v>
      </c>
    </row>
    <row r="50" spans="1:8" s="6" customFormat="1" x14ac:dyDescent="0.25">
      <c r="A50" s="17" t="s">
        <v>246</v>
      </c>
      <c r="B50" s="18" t="s">
        <v>155</v>
      </c>
      <c r="C50" s="14">
        <v>163238.01087</v>
      </c>
      <c r="D50" s="19">
        <f>IF(OR(145678.25053="",163238.01087=""),"-",163238.01087/145678.25053*100)</f>
        <v>112.05379682699021</v>
      </c>
      <c r="E50" s="19">
        <f>IF(145678.25053="","-",145678.25053/6422564.27315*100)</f>
        <v>2.2682256546504109</v>
      </c>
      <c r="F50" s="19">
        <f>IF(163238.01087="","-",163238.01087/8346249.71981*100)</f>
        <v>1.955824667964956</v>
      </c>
      <c r="G50" s="19">
        <f>IF(OR(4848686.17434="",124649.91352="",145678.25053=""),"-",(145678.25053-124649.91352)/4848686.17434*100)</f>
        <v>0.43369144246301627</v>
      </c>
      <c r="H50" s="19">
        <f>IF(OR(6422564.27315="",163238.01087="",145678.25053=""),"-",(163238.01087-145678.25053)/6422564.27315*100)</f>
        <v>0.27340731198922946</v>
      </c>
    </row>
    <row r="51" spans="1:8" s="6" customFormat="1" ht="25.5" x14ac:dyDescent="0.25">
      <c r="A51" s="15" t="s">
        <v>247</v>
      </c>
      <c r="B51" s="16" t="s">
        <v>336</v>
      </c>
      <c r="C51" s="13">
        <v>1198548.9226599999</v>
      </c>
      <c r="D51" s="21">
        <f>IF(1198067.74498="","-",1198548.92266/1198067.74498*100)</f>
        <v>100.04016281066043</v>
      </c>
      <c r="E51" s="21">
        <f>IF(1198067.74498="","-",1198067.74498/6422564.27315*100)</f>
        <v>18.654040567388481</v>
      </c>
      <c r="F51" s="21">
        <f>IF(1198548.92266="","-",1198548.92266/8346249.71981*100)</f>
        <v>14.360329044735131</v>
      </c>
      <c r="G51" s="21">
        <f>IF(4848686.17434="","-",(1198067.74498-967270.54766)/4848686.17434*100)</f>
        <v>4.759994543293284</v>
      </c>
      <c r="H51" s="21">
        <f>IF(6422564.27315="","-",(1198548.92266-1198067.74498)/6422564.27315*100)</f>
        <v>7.4919869935994692E-3</v>
      </c>
    </row>
    <row r="52" spans="1:8" s="6" customFormat="1" x14ac:dyDescent="0.25">
      <c r="A52" s="17" t="s">
        <v>248</v>
      </c>
      <c r="B52" s="18" t="s">
        <v>156</v>
      </c>
      <c r="C52" s="14">
        <v>50613.625229999998</v>
      </c>
      <c r="D52" s="19">
        <f>IF(OR(50244.23736="",50613.62523=""),"-",50613.62523/50244.23736*100)</f>
        <v>100.73518454933117</v>
      </c>
      <c r="E52" s="19">
        <f>IF(50244.23736="","-",50244.23736/6422564.27315*100)</f>
        <v>0.78230805054064956</v>
      </c>
      <c r="F52" s="19">
        <f>IF(50613.62523="","-",50613.62523/8346249.71981*100)</f>
        <v>0.60642356662139518</v>
      </c>
      <c r="G52" s="19">
        <f>IF(OR(4848686.17434="",43574.64585="",50244.23736=""),"-",(50244.23736-43574.64585)/4848686.17434*100)</f>
        <v>0.13755461315059966</v>
      </c>
      <c r="H52" s="19">
        <f>IF(OR(6422564.27315="",50613.62523="",50244.23736=""),"-",(50613.62523-50244.23736)/6422564.27315*100)</f>
        <v>5.7514079157487252E-3</v>
      </c>
    </row>
    <row r="53" spans="1:8" s="6" customFormat="1" x14ac:dyDescent="0.25">
      <c r="A53" s="17" t="s">
        <v>249</v>
      </c>
      <c r="B53" s="18" t="s">
        <v>27</v>
      </c>
      <c r="C53" s="14">
        <v>78870.370930000005</v>
      </c>
      <c r="D53" s="19">
        <f>IF(OR(68162.23172="",78870.37093=""),"-",78870.37093/68162.23172*100)</f>
        <v>115.70978376117056</v>
      </c>
      <c r="E53" s="19">
        <f>IF(68162.23172="","-",68162.23172/6422564.27315*100)</f>
        <v>1.061293103830151</v>
      </c>
      <c r="F53" s="19">
        <f>IF(78870.37093="","-",78870.37093/8346249.71981*100)</f>
        <v>0.94497976429820352</v>
      </c>
      <c r="G53" s="19">
        <f>IF(OR(4848686.17434="",55414.89438="",68162.23172=""),"-",(68162.23172-55414.89438)/4848686.17434*100)</f>
        <v>0.26290291599940796</v>
      </c>
      <c r="H53" s="19">
        <f>IF(OR(6422564.27315="",78870.37093="",68162.23172=""),"-",(78870.37093-68162.23172)/6422564.27315*100)</f>
        <v>0.16672685168393203</v>
      </c>
    </row>
    <row r="54" spans="1:8" s="6" customFormat="1" ht="14.25" customHeight="1" x14ac:dyDescent="0.25">
      <c r="A54" s="17" t="s">
        <v>250</v>
      </c>
      <c r="B54" s="18" t="s">
        <v>157</v>
      </c>
      <c r="C54" s="14">
        <v>100417.43452</v>
      </c>
      <c r="D54" s="19">
        <f>IF(OR(105359.06868="",100417.43452=""),"-",100417.43452/105359.06868*100)</f>
        <v>95.309721107151304</v>
      </c>
      <c r="E54" s="19">
        <f>IF(105359.06868="","-",105359.06868/6422564.27315*100)</f>
        <v>1.640451760373365</v>
      </c>
      <c r="F54" s="19">
        <f>IF(100417.43452="","-",100417.43452/8346249.71981*100)</f>
        <v>1.2031443809026838</v>
      </c>
      <c r="G54" s="19">
        <f>IF(OR(4848686.17434="",82588.77788="",105359.06868=""),"-",(105359.06868-82588.77788)/4848686.17434*100)</f>
        <v>0.46961774759735769</v>
      </c>
      <c r="H54" s="19">
        <f>IF(OR(6422564.27315="",100417.43452="",105359.06868=""),"-",(100417.43452-105359.06868)/6422564.27315*100)</f>
        <v>-7.694176266415681E-2</v>
      </c>
    </row>
    <row r="55" spans="1:8" s="6" customFormat="1" ht="26.25" customHeight="1" x14ac:dyDescent="0.25">
      <c r="A55" s="17" t="s">
        <v>251</v>
      </c>
      <c r="B55" s="18" t="s">
        <v>158</v>
      </c>
      <c r="C55" s="14">
        <v>130121.47977999999</v>
      </c>
      <c r="D55" s="19">
        <f>IF(OR(102314.80301="",130121.47978=""),"-",130121.47978/102314.80301*100)</f>
        <v>127.17756957151374</v>
      </c>
      <c r="E55" s="19">
        <f>IF(102314.80301="","-",102314.80301/6422564.27315*100)</f>
        <v>1.5930522242920095</v>
      </c>
      <c r="F55" s="19">
        <f>IF(130121.47978="","-",130121.47978/8346249.71981*100)</f>
        <v>1.5590412957708888</v>
      </c>
      <c r="G55" s="19">
        <f>IF(OR(4848686.17434="",84670.73672="",102314.80301=""),"-",(102314.80301-84670.73672)/4848686.17434*100)</f>
        <v>0.36389375710424693</v>
      </c>
      <c r="H55" s="19">
        <f>IF(OR(6422564.27315="",130121.47978="",102314.80301=""),"-",(130121.47978-102314.80301)/6422564.27315*100)</f>
        <v>0.43295287656750808</v>
      </c>
    </row>
    <row r="56" spans="1:8" s="6" customFormat="1" ht="16.5" customHeight="1" x14ac:dyDescent="0.25">
      <c r="A56" s="17" t="s">
        <v>252</v>
      </c>
      <c r="B56" s="18" t="s">
        <v>159</v>
      </c>
      <c r="C56" s="14">
        <v>296691.25049000001</v>
      </c>
      <c r="D56" s="19">
        <f>IF(OR(291368.55324="",296691.25049=""),"-",296691.25049/291368.55324*100)</f>
        <v>101.82679194127573</v>
      </c>
      <c r="E56" s="19">
        <f>IF(291368.55324="","-",291368.55324/6422564.27315*100)</f>
        <v>4.5366389630087083</v>
      </c>
      <c r="F56" s="19">
        <f>IF(296691.25049="","-",296691.25049/8346249.71981*100)</f>
        <v>3.5547852083289229</v>
      </c>
      <c r="G56" s="19">
        <f>IF(OR(4848686.17434="",236507.90338="",291368.55324=""),"-",(291368.55324-236507.90338)/4848686.17434*100)</f>
        <v>1.131453921483536</v>
      </c>
      <c r="H56" s="19">
        <f>IF(OR(6422564.27315="",296691.25049="",291368.55324=""),"-",(296691.25049-291368.55324)/6422564.27315*100)</f>
        <v>8.2874954981018295E-2</v>
      </c>
    </row>
    <row r="57" spans="1:8" s="6" customFormat="1" ht="16.5" customHeight="1" x14ac:dyDescent="0.25">
      <c r="A57" s="17" t="s">
        <v>253</v>
      </c>
      <c r="B57" s="18" t="s">
        <v>28</v>
      </c>
      <c r="C57" s="14">
        <v>154537.21716999999</v>
      </c>
      <c r="D57" s="19">
        <f>IF(OR(150981.63281="",154537.21717=""),"-",154537.21717/150981.63281*100)</f>
        <v>102.35497808165476</v>
      </c>
      <c r="E57" s="19">
        <f>IF(150981.63281="","-",150981.63281/6422564.27315*100)</f>
        <v>2.3507998735207645</v>
      </c>
      <c r="F57" s="19">
        <f>IF(154537.21717="","-",154537.21717/8346249.71981*100)</f>
        <v>1.8515767243724164</v>
      </c>
      <c r="G57" s="19">
        <f>IF(OR(4848686.17434="",128150.39761="",150981.63281=""),"-",(150981.63281-128150.39761)/4848686.17434*100)</f>
        <v>0.47087467365544194</v>
      </c>
      <c r="H57" s="19">
        <f>IF(OR(6422564.27315="",154537.21717="",150981.63281=""),"-",(154537.21717-150981.63281)/6422564.27315*100)</f>
        <v>5.536082176498193E-2</v>
      </c>
    </row>
    <row r="58" spans="1:8" s="6" customFormat="1" ht="15.75" customHeight="1" x14ac:dyDescent="0.25">
      <c r="A58" s="17" t="s">
        <v>254</v>
      </c>
      <c r="B58" s="18" t="s">
        <v>160</v>
      </c>
      <c r="C58" s="14">
        <v>165471.52194999999</v>
      </c>
      <c r="D58" s="19">
        <f>IF(OR(163704.46289="",165471.52195=""),"-",165471.52195/163704.46289*100)</f>
        <v>101.07942021176746</v>
      </c>
      <c r="E58" s="19">
        <f>IF(163704.46289="","-",163704.46289/6422564.27315*100)</f>
        <v>2.5488956735610806</v>
      </c>
      <c r="F58" s="19">
        <f>IF(165471.52195="","-",165471.52195/8346249.71981*100)</f>
        <v>1.9825853228097146</v>
      </c>
      <c r="G58" s="19">
        <f>IF(OR(4848686.17434="",121855.11786="",163704.46289=""),"-",(163704.46289-121855.11786)/4848686.17434*100)</f>
        <v>0.86310690206087626</v>
      </c>
      <c r="H58" s="19">
        <f>IF(OR(6422564.27315="",165471.52195="",163704.46289=""),"-",(165471.52195-163704.46289)/6422564.27315*100)</f>
        <v>2.7513295077284308E-2</v>
      </c>
    </row>
    <row r="59" spans="1:8" s="6" customFormat="1" x14ac:dyDescent="0.25">
      <c r="A59" s="17" t="s">
        <v>255</v>
      </c>
      <c r="B59" s="18" t="s">
        <v>29</v>
      </c>
      <c r="C59" s="14">
        <v>32482.24526</v>
      </c>
      <c r="D59" s="19">
        <f>IF(OR(69255.58792="",32482.24526=""),"-",32482.24526/69255.58792*100)</f>
        <v>46.901984714246574</v>
      </c>
      <c r="E59" s="19">
        <f>IF(69255.58792="","-",69255.58792/6422564.27315*100)</f>
        <v>1.0783167746491547</v>
      </c>
      <c r="F59" s="19">
        <f>IF(32482.24526="","-",32482.24526/8346249.71981*100)</f>
        <v>0.38918372143721874</v>
      </c>
      <c r="G59" s="19">
        <f>IF(OR(4848686.17434="",59490.04563="",69255.58792=""),"-",(69255.58792-59490.04563)/4848686.17434*100)</f>
        <v>0.20140594665995853</v>
      </c>
      <c r="H59" s="19">
        <f>IF(OR(6422564.27315="",32482.24526="",69255.58792=""),"-",(32482.24526-69255.58792)/6422564.27315*100)</f>
        <v>-0.5725648058320516</v>
      </c>
    </row>
    <row r="60" spans="1:8" s="6" customFormat="1" x14ac:dyDescent="0.25">
      <c r="A60" s="17" t="s">
        <v>256</v>
      </c>
      <c r="B60" s="18" t="s">
        <v>30</v>
      </c>
      <c r="C60" s="14">
        <v>189343.77733000001</v>
      </c>
      <c r="D60" s="19">
        <f>IF(OR(196677.16735="",189343.77733=""),"-",189343.77733/196677.16735*100)</f>
        <v>96.271356701538352</v>
      </c>
      <c r="E60" s="19">
        <f>IF(196677.16735="","-",196677.16735/6422564.27315*100)</f>
        <v>3.0622841436125956</v>
      </c>
      <c r="F60" s="19">
        <f>IF(189343.77733="","-",189343.77733/8346249.71981*100)</f>
        <v>2.2686090601936888</v>
      </c>
      <c r="G60" s="19">
        <f>IF(OR(4848686.17434="",155018.02835="",196677.16735=""),"-",(196677.16735-155018.02835)/4848686.17434*100)</f>
        <v>0.85918406558186056</v>
      </c>
      <c r="H60" s="19">
        <f>IF(OR(6422564.27315="",189343.77733="",196677.16735=""),"-",(189343.77733-196677.16735)/6422564.27315*100)</f>
        <v>-0.11418165250066496</v>
      </c>
    </row>
    <row r="61" spans="1:8" s="6" customFormat="1" ht="25.5" x14ac:dyDescent="0.25">
      <c r="A61" s="15" t="s">
        <v>257</v>
      </c>
      <c r="B61" s="16" t="s">
        <v>161</v>
      </c>
      <c r="C61" s="13">
        <v>1833782.66408</v>
      </c>
      <c r="D61" s="21">
        <f>IF(1624522.80207="","-",1833782.66408/1624522.80207*100)</f>
        <v>112.88131269954209</v>
      </c>
      <c r="E61" s="21">
        <f>IF(1624522.80207="","-",1624522.80207/6422564.27315*100)</f>
        <v>25.293990577275132</v>
      </c>
      <c r="F61" s="21">
        <f>IF(1833782.66408="","-",1833782.66408/8346249.71981*100)</f>
        <v>21.971337135138409</v>
      </c>
      <c r="G61" s="21">
        <f>IF(4848686.17434="","-",(1624522.80207-1262205.55038)/4848686.17434*100)</f>
        <v>7.4724830327736855</v>
      </c>
      <c r="H61" s="21">
        <f>IF(6422564.27315="","-",(1833782.66408-1624522.80207)/6422564.27315*100)</f>
        <v>3.2581980204515228</v>
      </c>
    </row>
    <row r="62" spans="1:8" s="6" customFormat="1" ht="27" customHeight="1" x14ac:dyDescent="0.25">
      <c r="A62" s="17" t="s">
        <v>258</v>
      </c>
      <c r="B62" s="18" t="s">
        <v>162</v>
      </c>
      <c r="C62" s="14">
        <v>29951.174220000001</v>
      </c>
      <c r="D62" s="19">
        <f>IF(OR(24816.99408="",29951.17422=""),"-",29951.17422/24816.99408*100)</f>
        <v>120.68816281073151</v>
      </c>
      <c r="E62" s="19">
        <f>IF(24816.99408="","-",24816.99408/6422564.27315*100)</f>
        <v>0.38640320321509686</v>
      </c>
      <c r="F62" s="19">
        <f>IF(29951.17422="","-",29951.17422/8346249.71981*100)</f>
        <v>0.35885787300265237</v>
      </c>
      <c r="G62" s="19">
        <f>IF(OR(4848686.17434="",18737.13946="",24816.99408=""),"-",(24816.99408-18737.13946)/4848686.17434*100)</f>
        <v>0.12539179483662061</v>
      </c>
      <c r="H62" s="19">
        <f>IF(OR(6422564.27315="",29951.17422="",24816.99408=""),"-",(29951.17422-24816.99408)/6422564.27315*100)</f>
        <v>7.9939723787020966E-2</v>
      </c>
    </row>
    <row r="63" spans="1:8" s="6" customFormat="1" ht="25.5" x14ac:dyDescent="0.25">
      <c r="A63" s="17" t="s">
        <v>259</v>
      </c>
      <c r="B63" s="18" t="s">
        <v>163</v>
      </c>
      <c r="C63" s="14">
        <v>271895.40747999999</v>
      </c>
      <c r="D63" s="19">
        <f>IF(OR(221291.12586="",271895.40748=""),"-",271895.40748/221291.12586*100)</f>
        <v>122.86774104625182</v>
      </c>
      <c r="E63" s="19">
        <f>IF(221291.12586="","-",221291.12586/6422564.27315*100)</f>
        <v>3.4455260616872883</v>
      </c>
      <c r="F63" s="19">
        <f>IF(271895.40748="","-",271895.40748/8346249.71981*100)</f>
        <v>3.2576955711575524</v>
      </c>
      <c r="G63" s="19">
        <f>IF(OR(4848686.17434="",150243.85397="",221291.12586=""),"-",(221291.12586-150243.85397)/4848686.17434*100)</f>
        <v>1.4652891388597842</v>
      </c>
      <c r="H63" s="19">
        <f>IF(OR(6422564.27315="",271895.40748="",221291.12586=""),"-",(271895.40748-221291.12586)/6422564.27315*100)</f>
        <v>0.78791397746776781</v>
      </c>
    </row>
    <row r="64" spans="1:8" s="6" customFormat="1" ht="27.75" customHeight="1" x14ac:dyDescent="0.25">
      <c r="A64" s="17" t="s">
        <v>260</v>
      </c>
      <c r="B64" s="18" t="s">
        <v>164</v>
      </c>
      <c r="C64" s="14">
        <v>12170.96328</v>
      </c>
      <c r="D64" s="19">
        <f>IF(OR(15953.52381="",12170.96328=""),"-",12170.96328/15953.52381*100)</f>
        <v>76.290125146965877</v>
      </c>
      <c r="E64" s="19">
        <f>IF(15953.52381="","-",15953.52381/6422564.27315*100)</f>
        <v>0.24839804058785173</v>
      </c>
      <c r="F64" s="19">
        <f>IF(12170.96328="","-",12170.96328/8346249.71981*100)</f>
        <v>0.14582553468430212</v>
      </c>
      <c r="G64" s="19">
        <f>IF(OR(4848686.17434="",13480.70041="",15953.52381=""),"-",(15953.52381-13480.70041)/4848686.17434*100)</f>
        <v>5.0999864934269543E-2</v>
      </c>
      <c r="H64" s="19">
        <f>IF(OR(6422564.27315="",12170.96328="",15953.52381=""),"-",(12170.96328-15953.52381)/6422564.27315*100)</f>
        <v>-5.8894864560768541E-2</v>
      </c>
    </row>
    <row r="65" spans="1:8" s="6" customFormat="1" ht="38.25" x14ac:dyDescent="0.25">
      <c r="A65" s="17" t="s">
        <v>261</v>
      </c>
      <c r="B65" s="18" t="s">
        <v>165</v>
      </c>
      <c r="C65" s="14">
        <v>227987.04344000001</v>
      </c>
      <c r="D65" s="19">
        <f>IF(OR(225647.84369="",227987.04344=""),"-",227987.04344/225647.84369*100)</f>
        <v>101.03665947422643</v>
      </c>
      <c r="E65" s="19">
        <f>IF(225647.84369="","-",225647.84369/6422564.27315*100)</f>
        <v>3.5133606156864374</v>
      </c>
      <c r="F65" s="19">
        <f>IF(227987.04344="","-",227987.04344/8346249.71981*100)</f>
        <v>2.7316106166685614</v>
      </c>
      <c r="G65" s="19">
        <f>IF(OR(4848686.17434="",183423.60887="",225647.84369=""),"-",(225647.84369-183423.60887)/4848686.17434*100)</f>
        <v>0.8708386829293514</v>
      </c>
      <c r="H65" s="19">
        <f>IF(OR(6422564.27315="",227987.04344="",225647.84369=""),"-",(227987.04344-225647.84369)/6422564.27315*100)</f>
        <v>3.6421585686253005E-2</v>
      </c>
    </row>
    <row r="66" spans="1:8" s="6" customFormat="1" ht="26.25" customHeight="1" x14ac:dyDescent="0.25">
      <c r="A66" s="17" t="s">
        <v>262</v>
      </c>
      <c r="B66" s="18" t="s">
        <v>166</v>
      </c>
      <c r="C66" s="14">
        <v>84432.687760000001</v>
      </c>
      <c r="D66" s="19">
        <f>IF(OR(69102.19164="",84432.68776=""),"-",84432.68776/69102.19164*100)</f>
        <v>122.18525311015736</v>
      </c>
      <c r="E66" s="19">
        <f>IF(69102.19164="","-",69102.19164/6422564.27315*100)</f>
        <v>1.0759283784653861</v>
      </c>
      <c r="F66" s="19">
        <f>IF(84432.68776="","-",84432.68776/8346249.71981*100)</f>
        <v>1.0116242695158908</v>
      </c>
      <c r="G66" s="19">
        <f>IF(OR(4848686.17434="",52740.38391="",69102.19164=""),"-",(69102.19164-52740.38391)/4848686.17434*100)</f>
        <v>0.33744827241220998</v>
      </c>
      <c r="H66" s="19">
        <f>IF(OR(6422564.27315="",84432.68776="",69102.19164=""),"-",(84432.68776-69102.19164)/6422564.27315*100)</f>
        <v>0.23869743404655769</v>
      </c>
    </row>
    <row r="67" spans="1:8" s="6" customFormat="1" ht="42" customHeight="1" x14ac:dyDescent="0.25">
      <c r="A67" s="17" t="s">
        <v>263</v>
      </c>
      <c r="B67" s="18" t="s">
        <v>167</v>
      </c>
      <c r="C67" s="14">
        <v>177575.61689</v>
      </c>
      <c r="D67" s="19">
        <f>IF(OR(172434.58838="",177575.61689=""),"-",177575.61689/172434.58838*100)</f>
        <v>102.98143693692738</v>
      </c>
      <c r="E67" s="19">
        <f>IF(172434.58838="","-",172434.58838/6422564.27315*100)</f>
        <v>2.6848246439646455</v>
      </c>
      <c r="F67" s="19">
        <f>IF(177575.61689="","-",177575.61689/8346249.71981*100)</f>
        <v>2.127609679213414</v>
      </c>
      <c r="G67" s="19">
        <f>IF(OR(4848686.17434="",150293.77429="",172434.58838=""),"-",(172434.58838-150293.77429)/4848686.17434*100)</f>
        <v>0.45663532952849417</v>
      </c>
      <c r="H67" s="19">
        <f>IF(OR(6422564.27315="",177575.61689="",172434.58838=""),"-",(177575.61689-172434.58838)/6422564.27315*100)</f>
        <v>8.0046353626890887E-2</v>
      </c>
    </row>
    <row r="68" spans="1:8" s="6" customFormat="1" ht="51" x14ac:dyDescent="0.25">
      <c r="A68" s="17" t="s">
        <v>264</v>
      </c>
      <c r="B68" s="18" t="s">
        <v>168</v>
      </c>
      <c r="C68" s="14">
        <v>529762.24886000005</v>
      </c>
      <c r="D68" s="19">
        <f>IF(OR(484449.43827="",529762.24886=""),"-",529762.24886/484449.43827*100)</f>
        <v>109.35346540019017</v>
      </c>
      <c r="E68" s="19">
        <f>IF(484449.43827="","-",484449.43827/6422564.27315*100)</f>
        <v>7.5429286133464846</v>
      </c>
      <c r="F68" s="19">
        <f>IF(529762.24886="","-",529762.24886/8346249.71981*100)</f>
        <v>6.3473088709842722</v>
      </c>
      <c r="G68" s="19">
        <f>IF(OR(4848686.17434="",379057.32881="",484449.43827=""),"-",(484449.43827-379057.32881)/4848686.17434*100)</f>
        <v>2.1736220013114358</v>
      </c>
      <c r="H68" s="19">
        <f>IF(OR(6422564.27315="",529762.24886="",484449.43827=""),"-",(529762.24886-484449.43827)/6422564.27315*100)</f>
        <v>0.70552521801040724</v>
      </c>
    </row>
    <row r="69" spans="1:8" s="6" customFormat="1" ht="25.5" x14ac:dyDescent="0.25">
      <c r="A69" s="17" t="s">
        <v>265</v>
      </c>
      <c r="B69" s="18" t="s">
        <v>169</v>
      </c>
      <c r="C69" s="14">
        <v>491911.42025000002</v>
      </c>
      <c r="D69" s="19">
        <f>IF(OR(407412.08012="",491911.42025=""),"-",491911.42025/407412.08012*100)</f>
        <v>120.74050924192316</v>
      </c>
      <c r="E69" s="19">
        <f>IF(407412.08012="","-",407412.08012/6422564.27315*100)</f>
        <v>6.3434488592541776</v>
      </c>
      <c r="F69" s="19">
        <f>IF(491911.42025="","-",491911.42025/8346249.71981*100)</f>
        <v>5.893801848301254</v>
      </c>
      <c r="G69" s="19">
        <f>IF(OR(4848686.17434="",261807.44382="",407412.08012=""),"-",(407412.08012-261807.44382)/4848686.17434*100)</f>
        <v>3.0029709299513412</v>
      </c>
      <c r="H69" s="19">
        <f>IF(OR(6422564.27315="",491911.42025="",407412.08012=""),"-",(491911.42025-407412.08012)/6422564.27315*100)</f>
        <v>1.3156635969102823</v>
      </c>
    </row>
    <row r="70" spans="1:8" s="6" customFormat="1" x14ac:dyDescent="0.25">
      <c r="A70" s="17" t="s">
        <v>266</v>
      </c>
      <c r="B70" s="18" t="s">
        <v>31</v>
      </c>
      <c r="C70" s="14">
        <v>8096.1018999999997</v>
      </c>
      <c r="D70" s="19" t="s">
        <v>282</v>
      </c>
      <c r="E70" s="19">
        <f>IF(3415.01622="","-",3415.01622/6422564.27315*100)</f>
        <v>5.3172161067764241E-2</v>
      </c>
      <c r="F70" s="19">
        <f>IF(8096.1019="","-",8096.1019/8346249.71981*100)</f>
        <v>9.7002871610511868E-2</v>
      </c>
      <c r="G70" s="19">
        <f>IF(OR(4848686.17434="",52421.31684="",3415.01622=""),"-",(3415.01622-52421.31684)/4848686.17434*100)</f>
        <v>-1.0107129819898213</v>
      </c>
      <c r="H70" s="19">
        <f>IF(OR(6422564.27315="",8096.1019="",3415.01622=""),"-",(8096.1019-3415.01622)/6422564.27315*100)</f>
        <v>7.2884995477112177E-2</v>
      </c>
    </row>
    <row r="71" spans="1:8" x14ac:dyDescent="0.25">
      <c r="A71" s="15" t="s">
        <v>267</v>
      </c>
      <c r="B71" s="16" t="s">
        <v>32</v>
      </c>
      <c r="C71" s="13">
        <v>741810.77194999997</v>
      </c>
      <c r="D71" s="21">
        <f>IF(745944.66012="","-",741810.77195/745944.66012*100)</f>
        <v>99.445818384257208</v>
      </c>
      <c r="E71" s="21">
        <f>IF(745944.66012="","-",745944.66012/6422564.27315*100)</f>
        <v>11.614436670388436</v>
      </c>
      <c r="F71" s="21">
        <f>IF(741810.77195="","-",741810.77195/8346249.71981*100)</f>
        <v>8.8879532347240513</v>
      </c>
      <c r="G71" s="21">
        <f>IF(4848686.17434="","-",(745944.66012-533302.97825)/4848686.17434*100)</f>
        <v>4.3855525852618129</v>
      </c>
      <c r="H71" s="21">
        <f>IF(6422564.27315="","-",(741810.77195-745944.66012)/6422564.27315*100)</f>
        <v>-6.4365072799381265E-2</v>
      </c>
    </row>
    <row r="72" spans="1:8" ht="39.75" customHeight="1" x14ac:dyDescent="0.25">
      <c r="A72" s="17" t="s">
        <v>268</v>
      </c>
      <c r="B72" s="18" t="s">
        <v>195</v>
      </c>
      <c r="C72" s="14">
        <v>61931.590649999998</v>
      </c>
      <c r="D72" s="19">
        <f>IF(OR(69420.51278="",61931.59065=""),"-",61931.59065/69420.51278*100)</f>
        <v>89.212234496548461</v>
      </c>
      <c r="E72" s="19">
        <f>IF(69420.51278="","-",69420.51278/6422564.27315*100)</f>
        <v>1.0808846720338408</v>
      </c>
      <c r="F72" s="19">
        <f>IF(61931.59065="","-",61931.59065/8346249.71981*100)</f>
        <v>0.7420289678489258</v>
      </c>
      <c r="G72" s="19">
        <f>IF(OR(4848686.17434="",49527.77733="",69420.51278=""),"-",(69420.51278-49527.77733)/4848686.17434*100)</f>
        <v>0.41027063280101417</v>
      </c>
      <c r="H72" s="19">
        <f>IF(OR(6422564.27315="",61931.59065="",69420.51278=""),"-",(61931.59065-69420.51278)/6422564.27315*100)</f>
        <v>-0.11660330378176197</v>
      </c>
    </row>
    <row r="73" spans="1:8" x14ac:dyDescent="0.25">
      <c r="A73" s="17" t="s">
        <v>269</v>
      </c>
      <c r="B73" s="18" t="s">
        <v>170</v>
      </c>
      <c r="C73" s="14">
        <v>66607.626380000002</v>
      </c>
      <c r="D73" s="19">
        <f>IF(OR(69118.59344="",66607.62638=""),"-",66607.62638/69118.59344*100)</f>
        <v>96.367161229662898</v>
      </c>
      <c r="E73" s="19">
        <f>IF(69118.59344="","-",69118.59344/6422564.27315*100)</f>
        <v>1.0761837562133141</v>
      </c>
      <c r="F73" s="19">
        <f>IF(66607.62638="","-",66607.62638/8346249.71981*100)</f>
        <v>0.79805455882664755</v>
      </c>
      <c r="G73" s="19">
        <f>IF(OR(4848686.17434="",50065.81967="",69118.59344=""),"-",(69118.59344-50065.81967)/4848686.17434*100)</f>
        <v>0.39294714248223028</v>
      </c>
      <c r="H73" s="19">
        <f>IF(OR(6422564.27315="",66607.62638="",69118.59344=""),"-",(66607.62638-69118.59344)/6422564.27315*100)</f>
        <v>-3.9096020735787371E-2</v>
      </c>
    </row>
    <row r="74" spans="1:8" x14ac:dyDescent="0.25">
      <c r="A74" s="17" t="s">
        <v>270</v>
      </c>
      <c r="B74" s="18" t="s">
        <v>171</v>
      </c>
      <c r="C74" s="14">
        <v>15839.92921</v>
      </c>
      <c r="D74" s="19">
        <f>IF(OR(11047.47879="",15839.92921=""),"-",15839.92921/11047.47879*100)</f>
        <v>143.38048989365836</v>
      </c>
      <c r="E74" s="19">
        <f>IF(11047.47879="","-",11047.47879/6422564.27315*100)</f>
        <v>0.17201040456978833</v>
      </c>
      <c r="F74" s="19">
        <f>IF(15839.92921="","-",15839.92921/8346249.71981*100)</f>
        <v>0.18978499016634495</v>
      </c>
      <c r="G74" s="19">
        <f>IF(OR(4848686.17434="",8202.63394="",11047.47879=""),"-",(11047.47879-8202.63394)/4848686.17434*100)</f>
        <v>5.8672488746649758E-2</v>
      </c>
      <c r="H74" s="19">
        <f>IF(OR(6422564.27315="",15839.92921="",11047.47879=""),"-",(15839.92921-11047.47879)/6422564.27315*100)</f>
        <v>7.4618956170437886E-2</v>
      </c>
    </row>
    <row r="75" spans="1:8" x14ac:dyDescent="0.25">
      <c r="A75" s="17" t="s">
        <v>271</v>
      </c>
      <c r="B75" s="18" t="s">
        <v>172</v>
      </c>
      <c r="C75" s="14">
        <v>186288.73788999999</v>
      </c>
      <c r="D75" s="19">
        <f>IF(OR(183971.83933="",186288.73789=""),"-",186288.73789/183971.83933*100)</f>
        <v>101.25937674398311</v>
      </c>
      <c r="E75" s="19">
        <f>IF(183971.83933="","-",183971.83933/6422564.27315*100)</f>
        <v>2.8644608524839175</v>
      </c>
      <c r="F75" s="19">
        <f>IF(186288.73789="","-",186288.73789/8346249.71981*100)</f>
        <v>2.2320053214779776</v>
      </c>
      <c r="G75" s="19">
        <f>IF(OR(4848686.17434="",124326.76127="",183971.83933=""),"-",(183971.83933-124326.76127)/4848686.17434*100)</f>
        <v>1.2301286557923876</v>
      </c>
      <c r="H75" s="19">
        <f>IF(OR(6422564.27315="",186288.73789="",183971.83933=""),"-",(186288.73789-183971.83933)/6422564.27315*100)</f>
        <v>3.6074353816682933E-2</v>
      </c>
    </row>
    <row r="76" spans="1:8" x14ac:dyDescent="0.25">
      <c r="A76" s="17" t="s">
        <v>272</v>
      </c>
      <c r="B76" s="18" t="s">
        <v>173</v>
      </c>
      <c r="C76" s="14">
        <v>54743.49785</v>
      </c>
      <c r="D76" s="19">
        <f>IF(OR(47520.86014="",54743.49785=""),"-",54743.49785/47520.86014*100)</f>
        <v>115.1988783214815</v>
      </c>
      <c r="E76" s="19">
        <f>IF(47520.86014="","-",47520.86014/6422564.27315*100)</f>
        <v>0.73990478131397508</v>
      </c>
      <c r="F76" s="19">
        <f>IF(54743.49785="","-",54743.49785/8346249.71981*100)</f>
        <v>0.65590534297176795</v>
      </c>
      <c r="G76" s="19">
        <f>IF(OR(4848686.17434="",35874.6431="",47520.86014=""),"-",(47520.86014-35874.6431)/4848686.17434*100)</f>
        <v>0.24019325279564563</v>
      </c>
      <c r="H76" s="19">
        <f>IF(OR(6422564.27315="",54743.49785="",47520.86014=""),"-",(54743.49785-47520.86014)/6422564.27315*100)</f>
        <v>0.11245722740673486</v>
      </c>
    </row>
    <row r="77" spans="1:8" ht="27.75" customHeight="1" x14ac:dyDescent="0.25">
      <c r="A77" s="17" t="s">
        <v>273</v>
      </c>
      <c r="B77" s="18" t="s">
        <v>379</v>
      </c>
      <c r="C77" s="14">
        <v>67284.853749999995</v>
      </c>
      <c r="D77" s="19">
        <f>IF(OR(81950.00838="",67284.85375=""),"-",67284.85375/81950.00838*100)</f>
        <v>82.104755179525952</v>
      </c>
      <c r="E77" s="19">
        <f>IF(81950.00838="","-",81950.00838/6422564.27315*100)</f>
        <v>1.2759702339235126</v>
      </c>
      <c r="F77" s="19">
        <f>IF(67284.85375="","-",67284.85375/8346249.71981*100)</f>
        <v>0.8061687106042128</v>
      </c>
      <c r="G77" s="19">
        <f>IF(OR(4848686.17434="",53291.13927="",81950.00838=""),"-",(81950.00838-53291.13927)/4848686.17434*100)</f>
        <v>0.59106463234653506</v>
      </c>
      <c r="H77" s="19">
        <f>IF(OR(6422564.27315="",67284.85375="",81950.00838=""),"-",(67284.85375-81950.00838)/6422564.27315*100)</f>
        <v>-0.22833799719698808</v>
      </c>
    </row>
    <row r="78" spans="1:8" ht="27.75" customHeight="1" x14ac:dyDescent="0.25">
      <c r="A78" s="17" t="s">
        <v>274</v>
      </c>
      <c r="B78" s="18" t="s">
        <v>174</v>
      </c>
      <c r="C78" s="14">
        <v>13898.228450000001</v>
      </c>
      <c r="D78" s="19">
        <f>IF(OR(14958.64628="",13898.22845=""),"-",13898.22845/14958.64628*100)</f>
        <v>92.911004043074414</v>
      </c>
      <c r="E78" s="19">
        <f>IF(14958.64628="","-",14958.64628/6422564.27315*100)</f>
        <v>0.23290769299944133</v>
      </c>
      <c r="F78" s="19">
        <f>IF(13898.22845="","-",13898.22845/8346249.71981*100)</f>
        <v>0.16652064000687952</v>
      </c>
      <c r="G78" s="19">
        <f>IF(OR(4848686.17434="",9660.67549="",14958.64628=""),"-",(14958.64628-9660.67549)/4848686.17434*100)</f>
        <v>0.10926611043704344</v>
      </c>
      <c r="H78" s="19">
        <f>IF(OR(6422564.27315="",13898.22845="",14958.64628=""),"-",(13898.22845-14958.64628)/6422564.27315*100)</f>
        <v>-1.6510816940099062E-2</v>
      </c>
    </row>
    <row r="79" spans="1:8" x14ac:dyDescent="0.25">
      <c r="A79" s="17" t="s">
        <v>275</v>
      </c>
      <c r="B79" s="18" t="s">
        <v>33</v>
      </c>
      <c r="C79" s="14">
        <v>275216.30777000001</v>
      </c>
      <c r="D79" s="19">
        <f>IF(OR(267956.72098="",275216.30777=""),"-",275216.30777/267956.72098*100)</f>
        <v>102.70923855294598</v>
      </c>
      <c r="E79" s="19">
        <f>IF(267956.72098="","-",267956.72098/6422564.27315*100)</f>
        <v>4.1721142768506452</v>
      </c>
      <c r="F79" s="19">
        <f>IF(275216.30777="","-",275216.30777/8346249.71981*100)</f>
        <v>3.2974847028212961</v>
      </c>
      <c r="G79" s="19">
        <f>IF(OR(4848686.17434="",202353.52818="",267956.72098=""),"-",(267956.72098-202353.52818)/4848686.17434*100)</f>
        <v>1.3530096698603069</v>
      </c>
      <c r="H79" s="19">
        <f>IF(OR(6422564.27315="",275216.30777="",267956.72098=""),"-",(275216.30777-267956.72098)/6422564.27315*100)</f>
        <v>0.11303252846140077</v>
      </c>
    </row>
    <row r="80" spans="1:8" ht="25.5" x14ac:dyDescent="0.25">
      <c r="A80" s="15" t="s">
        <v>278</v>
      </c>
      <c r="B80" s="16" t="s">
        <v>175</v>
      </c>
      <c r="C80" s="13">
        <v>17114.219209999999</v>
      </c>
      <c r="D80" s="21" t="s">
        <v>411</v>
      </c>
      <c r="E80" s="21">
        <f>IF(468.60337="","-",468.60337/6422564.27315*100)</f>
        <v>7.296203666797554E-3</v>
      </c>
      <c r="F80" s="21">
        <f>IF(17114.21921="","-",17114.21921/8346249.71981*100)</f>
        <v>0.20505280556582245</v>
      </c>
      <c r="G80" s="21">
        <f>IF(4848686.17434="","-",(468.60337-356.08901)/4848686.17434*100)</f>
        <v>2.320512319305041E-3</v>
      </c>
      <c r="H80" s="21">
        <f>IF(6422564.27315="","-",(17114.21921-468.60337)/6422564.27315*100)</f>
        <v>0.25917398615360243</v>
      </c>
    </row>
    <row r="81" spans="1:8" ht="25.5" x14ac:dyDescent="0.25">
      <c r="A81" s="17" t="s">
        <v>322</v>
      </c>
      <c r="B81" s="18" t="s">
        <v>323</v>
      </c>
      <c r="C81" s="14">
        <v>333.24464999999998</v>
      </c>
      <c r="D81" s="19" t="s">
        <v>348</v>
      </c>
      <c r="E81" s="19">
        <f>IF(83.0007="","-",83.0007/6422564.27315*100)</f>
        <v>1.2923296127528142E-3</v>
      </c>
      <c r="F81" s="19">
        <f>IF(333.24465="","-",333.24465/8346249.71981*100)</f>
        <v>3.9927471761243465E-3</v>
      </c>
      <c r="G81" s="19">
        <f>IF(OR(4848686.17434="",87.26859="",83.0007=""),"-",(83.0007-87.26859)/4848686.17434*100)</f>
        <v>-8.8021576289807016E-5</v>
      </c>
      <c r="H81" s="19">
        <f>IF(OR(6422564.27315="",333.24465="",83.0007=""),"-",(333.24465-83.0007)/6422564.27315*100)</f>
        <v>3.8963245731329327E-3</v>
      </c>
    </row>
    <row r="82" spans="1:8" x14ac:dyDescent="0.25">
      <c r="A82" s="17" t="s">
        <v>313</v>
      </c>
      <c r="B82" s="18" t="s">
        <v>314</v>
      </c>
      <c r="C82" s="14">
        <v>404.15352999999999</v>
      </c>
      <c r="D82" s="19" t="s">
        <v>101</v>
      </c>
      <c r="E82" s="19">
        <f>IF(208.31176="","-",208.31176/6422564.27315*100)</f>
        <v>3.2434359726201973E-3</v>
      </c>
      <c r="F82" s="19">
        <f>IF(404.15353="","-",404.15353/8346249.71981*100)</f>
        <v>4.8423369006169691E-3</v>
      </c>
      <c r="G82" s="19" t="str">
        <f>IF(OR(4848686.17434="",""="",208.31176=""),"-",(208.31176-"")/4848686.17434*100)</f>
        <v>-</v>
      </c>
      <c r="H82" s="19">
        <f>IF(OR(6422564.27315="",404.15353="",208.31176=""),"-",(404.15353-208.31176)/6422564.27315*100)</f>
        <v>3.0492769191696662E-3</v>
      </c>
    </row>
    <row r="83" spans="1:8" ht="25.5" x14ac:dyDescent="0.25">
      <c r="A83" s="46" t="s">
        <v>315</v>
      </c>
      <c r="B83" s="47" t="s">
        <v>321</v>
      </c>
      <c r="C83" s="63">
        <v>16376.821029999999</v>
      </c>
      <c r="D83" s="23" t="s">
        <v>412</v>
      </c>
      <c r="E83" s="23">
        <f>IF(177.29091="","-",177.29091/6422564.27315*100)</f>
        <v>2.7604380814245429E-3</v>
      </c>
      <c r="F83" s="23">
        <f>IF(16376.82103="","-",16376.82103/8346249.71981*100)</f>
        <v>0.19621772148908112</v>
      </c>
      <c r="G83" s="23">
        <f>IF(OR(4848686.17434="",268.82042="",177.29091=""),"-",(177.29091-268.82042)/4848686.17434*100)</f>
        <v>-1.8877177591816187E-3</v>
      </c>
      <c r="H83" s="23">
        <f>IF(OR(6422564.27315="",16376.82103="",177.29091=""),"-",(16376.82103-177.29091)/6422564.27315*100)</f>
        <v>0.25222838466129988</v>
      </c>
    </row>
    <row r="84" spans="1:8" x14ac:dyDescent="0.25">
      <c r="A84" s="24" t="s">
        <v>281</v>
      </c>
      <c r="B84" s="25"/>
    </row>
    <row r="85" spans="1:8" x14ac:dyDescent="0.25">
      <c r="A85" s="25" t="s">
        <v>296</v>
      </c>
      <c r="B85" s="25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6"/>
  <sheetViews>
    <sheetView zoomScale="99" zoomScaleNormal="99" workbookViewId="0">
      <selection activeCell="J28" sqref="J28"/>
    </sheetView>
  </sheetViews>
  <sheetFormatPr defaultRowHeight="15.75" x14ac:dyDescent="0.25"/>
  <cols>
    <col min="1" max="1" width="7" customWidth="1"/>
    <col min="2" max="2" width="39.5" customWidth="1"/>
    <col min="3" max="3" width="13.875" customWidth="1"/>
    <col min="4" max="4" width="13.75" customWidth="1"/>
    <col min="5" max="5" width="12.375" customWidth="1"/>
  </cols>
  <sheetData>
    <row r="1" spans="1:5" x14ac:dyDescent="0.25">
      <c r="B1" s="92" t="s">
        <v>130</v>
      </c>
      <c r="C1" s="92"/>
      <c r="D1" s="92"/>
      <c r="E1" s="92"/>
    </row>
    <row r="2" spans="1:5" x14ac:dyDescent="0.25">
      <c r="B2" s="92" t="s">
        <v>280</v>
      </c>
      <c r="C2" s="92"/>
      <c r="D2" s="92"/>
      <c r="E2" s="92"/>
    </row>
    <row r="3" spans="1:5" x14ac:dyDescent="0.25">
      <c r="B3" s="4"/>
    </row>
    <row r="4" spans="1:5" ht="28.5" customHeight="1" x14ac:dyDescent="0.25">
      <c r="A4" s="95" t="s">
        <v>279</v>
      </c>
      <c r="B4" s="95"/>
      <c r="C4" s="99" t="s">
        <v>385</v>
      </c>
      <c r="D4" s="100"/>
      <c r="E4" s="97" t="s">
        <v>388</v>
      </c>
    </row>
    <row r="5" spans="1:5" ht="40.5" customHeight="1" x14ac:dyDescent="0.25">
      <c r="A5" s="96"/>
      <c r="B5" s="96"/>
      <c r="C5" s="30" t="s">
        <v>306</v>
      </c>
      <c r="D5" s="31" t="s">
        <v>307</v>
      </c>
      <c r="E5" s="98"/>
    </row>
    <row r="6" spans="1:5" s="55" customFormat="1" ht="15.75" customHeight="1" x14ac:dyDescent="0.2">
      <c r="A6" s="51"/>
      <c r="B6" s="50" t="s">
        <v>286</v>
      </c>
      <c r="C6" s="58">
        <v>-3603030.5416999999</v>
      </c>
      <c r="D6" s="58">
        <v>-4360898.8447799999</v>
      </c>
      <c r="E6" s="113">
        <f>IF(-3603030.5417="","-",-4360898.84478/-3603030.5417*100)</f>
        <v>121.03419036582517</v>
      </c>
    </row>
    <row r="7" spans="1:5" x14ac:dyDescent="0.25">
      <c r="A7" s="34"/>
      <c r="B7" s="43" t="s">
        <v>120</v>
      </c>
      <c r="C7" s="70"/>
      <c r="D7" s="70"/>
      <c r="E7" s="114"/>
    </row>
    <row r="8" spans="1:5" x14ac:dyDescent="0.25">
      <c r="A8" s="15" t="s">
        <v>207</v>
      </c>
      <c r="B8" s="16" t="s">
        <v>176</v>
      </c>
      <c r="C8" s="48">
        <v>23356.5376</v>
      </c>
      <c r="D8" s="21">
        <v>33728.932410000001</v>
      </c>
      <c r="E8" s="114">
        <f>IF(23356.5376="","-",33728.93241/23356.5376*100)</f>
        <v>144.40895730195902</v>
      </c>
    </row>
    <row r="9" spans="1:5" x14ac:dyDescent="0.25">
      <c r="A9" s="17" t="s">
        <v>208</v>
      </c>
      <c r="B9" s="18" t="s">
        <v>21</v>
      </c>
      <c r="C9" s="49">
        <v>1552.74611</v>
      </c>
      <c r="D9" s="19">
        <v>-3035.4549400000001</v>
      </c>
      <c r="E9" s="115" t="s">
        <v>20</v>
      </c>
    </row>
    <row r="10" spans="1:5" x14ac:dyDescent="0.25">
      <c r="A10" s="17" t="s">
        <v>209</v>
      </c>
      <c r="B10" s="18" t="s">
        <v>177</v>
      </c>
      <c r="C10" s="49">
        <v>-50960.508459999997</v>
      </c>
      <c r="D10" s="19">
        <v>-69849.131299999994</v>
      </c>
      <c r="E10" s="115">
        <f>IF(OR(-50960.50846="",-69849.1313="",-50960.50846=0,-69849.1313=0),"-",-69849.1313/-50960.50846*100)</f>
        <v>137.06521659772309</v>
      </c>
    </row>
    <row r="11" spans="1:5" x14ac:dyDescent="0.25">
      <c r="A11" s="17" t="s">
        <v>210</v>
      </c>
      <c r="B11" s="18" t="s">
        <v>178</v>
      </c>
      <c r="C11" s="49">
        <v>-73927.26526</v>
      </c>
      <c r="D11" s="19">
        <v>-89742.547569999995</v>
      </c>
      <c r="E11" s="115">
        <f>IF(OR(-73927.26526="",-89742.54757="",-73927.26526=0,-89742.54757=0),"-",-89742.54757/-73927.26526*100)</f>
        <v>121.39303037164721</v>
      </c>
    </row>
    <row r="12" spans="1:5" x14ac:dyDescent="0.25">
      <c r="A12" s="17" t="s">
        <v>211</v>
      </c>
      <c r="B12" s="18" t="s">
        <v>179</v>
      </c>
      <c r="C12" s="49">
        <v>-67609.535999999993</v>
      </c>
      <c r="D12" s="19">
        <v>-72474.067519999997</v>
      </c>
      <c r="E12" s="115">
        <f>IF(OR(-67609.536="",-72474.06752="",-67609.536=0,-72474.06752=0),"-",-72474.06752/-67609.536*100)</f>
        <v>107.19503757576447</v>
      </c>
    </row>
    <row r="13" spans="1:5" x14ac:dyDescent="0.25">
      <c r="A13" s="17" t="s">
        <v>212</v>
      </c>
      <c r="B13" s="18" t="s">
        <v>180</v>
      </c>
      <c r="C13" s="49">
        <v>238097.13099999999</v>
      </c>
      <c r="D13" s="19">
        <v>270554.15172999998</v>
      </c>
      <c r="E13" s="115">
        <f>IF(OR(238097.131="",270554.15173="",238097.131=0,270554.15173=0),"-",270554.15173/238097.131*100)</f>
        <v>113.631840330743</v>
      </c>
    </row>
    <row r="14" spans="1:5" x14ac:dyDescent="0.25">
      <c r="A14" s="17" t="s">
        <v>213</v>
      </c>
      <c r="B14" s="18" t="s">
        <v>181</v>
      </c>
      <c r="C14" s="49">
        <v>128289.00952000001</v>
      </c>
      <c r="D14" s="19">
        <v>160341.73999</v>
      </c>
      <c r="E14" s="115">
        <f>IF(OR(128289.00952="",160341.73999="",128289.00952=0,160341.73999=0),"-",160341.73999/128289.00952*100)</f>
        <v>124.98478286637878</v>
      </c>
    </row>
    <row r="15" spans="1:5" x14ac:dyDescent="0.25">
      <c r="A15" s="17" t="s">
        <v>214</v>
      </c>
      <c r="B15" s="18" t="s">
        <v>139</v>
      </c>
      <c r="C15" s="49">
        <v>12944.66743</v>
      </c>
      <c r="D15" s="19">
        <v>2840.39201</v>
      </c>
      <c r="E15" s="115">
        <f>IF(OR(12944.66743="",2840.39201="",12944.66743=0,2840.39201=0),"-",2840.39201/12944.66743*100)</f>
        <v>21.942564576183941</v>
      </c>
    </row>
    <row r="16" spans="1:5" ht="17.25" customHeight="1" x14ac:dyDescent="0.25">
      <c r="A16" s="17" t="s">
        <v>215</v>
      </c>
      <c r="B16" s="18" t="s">
        <v>182</v>
      </c>
      <c r="C16" s="49">
        <v>-51762.366710000002</v>
      </c>
      <c r="D16" s="19">
        <v>-56510.592100000002</v>
      </c>
      <c r="E16" s="115">
        <f>IF(OR(-51762.36671="",-56510.5921="",-51762.36671=0,-56510.5921=0),"-",-56510.5921/-51762.36671*100)</f>
        <v>109.17312265994725</v>
      </c>
    </row>
    <row r="17" spans="1:5" ht="15.75" customHeight="1" x14ac:dyDescent="0.25">
      <c r="A17" s="17" t="s">
        <v>216</v>
      </c>
      <c r="B17" s="18" t="s">
        <v>140</v>
      </c>
      <c r="C17" s="49">
        <v>-19174.166829999998</v>
      </c>
      <c r="D17" s="19">
        <v>-2017.79384</v>
      </c>
      <c r="E17" s="115">
        <f>IF(OR(-19174.16683="",-2017.79384="",-19174.16683=0,-2017.79384=0),"-",-2017.79384/-19174.16683*100)</f>
        <v>10.523502052996376</v>
      </c>
    </row>
    <row r="18" spans="1:5" x14ac:dyDescent="0.25">
      <c r="A18" s="17" t="s">
        <v>217</v>
      </c>
      <c r="B18" s="18" t="s">
        <v>183</v>
      </c>
      <c r="C18" s="49">
        <v>-94093.173200000005</v>
      </c>
      <c r="D18" s="19">
        <v>-106377.76405</v>
      </c>
      <c r="E18" s="115">
        <f>IF(OR(-94093.1732="",-106377.76405="",-94093.1732=0,-106377.76405=0),"-",-106377.76405/-94093.1732*100)</f>
        <v>113.0557727327236</v>
      </c>
    </row>
    <row r="19" spans="1:5" x14ac:dyDescent="0.25">
      <c r="A19" s="15" t="s">
        <v>218</v>
      </c>
      <c r="B19" s="16" t="s">
        <v>184</v>
      </c>
      <c r="C19" s="48">
        <v>70525.910220000005</v>
      </c>
      <c r="D19" s="21">
        <v>55179.028740000002</v>
      </c>
      <c r="E19" s="114">
        <f>IF(70525.91022="","-",55179.02874/70525.91022*100)</f>
        <v>78.239371272023831</v>
      </c>
    </row>
    <row r="20" spans="1:5" x14ac:dyDescent="0.25">
      <c r="A20" s="17" t="s">
        <v>219</v>
      </c>
      <c r="B20" s="18" t="s">
        <v>185</v>
      </c>
      <c r="C20" s="49">
        <v>106486.03035</v>
      </c>
      <c r="D20" s="19">
        <v>89185.886809999996</v>
      </c>
      <c r="E20" s="115">
        <f>IF(OR(106486.03035="",89185.88681="",106486.03035=0,89185.88681=0),"-",89185.88681/106486.03035*100)</f>
        <v>83.753602718462119</v>
      </c>
    </row>
    <row r="21" spans="1:5" x14ac:dyDescent="0.25">
      <c r="A21" s="17" t="s">
        <v>220</v>
      </c>
      <c r="B21" s="18" t="s">
        <v>186</v>
      </c>
      <c r="C21" s="49">
        <v>-35960.120130000003</v>
      </c>
      <c r="D21" s="19">
        <v>-34006.858070000002</v>
      </c>
      <c r="E21" s="115">
        <f>IF(OR(-35960.12013="",-34006.85807="",-35960.12013=0,-34006.85807=0),"-",-34006.85807/-35960.12013*100)</f>
        <v>94.568254908663448</v>
      </c>
    </row>
    <row r="22" spans="1:5" ht="16.5" customHeight="1" x14ac:dyDescent="0.25">
      <c r="A22" s="15" t="s">
        <v>221</v>
      </c>
      <c r="B22" s="16" t="s">
        <v>22</v>
      </c>
      <c r="C22" s="48">
        <v>146056.90508</v>
      </c>
      <c r="D22" s="21">
        <v>204717.30420000001</v>
      </c>
      <c r="E22" s="114">
        <f>IF(146056.90508="","-",204717.3042/146056.90508*100)</f>
        <v>140.16270171401334</v>
      </c>
    </row>
    <row r="23" spans="1:5" x14ac:dyDescent="0.25">
      <c r="A23" s="17" t="s">
        <v>222</v>
      </c>
      <c r="B23" s="18" t="s">
        <v>193</v>
      </c>
      <c r="C23" s="49">
        <v>1091.27207</v>
      </c>
      <c r="D23" s="19">
        <v>1019.54144</v>
      </c>
      <c r="E23" s="115">
        <f>IF(OR(1091.27207="",1019.54144="",1091.27207=0,1019.54144=0),"-",1019.54144/1091.27207*100)</f>
        <v>93.426879329918151</v>
      </c>
    </row>
    <row r="24" spans="1:5" x14ac:dyDescent="0.25">
      <c r="A24" s="17" t="s">
        <v>223</v>
      </c>
      <c r="B24" s="18" t="s">
        <v>187</v>
      </c>
      <c r="C24" s="49">
        <v>173993.39373000001</v>
      </c>
      <c r="D24" s="19">
        <v>247520.51642</v>
      </c>
      <c r="E24" s="115">
        <f>IF(OR(173993.39373="",247520.51642="",173993.39373=0,247520.51642=0),"-",247520.51642/173993.39373*100)</f>
        <v>142.25857149731681</v>
      </c>
    </row>
    <row r="25" spans="1:5" ht="17.25" customHeight="1" x14ac:dyDescent="0.25">
      <c r="A25" s="17" t="s">
        <v>276</v>
      </c>
      <c r="B25" s="18" t="s">
        <v>188</v>
      </c>
      <c r="C25" s="49">
        <v>-2587.5092500000001</v>
      </c>
      <c r="D25" s="19">
        <v>-4005.1110600000002</v>
      </c>
      <c r="E25" s="115">
        <f>IF(OR(-2587.50925="",-4005.11106="",-2587.50925=0,-4005.11106=0),"-",-4005.11106/-2587.50925*100)</f>
        <v>154.78634752706682</v>
      </c>
    </row>
    <row r="26" spans="1:5" x14ac:dyDescent="0.25">
      <c r="A26" s="17" t="s">
        <v>224</v>
      </c>
      <c r="B26" s="18" t="s">
        <v>189</v>
      </c>
      <c r="C26" s="49">
        <v>-50280.179400000001</v>
      </c>
      <c r="D26" s="19">
        <v>-49040.349540000003</v>
      </c>
      <c r="E26" s="115">
        <f>IF(OR(-50280.1794="",-49040.34954="",-50280.1794=0,-49040.34954=0),"-",-49040.34954/-50280.1794*100)</f>
        <v>97.53415784351796</v>
      </c>
    </row>
    <row r="27" spans="1:5" x14ac:dyDescent="0.25">
      <c r="A27" s="17" t="s">
        <v>225</v>
      </c>
      <c r="B27" s="18" t="s">
        <v>141</v>
      </c>
      <c r="C27" s="49">
        <v>4240.1912300000004</v>
      </c>
      <c r="D27" s="19">
        <v>3653.6005799999998</v>
      </c>
      <c r="E27" s="115">
        <f>IF(OR(4240.19123="",3653.60058="",4240.19123=0,3653.60058=0),"-",3653.60058/4240.19123*100)</f>
        <v>86.165938794227444</v>
      </c>
    </row>
    <row r="28" spans="1:5" ht="28.5" customHeight="1" x14ac:dyDescent="0.25">
      <c r="A28" s="17" t="s">
        <v>226</v>
      </c>
      <c r="B28" s="18" t="s">
        <v>142</v>
      </c>
      <c r="C28" s="49">
        <v>-9338.7050299999992</v>
      </c>
      <c r="D28" s="19">
        <v>-7769.0191699999996</v>
      </c>
      <c r="E28" s="115">
        <f>IF(OR(-9338.70503="",-7769.01917="",-9338.70503=0,-7769.01917=0),"-",-7769.01917/-9338.70503*100)</f>
        <v>83.191611096426286</v>
      </c>
    </row>
    <row r="29" spans="1:5" ht="25.5" x14ac:dyDescent="0.25">
      <c r="A29" s="17" t="s">
        <v>227</v>
      </c>
      <c r="B29" s="18" t="s">
        <v>143</v>
      </c>
      <c r="C29" s="49">
        <v>-10828.936729999999</v>
      </c>
      <c r="D29" s="19">
        <v>-1195.1543799999999</v>
      </c>
      <c r="E29" s="115">
        <f>IF(OR(-10828.93673="",-1195.15438="",-10828.93673=0,-1195.15438=0),"-",-1195.15438/-10828.93673*100)</f>
        <v>11.036673403853197</v>
      </c>
    </row>
    <row r="30" spans="1:5" x14ac:dyDescent="0.25">
      <c r="A30" s="17" t="s">
        <v>228</v>
      </c>
      <c r="B30" s="18" t="s">
        <v>144</v>
      </c>
      <c r="C30" s="49">
        <v>77988.455919999993</v>
      </c>
      <c r="D30" s="19">
        <v>50437.535230000001</v>
      </c>
      <c r="E30" s="115">
        <f>IF(OR(77988.45592="",50437.53523="",77988.45592=0,50437.53523=0),"-",50437.53523/77988.45592*100)</f>
        <v>64.673078387060855</v>
      </c>
    </row>
    <row r="31" spans="1:5" x14ac:dyDescent="0.25">
      <c r="A31" s="17" t="s">
        <v>229</v>
      </c>
      <c r="B31" s="18" t="s">
        <v>145</v>
      </c>
      <c r="C31" s="49">
        <v>-38221.07746</v>
      </c>
      <c r="D31" s="19">
        <v>-35904.255319999997</v>
      </c>
      <c r="E31" s="115">
        <f>IF(OR(-38221.07746="",-35904.2553199999="",-38221.07746=0,-35904.2553199999=0),"-",-35904.2553199999/-38221.07746*100)</f>
        <v>93.938365179723803</v>
      </c>
    </row>
    <row r="32" spans="1:5" ht="15.75" customHeight="1" x14ac:dyDescent="0.25">
      <c r="A32" s="15" t="s">
        <v>230</v>
      </c>
      <c r="B32" s="16" t="s">
        <v>146</v>
      </c>
      <c r="C32" s="48">
        <v>-913884.43559999997</v>
      </c>
      <c r="D32" s="21">
        <v>-1774149.4306900001</v>
      </c>
      <c r="E32" s="114" t="s">
        <v>101</v>
      </c>
    </row>
    <row r="33" spans="1:5" x14ac:dyDescent="0.25">
      <c r="A33" s="17" t="s">
        <v>231</v>
      </c>
      <c r="B33" s="18" t="s">
        <v>190</v>
      </c>
      <c r="C33" s="49">
        <v>-17074.96356</v>
      </c>
      <c r="D33" s="19">
        <v>-33959.006569999998</v>
      </c>
      <c r="E33" s="115" t="s">
        <v>18</v>
      </c>
    </row>
    <row r="34" spans="1:5" x14ac:dyDescent="0.25">
      <c r="A34" s="17" t="s">
        <v>232</v>
      </c>
      <c r="B34" s="18" t="s">
        <v>147</v>
      </c>
      <c r="C34" s="49">
        <v>-562514.72343999997</v>
      </c>
      <c r="D34" s="19">
        <v>-891581.39962000004</v>
      </c>
      <c r="E34" s="115">
        <f>IF(OR(-562514.72344="",-891581.39962="",-562514.72344=0,-891581.39962=0),"-",-891581.39962/-562514.72344*100)</f>
        <v>158.49921121488646</v>
      </c>
    </row>
    <row r="35" spans="1:5" x14ac:dyDescent="0.25">
      <c r="A35" s="17" t="s">
        <v>277</v>
      </c>
      <c r="B35" s="18" t="s">
        <v>191</v>
      </c>
      <c r="C35" s="49">
        <v>-326579.19043999998</v>
      </c>
      <c r="D35" s="19">
        <v>-737529.55208000005</v>
      </c>
      <c r="E35" s="115" t="s">
        <v>349</v>
      </c>
    </row>
    <row r="36" spans="1:5" x14ac:dyDescent="0.25">
      <c r="A36" s="17" t="s">
        <v>283</v>
      </c>
      <c r="B36" s="18" t="s">
        <v>285</v>
      </c>
      <c r="C36" s="49">
        <v>-7715.5581599999996</v>
      </c>
      <c r="D36" s="19">
        <v>-111079.47242000001</v>
      </c>
      <c r="E36" s="115" t="s">
        <v>413</v>
      </c>
    </row>
    <row r="37" spans="1:5" ht="25.5" x14ac:dyDescent="0.25">
      <c r="A37" s="15" t="s">
        <v>233</v>
      </c>
      <c r="B37" s="16" t="s">
        <v>148</v>
      </c>
      <c r="C37" s="48">
        <v>86950.734049999999</v>
      </c>
      <c r="D37" s="21">
        <v>286238.98388999997</v>
      </c>
      <c r="E37" s="114" t="s">
        <v>350</v>
      </c>
    </row>
    <row r="38" spans="1:5" x14ac:dyDescent="0.25">
      <c r="A38" s="17" t="s">
        <v>234</v>
      </c>
      <c r="B38" s="18" t="s">
        <v>194</v>
      </c>
      <c r="C38" s="49">
        <v>-1876.4951799999999</v>
      </c>
      <c r="D38" s="19">
        <v>-2407.3087700000001</v>
      </c>
      <c r="E38" s="115">
        <f>IF(OR(-1876.49518="",-2407.30877="",-1876.49518=0,-2407.30877=0),"-",-2407.30877/-1876.49518*100)</f>
        <v>128.28750085038857</v>
      </c>
    </row>
    <row r="39" spans="1:5" ht="14.25" customHeight="1" x14ac:dyDescent="0.25">
      <c r="A39" s="17" t="s">
        <v>235</v>
      </c>
      <c r="B39" s="18" t="s">
        <v>149</v>
      </c>
      <c r="C39" s="49">
        <v>90812.186470000001</v>
      </c>
      <c r="D39" s="19">
        <v>291885.48564000003</v>
      </c>
      <c r="E39" s="115" t="s">
        <v>351</v>
      </c>
    </row>
    <row r="40" spans="1:5" ht="40.5" customHeight="1" x14ac:dyDescent="0.25">
      <c r="A40" s="17" t="s">
        <v>236</v>
      </c>
      <c r="B40" s="18" t="s">
        <v>192</v>
      </c>
      <c r="C40" s="49">
        <v>-1984.95724</v>
      </c>
      <c r="D40" s="19">
        <v>-3239.1929799999998</v>
      </c>
      <c r="E40" s="115" t="s">
        <v>100</v>
      </c>
    </row>
    <row r="41" spans="1:5" ht="15" customHeight="1" x14ac:dyDescent="0.25">
      <c r="A41" s="15" t="s">
        <v>237</v>
      </c>
      <c r="B41" s="16" t="s">
        <v>150</v>
      </c>
      <c r="C41" s="48">
        <v>-797388.43672999996</v>
      </c>
      <c r="D41" s="21">
        <v>-864029.49993000005</v>
      </c>
      <c r="E41" s="114">
        <f>IF(-797388.43673="","-",-864029.49993/-797388.43673*100)</f>
        <v>108.35741529853225</v>
      </c>
    </row>
    <row r="42" spans="1:5" x14ac:dyDescent="0.25">
      <c r="A42" s="17" t="s">
        <v>238</v>
      </c>
      <c r="B42" s="18" t="s">
        <v>23</v>
      </c>
      <c r="C42" s="49">
        <v>18844.365389999999</v>
      </c>
      <c r="D42" s="19">
        <v>28065.109560000001</v>
      </c>
      <c r="E42" s="115">
        <f>IF(OR(18844.36539="",28065.10956="",18844.36539=0,28065.10956=0),"-",28065.10956/18844.36539*100)</f>
        <v>148.93104107869351</v>
      </c>
    </row>
    <row r="43" spans="1:5" x14ac:dyDescent="0.25">
      <c r="A43" s="17" t="s">
        <v>239</v>
      </c>
      <c r="B43" s="18" t="s">
        <v>24</v>
      </c>
      <c r="C43" s="49">
        <v>-13521.95577</v>
      </c>
      <c r="D43" s="19">
        <v>-23291.807150000001</v>
      </c>
      <c r="E43" s="115" t="s">
        <v>99</v>
      </c>
    </row>
    <row r="44" spans="1:5" x14ac:dyDescent="0.25">
      <c r="A44" s="17" t="s">
        <v>240</v>
      </c>
      <c r="B44" s="18" t="s">
        <v>151</v>
      </c>
      <c r="C44" s="49">
        <v>-44868.272389999998</v>
      </c>
      <c r="D44" s="19">
        <v>-44791.886489999997</v>
      </c>
      <c r="E44" s="115">
        <f>IF(OR(-44868.27239="",-44791.88649="",-44868.27239=0,-44791.88649=0),"-",-44791.88649/-44868.27239*100)</f>
        <v>99.829755201323451</v>
      </c>
    </row>
    <row r="45" spans="1:5" x14ac:dyDescent="0.25">
      <c r="A45" s="17" t="s">
        <v>241</v>
      </c>
      <c r="B45" s="18" t="s">
        <v>152</v>
      </c>
      <c r="C45" s="49">
        <v>-216839.04529000001</v>
      </c>
      <c r="D45" s="19">
        <v>-211887.08906</v>
      </c>
      <c r="E45" s="115">
        <f>IF(OR(-216839.04529="",-211887.08906="",-216839.04529=0,-211887.08906=0),"-",-211887.08906/-216839.04529*100)</f>
        <v>97.716298638293082</v>
      </c>
    </row>
    <row r="46" spans="1:5" ht="28.5" customHeight="1" x14ac:dyDescent="0.25">
      <c r="A46" s="17" t="s">
        <v>242</v>
      </c>
      <c r="B46" s="18" t="s">
        <v>153</v>
      </c>
      <c r="C46" s="49">
        <v>-115046.70117</v>
      </c>
      <c r="D46" s="19">
        <v>-123251.56213999999</v>
      </c>
      <c r="E46" s="115">
        <f>IF(OR(-115046.70117="",-123251.56214="",-115046.70117=0,-123251.56214=0),"-",-123251.56214/-115046.70117*100)</f>
        <v>107.13176552352944</v>
      </c>
    </row>
    <row r="47" spans="1:5" x14ac:dyDescent="0.25">
      <c r="A47" s="17" t="s">
        <v>243</v>
      </c>
      <c r="B47" s="18" t="s">
        <v>154</v>
      </c>
      <c r="C47" s="49">
        <v>-80120.760890000005</v>
      </c>
      <c r="D47" s="19">
        <v>-128116.30746</v>
      </c>
      <c r="E47" s="115">
        <f>IF(OR(-80120.76089="",-128116.30746="",-80120.76089=0,-128116.30746=0),"-",-128116.30746/-80120.76089*100)</f>
        <v>159.90400744682691</v>
      </c>
    </row>
    <row r="48" spans="1:5" x14ac:dyDescent="0.25">
      <c r="A48" s="17" t="s">
        <v>244</v>
      </c>
      <c r="B48" s="18" t="s">
        <v>25</v>
      </c>
      <c r="C48" s="49">
        <v>-63578.588830000001</v>
      </c>
      <c r="D48" s="19">
        <v>-69845.972210000007</v>
      </c>
      <c r="E48" s="115">
        <f>IF(OR(-63578.58883="",-69845.97221="",-63578.58883=0,-69845.97221=0),"-",-69845.97221/-63578.58883*100)</f>
        <v>109.85769501232261</v>
      </c>
    </row>
    <row r="49" spans="1:5" x14ac:dyDescent="0.25">
      <c r="A49" s="17" t="s">
        <v>245</v>
      </c>
      <c r="B49" s="18" t="s">
        <v>26</v>
      </c>
      <c r="C49" s="49">
        <v>-141518.72175</v>
      </c>
      <c r="D49" s="19">
        <v>-132819.45275999999</v>
      </c>
      <c r="E49" s="115">
        <f>IF(OR(-141518.72175="",-132819.45276="",-141518.72175=0,-132819.45276=0),"-",-132819.45276/-141518.72175*100)</f>
        <v>93.852920036002232</v>
      </c>
    </row>
    <row r="50" spans="1:5" x14ac:dyDescent="0.25">
      <c r="A50" s="17" t="s">
        <v>246</v>
      </c>
      <c r="B50" s="18" t="s">
        <v>155</v>
      </c>
      <c r="C50" s="49">
        <v>-140738.75602999999</v>
      </c>
      <c r="D50" s="19">
        <v>-158090.53221999999</v>
      </c>
      <c r="E50" s="115">
        <f>IF(OR(-140738.75603="",-158090.53222="",-140738.75603=0,-158090.53222=0),"-",-158090.53222/-140738.75603*100)</f>
        <v>112.32906747186347</v>
      </c>
    </row>
    <row r="51" spans="1:5" ht="25.5" x14ac:dyDescent="0.25">
      <c r="A51" s="15" t="s">
        <v>247</v>
      </c>
      <c r="B51" s="16" t="s">
        <v>336</v>
      </c>
      <c r="C51" s="48">
        <v>-973991.47126999998</v>
      </c>
      <c r="D51" s="21">
        <v>-931389.14596999995</v>
      </c>
      <c r="E51" s="114">
        <f>IF(-973991.47127="","-",-931389.14597/-973991.47127*100)</f>
        <v>95.626006329968135</v>
      </c>
    </row>
    <row r="52" spans="1:5" x14ac:dyDescent="0.25">
      <c r="A52" s="17" t="s">
        <v>248</v>
      </c>
      <c r="B52" s="18" t="s">
        <v>156</v>
      </c>
      <c r="C52" s="49">
        <v>-49261.695659999998</v>
      </c>
      <c r="D52" s="19">
        <v>-47666.268519999998</v>
      </c>
      <c r="E52" s="115">
        <f>IF(OR(-49261.69566="",-47666.26852="",-49261.69566=0,-47666.26852=0),"-",-47666.26852/-49261.69566*100)</f>
        <v>96.761323136313663</v>
      </c>
    </row>
    <row r="53" spans="1:5" x14ac:dyDescent="0.25">
      <c r="A53" s="17" t="s">
        <v>249</v>
      </c>
      <c r="B53" s="18" t="s">
        <v>27</v>
      </c>
      <c r="C53" s="49">
        <v>-66907.358229999998</v>
      </c>
      <c r="D53" s="19">
        <v>-77563.578999999998</v>
      </c>
      <c r="E53" s="115">
        <f>IF(OR(-66907.35823="",-77563.579="",-66907.35823=0,-77563.579=0),"-",-77563.579/-66907.35823*100)</f>
        <v>115.92682935316067</v>
      </c>
    </row>
    <row r="54" spans="1:5" x14ac:dyDescent="0.25">
      <c r="A54" s="17" t="s">
        <v>250</v>
      </c>
      <c r="B54" s="18" t="s">
        <v>157</v>
      </c>
      <c r="C54" s="49">
        <v>-81674.756009999997</v>
      </c>
      <c r="D54" s="19">
        <v>-75979.184770000007</v>
      </c>
      <c r="E54" s="115">
        <f>IF(OR(-81674.75601="",-75979.18477="",-81674.75601=0,-75979.18477=0),"-",-75979.18477/-81674.75601*100)</f>
        <v>93.026521879902958</v>
      </c>
    </row>
    <row r="55" spans="1:5" ht="25.5" x14ac:dyDescent="0.25">
      <c r="A55" s="17" t="s">
        <v>251</v>
      </c>
      <c r="B55" s="18" t="s">
        <v>158</v>
      </c>
      <c r="C55" s="49">
        <v>-91986.539929999999</v>
      </c>
      <c r="D55" s="19">
        <v>-112043.85038</v>
      </c>
      <c r="E55" s="115">
        <f>IF(OR(-91986.53993="",-112043.85038="",-91986.53993=0,-112043.85038=0),"-",-112043.85038/-91986.53993*100)</f>
        <v>121.8046145286726</v>
      </c>
    </row>
    <row r="56" spans="1:5" ht="25.5" x14ac:dyDescent="0.25">
      <c r="A56" s="17" t="s">
        <v>252</v>
      </c>
      <c r="B56" s="18" t="s">
        <v>159</v>
      </c>
      <c r="C56" s="49">
        <v>-217363.97060999999</v>
      </c>
      <c r="D56" s="19">
        <v>-210540.55462000001</v>
      </c>
      <c r="E56" s="115">
        <f>IF(OR(-217363.97061="",-210540.55462="",-217363.97061=0,-210540.55462=0),"-",-210540.55462/-217363.97061*100)</f>
        <v>96.860833940946577</v>
      </c>
    </row>
    <row r="57" spans="1:5" x14ac:dyDescent="0.25">
      <c r="A57" s="17" t="s">
        <v>253</v>
      </c>
      <c r="B57" s="18" t="s">
        <v>28</v>
      </c>
      <c r="C57" s="49">
        <v>-89416.41201</v>
      </c>
      <c r="D57" s="19">
        <v>-68813.291939999996</v>
      </c>
      <c r="E57" s="115">
        <f>IF(OR(-89416.41201="",-68813.29194="",-89416.41201=0,-68813.29194=0),"-",-68813.29194/-89416.41201*100)</f>
        <v>76.958234392478388</v>
      </c>
    </row>
    <row r="58" spans="1:5" x14ac:dyDescent="0.25">
      <c r="A58" s="17" t="s">
        <v>254</v>
      </c>
      <c r="B58" s="18" t="s">
        <v>160</v>
      </c>
      <c r="C58" s="49">
        <v>-152475.55682999999</v>
      </c>
      <c r="D58" s="19">
        <v>-155892.18210000001</v>
      </c>
      <c r="E58" s="115">
        <f>IF(OR(-152475.55683="",-155892.1821="",-152475.55683=0,-155892.1821=0),"-",-155892.1821/-152475.55683*100)</f>
        <v>102.2407691705034</v>
      </c>
    </row>
    <row r="59" spans="1:5" x14ac:dyDescent="0.25">
      <c r="A59" s="17" t="s">
        <v>255</v>
      </c>
      <c r="B59" s="18" t="s">
        <v>29</v>
      </c>
      <c r="C59" s="49">
        <v>-67435.625239999994</v>
      </c>
      <c r="D59" s="19">
        <v>-30799.98041</v>
      </c>
      <c r="E59" s="115">
        <f>IF(OR(-67435.62524="",-30799.98041="",-67435.62524=0,-30799.98041=0),"-",-30799.98041/-67435.62524*100)</f>
        <v>45.673159106013209</v>
      </c>
    </row>
    <row r="60" spans="1:5" x14ac:dyDescent="0.25">
      <c r="A60" s="17" t="s">
        <v>256</v>
      </c>
      <c r="B60" s="18" t="s">
        <v>30</v>
      </c>
      <c r="C60" s="49">
        <v>-157469.55674999999</v>
      </c>
      <c r="D60" s="19">
        <v>-152090.25422999999</v>
      </c>
      <c r="E60" s="115">
        <f>IF(OR(-157469.55675="",-152090.25423="",-157469.55675=0,-152090.25423=0),"-",-152090.25423/-157469.55675*100)</f>
        <v>96.583909530817934</v>
      </c>
    </row>
    <row r="61" spans="1:5" x14ac:dyDescent="0.25">
      <c r="A61" s="15" t="s">
        <v>257</v>
      </c>
      <c r="B61" s="16" t="s">
        <v>161</v>
      </c>
      <c r="C61" s="48">
        <v>-1040848.49859</v>
      </c>
      <c r="D61" s="21">
        <v>-1194088.1368799999</v>
      </c>
      <c r="E61" s="114">
        <f>IF(-1040848.49859="","-",-1194088.13688/-1040848.49859*100)</f>
        <v>114.72256899035625</v>
      </c>
    </row>
    <row r="62" spans="1:5" ht="16.5" customHeight="1" x14ac:dyDescent="0.25">
      <c r="A62" s="17" t="s">
        <v>258</v>
      </c>
      <c r="B62" s="18" t="s">
        <v>162</v>
      </c>
      <c r="C62" s="49">
        <v>-22752.709360000001</v>
      </c>
      <c r="D62" s="19">
        <v>-25718.568340000002</v>
      </c>
      <c r="E62" s="115">
        <f>IF(OR(-22752.70936="",-25718.56834="",-22752.70936=0,-25718.56834=0),"-",-25718.56834/-22752.70936*100)</f>
        <v>113.03519037259832</v>
      </c>
    </row>
    <row r="63" spans="1:5" ht="15" customHeight="1" x14ac:dyDescent="0.25">
      <c r="A63" s="17" t="s">
        <v>259</v>
      </c>
      <c r="B63" s="18" t="s">
        <v>163</v>
      </c>
      <c r="C63" s="49">
        <v>-209024.85855</v>
      </c>
      <c r="D63" s="19">
        <v>-258493.42585</v>
      </c>
      <c r="E63" s="115">
        <f>IF(OR(-209024.85855="",-258493.42585="",-209024.85855=0,-258493.42585=0),"-",-258493.42585/-209024.85855*100)</f>
        <v>123.66635607035555</v>
      </c>
    </row>
    <row r="64" spans="1:5" x14ac:dyDescent="0.25">
      <c r="A64" s="17" t="s">
        <v>260</v>
      </c>
      <c r="B64" s="18" t="s">
        <v>164</v>
      </c>
      <c r="C64" s="49">
        <v>-12144.512409999999</v>
      </c>
      <c r="D64" s="19">
        <v>-7735.4504200000001</v>
      </c>
      <c r="E64" s="115">
        <f>IF(OR(-12144.51241="",-7735.45042="",-12144.51241=0,-7735.45042=0),"-",-7735.45042/-12144.51241*100)</f>
        <v>63.695026682425706</v>
      </c>
    </row>
    <row r="65" spans="1:5" ht="25.5" x14ac:dyDescent="0.25">
      <c r="A65" s="17" t="s">
        <v>261</v>
      </c>
      <c r="B65" s="18" t="s">
        <v>165</v>
      </c>
      <c r="C65" s="49">
        <v>-202311.21257999999</v>
      </c>
      <c r="D65" s="19">
        <v>-202097.68306000001</v>
      </c>
      <c r="E65" s="115">
        <f>IF(OR(-202311.21258="",-202097.68306="",-202311.21258=0,-202097.68306=0),"-",-202097.68306/-202311.21258*100)</f>
        <v>99.894454925519497</v>
      </c>
    </row>
    <row r="66" spans="1:5" ht="27.75" customHeight="1" x14ac:dyDescent="0.25">
      <c r="A66" s="17" t="s">
        <v>262</v>
      </c>
      <c r="B66" s="18" t="s">
        <v>166</v>
      </c>
      <c r="C66" s="49">
        <v>-67310.301919999998</v>
      </c>
      <c r="D66" s="19">
        <v>-77631.723920000004</v>
      </c>
      <c r="E66" s="115">
        <f>IF(OR(-67310.30192="",-77631.72392="",-67310.30192=0,-77631.72392=0),"-",-77631.72392/-67310.30192*100)</f>
        <v>115.33408959042745</v>
      </c>
    </row>
    <row r="67" spans="1:5" ht="29.25" customHeight="1" x14ac:dyDescent="0.25">
      <c r="A67" s="17" t="s">
        <v>263</v>
      </c>
      <c r="B67" s="18" t="s">
        <v>167</v>
      </c>
      <c r="C67" s="49">
        <v>-169988.38780999999</v>
      </c>
      <c r="D67" s="19">
        <v>-174479.08571000001</v>
      </c>
      <c r="E67" s="115">
        <f>IF(OR(-169988.38781="",-174479.08571="",-169988.38781=0,-174479.08571=0),"-",-174479.08571/-169988.38781*100)</f>
        <v>102.6417674512093</v>
      </c>
    </row>
    <row r="68" spans="1:5" ht="15" customHeight="1" x14ac:dyDescent="0.25">
      <c r="A68" s="17" t="s">
        <v>264</v>
      </c>
      <c r="B68" s="18" t="s">
        <v>168</v>
      </c>
      <c r="C68" s="49">
        <v>-3271.8327800000002</v>
      </c>
      <c r="D68" s="19">
        <v>-36432.467109999998</v>
      </c>
      <c r="E68" s="115" t="s">
        <v>414</v>
      </c>
    </row>
    <row r="69" spans="1:5" x14ac:dyDescent="0.25">
      <c r="A69" s="17" t="s">
        <v>265</v>
      </c>
      <c r="B69" s="18" t="s">
        <v>169</v>
      </c>
      <c r="C69" s="49">
        <v>-351561.72574000002</v>
      </c>
      <c r="D69" s="19">
        <v>-406278.35060000001</v>
      </c>
      <c r="E69" s="115">
        <f>IF(OR(-351561.72574="",-406278.3506="",-351561.72574=0,-406278.3506=0),"-",-406278.3506/-351561.72574*100)</f>
        <v>115.56387423711365</v>
      </c>
    </row>
    <row r="70" spans="1:5" x14ac:dyDescent="0.25">
      <c r="A70" s="17" t="s">
        <v>266</v>
      </c>
      <c r="B70" s="18" t="s">
        <v>31</v>
      </c>
      <c r="C70" s="49">
        <v>-2482.9574400000001</v>
      </c>
      <c r="D70" s="19">
        <v>-5221.3818700000002</v>
      </c>
      <c r="E70" s="115" t="s">
        <v>91</v>
      </c>
    </row>
    <row r="71" spans="1:5" x14ac:dyDescent="0.25">
      <c r="A71" s="15" t="s">
        <v>267</v>
      </c>
      <c r="B71" s="16" t="s">
        <v>32</v>
      </c>
      <c r="C71" s="48">
        <v>-204177.4123</v>
      </c>
      <c r="D71" s="21">
        <v>-163648.30850000001</v>
      </c>
      <c r="E71" s="114">
        <f>IF(-204177.4123="","-",-163648.3085/-204177.4123*100)</f>
        <v>80.150055119490816</v>
      </c>
    </row>
    <row r="72" spans="1:5" ht="25.5" x14ac:dyDescent="0.25">
      <c r="A72" s="17" t="s">
        <v>268</v>
      </c>
      <c r="B72" s="18" t="s">
        <v>195</v>
      </c>
      <c r="C72" s="49">
        <v>-55760.834649999997</v>
      </c>
      <c r="D72" s="19">
        <v>-44145.627899999999</v>
      </c>
      <c r="E72" s="115">
        <f>IF(OR(-55760.83465="",-44145.6279="",-55760.83465=0,-44145.6279=0),"-",-44145.6279/-55760.83465*100)</f>
        <v>79.169596683933435</v>
      </c>
    </row>
    <row r="73" spans="1:5" x14ac:dyDescent="0.25">
      <c r="A73" s="17" t="s">
        <v>269</v>
      </c>
      <c r="B73" s="18" t="s">
        <v>170</v>
      </c>
      <c r="C73" s="49">
        <v>78177.379119999998</v>
      </c>
      <c r="D73" s="19">
        <v>70290.869340000005</v>
      </c>
      <c r="E73" s="115">
        <f>IF(OR(78177.37912="",70290.86934="",78177.37912=0,70290.86934=0),"-",70290.86934/78177.37912*100)</f>
        <v>89.912030988024767</v>
      </c>
    </row>
    <row r="74" spans="1:5" x14ac:dyDescent="0.25">
      <c r="A74" s="17" t="s">
        <v>270</v>
      </c>
      <c r="B74" s="18" t="s">
        <v>171</v>
      </c>
      <c r="C74" s="49">
        <v>2241.6028500000002</v>
      </c>
      <c r="D74" s="19">
        <v>-1516.1893399999999</v>
      </c>
      <c r="E74" s="115" t="s">
        <v>20</v>
      </c>
    </row>
    <row r="75" spans="1:5" x14ac:dyDescent="0.25">
      <c r="A75" s="17" t="s">
        <v>271</v>
      </c>
      <c r="B75" s="18" t="s">
        <v>172</v>
      </c>
      <c r="C75" s="49">
        <v>67901.983909999995</v>
      </c>
      <c r="D75" s="19">
        <v>83973.710510000004</v>
      </c>
      <c r="E75" s="115">
        <f>IF(OR(67901.98391="",83973.71051="",67901.98391=0,83973.71051=0),"-",83973.71051/67901.98391*100)</f>
        <v>123.66900887800585</v>
      </c>
    </row>
    <row r="76" spans="1:5" x14ac:dyDescent="0.25">
      <c r="A76" s="17" t="s">
        <v>272</v>
      </c>
      <c r="B76" s="18" t="s">
        <v>173</v>
      </c>
      <c r="C76" s="49">
        <v>-13748.754499999999</v>
      </c>
      <c r="D76" s="19">
        <v>-17924.16935</v>
      </c>
      <c r="E76" s="115">
        <f>IF(OR(-13748.7545="",-17924.16935="",-13748.7545=0,-17924.16935=0),"-",-17924.16935/-13748.7545*100)</f>
        <v>130.36940437041042</v>
      </c>
    </row>
    <row r="77" spans="1:5" ht="25.5" x14ac:dyDescent="0.25">
      <c r="A77" s="17" t="s">
        <v>273</v>
      </c>
      <c r="B77" s="18" t="s">
        <v>379</v>
      </c>
      <c r="C77" s="49">
        <v>-61084.907850000003</v>
      </c>
      <c r="D77" s="19">
        <v>-45745.360030000003</v>
      </c>
      <c r="E77" s="115">
        <f>IF(OR(-61084.90785="",-45745.36003="",-61084.90785=0,-45745.36003=0),"-",-45745.36003/-61084.90785*100)</f>
        <v>74.888154275901059</v>
      </c>
    </row>
    <row r="78" spans="1:5" ht="25.5" x14ac:dyDescent="0.25">
      <c r="A78" s="17" t="s">
        <v>274</v>
      </c>
      <c r="B78" s="18" t="s">
        <v>174</v>
      </c>
      <c r="C78" s="49">
        <v>-11489.52831</v>
      </c>
      <c r="D78" s="19">
        <v>-8848.7407500000008</v>
      </c>
      <c r="E78" s="115">
        <f>IF(OR(-11489.52831="",-8848.74075="",-11489.52831=0,-8848.74075=0),"-",-8848.74075/-11489.52831*100)</f>
        <v>77.015700829932513</v>
      </c>
    </row>
    <row r="79" spans="1:5" x14ac:dyDescent="0.25">
      <c r="A79" s="17" t="s">
        <v>275</v>
      </c>
      <c r="B79" s="18" t="s">
        <v>33</v>
      </c>
      <c r="C79" s="49">
        <v>-210414.35287</v>
      </c>
      <c r="D79" s="19">
        <v>-199732.80098</v>
      </c>
      <c r="E79" s="115">
        <f>IF(OR(-210414.35287="",-199732.80098="",-210414.35287=0,-199732.80098=0),"-",-199732.80098/-210414.35287*100)</f>
        <v>94.923563081935114</v>
      </c>
    </row>
    <row r="80" spans="1:5" x14ac:dyDescent="0.25">
      <c r="A80" s="15" t="s">
        <v>278</v>
      </c>
      <c r="B80" s="16" t="s">
        <v>175</v>
      </c>
      <c r="C80" s="48">
        <v>369.62583999999998</v>
      </c>
      <c r="D80" s="21">
        <v>-13458.572050000001</v>
      </c>
      <c r="E80" s="114" t="s">
        <v>20</v>
      </c>
    </row>
    <row r="81" spans="1:5" ht="25.5" x14ac:dyDescent="0.25">
      <c r="A81" s="17" t="s">
        <v>322</v>
      </c>
      <c r="B81" s="18" t="s">
        <v>323</v>
      </c>
      <c r="C81" s="71">
        <v>-83.000699999999995</v>
      </c>
      <c r="D81" s="19">
        <v>-333.24464999999998</v>
      </c>
      <c r="E81" s="115" t="s">
        <v>348</v>
      </c>
    </row>
    <row r="82" spans="1:5" x14ac:dyDescent="0.25">
      <c r="A82" s="17" t="s">
        <v>313</v>
      </c>
      <c r="B82" s="18" t="s">
        <v>314</v>
      </c>
      <c r="C82" s="72">
        <v>629.91745000000003</v>
      </c>
      <c r="D82" s="19">
        <v>916.35805000000005</v>
      </c>
      <c r="E82" s="115">
        <f>IF(OR(629.91745="",916.35805="",629.91745=0,916.35805=0),"-",916.35805/629.91745*100)</f>
        <v>145.47272027469631</v>
      </c>
    </row>
    <row r="83" spans="1:5" x14ac:dyDescent="0.25">
      <c r="A83" s="46" t="s">
        <v>315</v>
      </c>
      <c r="B83" s="47" t="s">
        <v>321</v>
      </c>
      <c r="C83" s="73">
        <v>-177.29091</v>
      </c>
      <c r="D83" s="23">
        <v>-14041.685450000001</v>
      </c>
      <c r="E83" s="116" t="s">
        <v>415</v>
      </c>
    </row>
    <row r="84" spans="1:5" x14ac:dyDescent="0.25">
      <c r="A84" s="24" t="s">
        <v>281</v>
      </c>
      <c r="B84" s="25"/>
    </row>
    <row r="85" spans="1:5" x14ac:dyDescent="0.25">
      <c r="C85" s="19"/>
      <c r="D85" s="19"/>
      <c r="E85" s="27"/>
    </row>
    <row r="86" spans="1:5" x14ac:dyDescent="0.25">
      <c r="C86" s="19"/>
      <c r="D86" s="19"/>
      <c r="E86" s="27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8</vt:i4>
      </vt:variant>
      <vt:variant>
        <vt:lpstr>Zone denumite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Comerciala_Tari'!Imprimare_titluri</vt:lpstr>
      <vt:lpstr>Balanta_Comerciala_Gr_Marf_CSCI!Imprimare_titluri</vt:lpstr>
      <vt:lpstr>Export_Grupe_Marfuri_CSCI!Imprimare_titluri</vt:lpstr>
      <vt:lpstr>Export_Tari!Imprimare_titluri</vt:lpstr>
      <vt:lpstr>Import_Grupe_Marfuri_CSCI!Imprimare_titluri</vt:lpstr>
      <vt:lpstr>Import_Tari!Imprimare_titluri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2023-01-12T14:10:21Z</cp:lastPrinted>
  <dcterms:created xsi:type="dcterms:W3CDTF">2016-09-01T07:59:47Z</dcterms:created>
  <dcterms:modified xsi:type="dcterms:W3CDTF">2023-01-12T14:10:37Z</dcterms:modified>
</cp:coreProperties>
</file>