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comert\"/>
    </mc:Choice>
  </mc:AlternateContent>
  <xr:revisionPtr revIDLastSave="0" documentId="13_ncr:1_{FBA6F385-A1F1-47AF-A558-986591351C55}" xr6:coauthVersionLast="37" xr6:coauthVersionMax="37" xr10:uidLastSave="{00000000-0000-0000-0000-000000000000}"/>
  <bookViews>
    <workbookView xWindow="0" yWindow="0" windowWidth="20400" windowHeight="724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8" l="1"/>
  <c r="AM26" i="8" l="1"/>
  <c r="B25" i="2" l="1"/>
  <c r="C25" i="2"/>
  <c r="D25" i="2"/>
  <c r="E25" i="2"/>
  <c r="F25" i="2"/>
  <c r="G25" i="2"/>
  <c r="H25" i="2"/>
  <c r="I25" i="2"/>
  <c r="J25" i="2"/>
  <c r="K25" i="2"/>
  <c r="L25" i="2"/>
  <c r="M25" i="2"/>
  <c r="AL25" i="2"/>
  <c r="AM25" i="2" l="1"/>
  <c r="AK26" i="8" l="1"/>
  <c r="AJ26" i="8"/>
  <c r="AI26" i="8"/>
  <c r="AH26" i="8"/>
  <c r="AG26" i="8"/>
  <c r="AK25" i="2" l="1"/>
  <c r="AJ25" i="2"/>
  <c r="AI25" i="2"/>
  <c r="AH25" i="2"/>
  <c r="AG25" i="2"/>
  <c r="AF26" i="8" l="1"/>
  <c r="AE26" i="8"/>
  <c r="AD26" i="8"/>
  <c r="AC26" i="8"/>
  <c r="AB26" i="8"/>
  <c r="AA26" i="8"/>
  <c r="Z26" i="8"/>
  <c r="AF25" i="2" l="1"/>
  <c r="AE25" i="2"/>
  <c r="AD25" i="2"/>
  <c r="AC25" i="2"/>
  <c r="AB25" i="2"/>
  <c r="AA25" i="2"/>
  <c r="Z25" i="2"/>
  <c r="T25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5" i="2" l="1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</calcChain>
</file>

<file path=xl/sharedStrings.xml><?xml version="1.0" encoding="utf-8"?>
<sst xmlns="http://schemas.openxmlformats.org/spreadsheetml/2006/main" count="284" uniqueCount="109">
  <si>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</si>
  <si>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</si>
  <si>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</si>
  <si>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</si>
  <si>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</si>
  <si>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</si>
  <si>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</si>
  <si>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</si>
  <si>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</si>
  <si>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</si>
  <si>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</si>
  <si>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</si>
  <si>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</si>
  <si>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</si>
  <si>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</si>
  <si>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</si>
  <si>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</si>
  <si>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</si>
  <si>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</si>
  <si>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</si>
  <si>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</si>
  <si>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</si>
  <si>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</si>
  <si>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</si>
  <si>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</si>
  <si>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</si>
  <si>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</si>
  <si>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</si>
  <si>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</si>
  <si>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</si>
  <si>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</si>
  <si>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</si>
  <si>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</si>
  <si>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</si>
  <si>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</si>
  <si>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</si>
  <si>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</si>
  <si>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</si>
  <si>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</si>
  <si>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</si>
  <si>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</si>
  <si>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</si>
  <si>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</si>
  <si>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</si>
  <si>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</si>
  <si>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</si>
  <si>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</si>
  <si>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</si>
  <si>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</si>
  <si>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</si>
  <si>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</si>
  <si>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</si>
  <si>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</si>
  <si>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</si>
  <si>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</si>
  <si>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</si>
  <si>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</si>
  <si>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</si>
  <si>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</si>
  <si>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</si>
  <si>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</si>
  <si>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</si>
  <si>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</si>
  <si>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</si>
  <si>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Japonia</t>
  </si>
  <si>
    <t>Federația Rusă</t>
  </si>
  <si>
    <t>Elveția</t>
  </si>
  <si>
    <t>Franța</t>
  </si>
  <si>
    <t>Cehia</t>
  </si>
  <si>
    <t>S.U.A.</t>
  </si>
  <si>
    <t>Coreea de Sud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</si>
  <si>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2017-2022 (milioane dolari SUA)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</si>
  <si>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2019-2022 (%)</t>
    </r>
  </si>
  <si>
    <t>Ianuarie-februarie 2022</t>
  </si>
  <si>
    <t>Ianuarie-februarie 2021</t>
  </si>
  <si>
    <t>Ianuarie-februarie 2020</t>
  </si>
  <si>
    <t>Ianuarie-februarie 2019</t>
  </si>
  <si>
    <t>Ianuarie-februarie 2018</t>
  </si>
  <si>
    <t>Ianuarie-februarie 2017</t>
  </si>
  <si>
    <r>
      <rPr>
        <b/>
        <sz val="9"/>
        <color rgb="FF000000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ianuarie-februarie 2017-2022, după modul de transport (%)</t>
    </r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</si>
  <si>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indexed="8"/>
        <rFont val="Arial"/>
        <family val="2"/>
        <charset val="204"/>
      </rPr>
      <t>Structura exporturilor de mărfuri, în ianuarie-februarie 2017-2022, pe grupe de ţări (%)</t>
    </r>
  </si>
  <si>
    <r>
      <rPr>
        <b/>
        <sz val="9"/>
        <color rgb="FF000000"/>
        <rFont val="Arial"/>
        <family val="2"/>
        <charset val="204"/>
      </rPr>
      <t xml:space="preserve">Figura 5. </t>
    </r>
    <r>
      <rPr>
        <b/>
        <i/>
        <sz val="9"/>
        <color indexed="8"/>
        <rFont val="Arial"/>
        <family val="2"/>
        <charset val="204"/>
      </rPr>
      <t>Structura exporturilor, în ianuarie-februarie 2017-2022, pe principalele ţări de destinaţie a mărfurilor (%)</t>
    </r>
  </si>
  <si>
    <t>Cipru</t>
  </si>
  <si>
    <t>S. U.A.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</si>
  <si>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</si>
  <si>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</si>
  <si>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</si>
  <si>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</si>
  <si>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</si>
  <si>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Fire, tesături și articole textile 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</si>
  <si>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</si>
  <si>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</si>
  <si>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</si>
  <si>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</si>
  <si>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</si>
  <si>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2017-2022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</si>
  <si>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2019-2022 (%)</t>
    </r>
  </si>
  <si>
    <r>
      <t>Figura 9.</t>
    </r>
    <r>
      <rPr>
        <b/>
        <i/>
        <sz val="9"/>
        <color indexed="8"/>
        <rFont val="Arial"/>
        <family val="2"/>
        <charset val="204"/>
      </rPr>
      <t xml:space="preserve"> Structura importurilor de mărfuri, în ianuarie-februarie 2017-2022, după modul de transport (%)</t>
    </r>
  </si>
  <si>
    <r>
      <t xml:space="preserve">    Figura 10. </t>
    </r>
    <r>
      <rPr>
        <b/>
        <i/>
        <sz val="9"/>
        <color theme="1"/>
        <rFont val="Arial"/>
        <family val="2"/>
        <charset val="204"/>
      </rPr>
      <t>Structura importurilor de mărfuri, în ianuarie-februarie 2017-2022, pe grupe de ţări (%)</t>
    </r>
  </si>
  <si>
    <r>
      <t>Figura 11.</t>
    </r>
    <r>
      <rPr>
        <b/>
        <i/>
        <sz val="9"/>
        <color indexed="8"/>
        <rFont val="Arial"/>
        <family val="2"/>
        <charset val="204"/>
      </rPr>
      <t xml:space="preserve"> Structura importurilor, în ianuarie-februarie 2017-2022, pe principalele ţări de origine a mărfurilor (%)</t>
    </r>
  </si>
  <si>
    <t>India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</si>
  <si>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2017-2022 (milioane dolari SUA)</t>
    </r>
  </si>
  <si>
    <t xml:space="preserve">Petrol și produse petroliere </t>
  </si>
  <si>
    <t>Gaz şi produse industriale obţinute din gaz</t>
  </si>
  <si>
    <t xml:space="preserve">Maşini şi aparate specializate </t>
  </si>
  <si>
    <t xml:space="preserve">Vehicule rutiere </t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</si>
  <si>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</si>
  <si>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</si>
  <si>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r>
      <rPr>
        <b/>
        <sz val="9"/>
        <color rgb="FF000000"/>
        <rFont val="Arial"/>
        <family val="2"/>
        <charset val="204"/>
      </rPr>
      <t>Figura 14.</t>
    </r>
    <r>
      <rPr>
        <b/>
        <i/>
        <sz val="9"/>
        <color indexed="8"/>
        <rFont val="Arial"/>
        <family val="2"/>
        <charset val="204"/>
      </rPr>
      <t xml:space="preserve"> Tendinţele comerţului internaţional cu mărfuri, în ianuarie-februarie 2017-2022 (milioane dolari SUA)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</si>
</sst>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top"/>
    </xf>
    <xf numFmtId="165" fontId="13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vertical="top"/>
    </xf>
    <xf numFmtId="164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64" fontId="18" fillId="0" borderId="0" xfId="0" applyNumberFormat="1" applyFont="1" applyFill="1" applyBorder="1" applyAlignment="1" applyProtection="1">
      <alignment horizontal="center" vertical="top"/>
    </xf>
    <xf numFmtId="165" fontId="18" fillId="0" borderId="0" xfId="1" applyNumberFormat="1" applyFont="1" applyFill="1" applyAlignment="1" applyProtection="1">
      <alignment horizontal="center" vertical="top"/>
    </xf>
    <xf numFmtId="164" fontId="19" fillId="0" borderId="0" xfId="0" applyNumberFormat="1" applyFont="1" applyFill="1" applyBorder="1" applyAlignment="1" applyProtection="1">
      <alignment horizontal="center" vertical="top"/>
    </xf>
    <xf numFmtId="164" fontId="16" fillId="0" borderId="0" xfId="0" applyNumberFormat="1" applyFont="1" applyFill="1" applyBorder="1" applyAlignment="1" applyProtection="1">
      <alignment horizontal="center" vertical="top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11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/>
    </xf>
    <xf numFmtId="38" fontId="6" fillId="0" borderId="4" xfId="0" applyNumberFormat="1" applyFont="1" applyFill="1" applyBorder="1" applyAlignment="1" applyProtection="1">
      <alignment horizontal="left" wrapText="1" indent="1"/>
    </xf>
    <xf numFmtId="38" fontId="6" fillId="0" borderId="5" xfId="0" applyNumberFormat="1" applyFont="1" applyFill="1" applyBorder="1" applyAlignment="1" applyProtection="1">
      <alignment horizontal="left" wrapText="1" indent="1"/>
    </xf>
    <xf numFmtId="38" fontId="6" fillId="0" borderId="6" xfId="0" applyNumberFormat="1" applyFont="1" applyFill="1" applyBorder="1" applyAlignment="1" applyProtection="1">
      <alignment horizontal="left" wrapText="1" indent="1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8" fontId="4" fillId="0" borderId="4" xfId="0" applyNumberFormat="1" applyFont="1" applyFill="1" applyBorder="1" applyAlignment="1" applyProtection="1">
      <alignment horizontal="left" wrapText="1" indent="1"/>
    </xf>
    <xf numFmtId="38" fontId="4" fillId="0" borderId="5" xfId="0" applyNumberFormat="1" applyFont="1" applyFill="1" applyBorder="1" applyAlignment="1" applyProtection="1">
      <alignment horizontal="left" wrapText="1" indent="1"/>
    </xf>
    <xf numFmtId="38" fontId="4" fillId="0" borderId="6" xfId="0" applyNumberFormat="1" applyFont="1" applyFill="1" applyBorder="1" applyAlignment="1" applyProtection="1">
      <alignment horizontal="left" wrapText="1" indent="1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1'!$B$21:$B$26</c:f>
              <c:numCache>
                <c:formatCode>#\ ##0,0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1'!$C$21:$C$26</c:f>
              <c:numCache>
                <c:formatCode>#\ ##0,0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1'!$D$21:$D$26</c:f>
              <c:numCache>
                <c:formatCode>#\ ##0,0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1'!$E$21:$E$26</c:f>
              <c:numCache>
                <c:formatCode>#\ ##0,0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1'!$F$21:$F$26</c:f>
              <c:numCache>
                <c:formatCode>#\ ##0,0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1'!$G$21:$G$26</c:f>
              <c:numCache>
                <c:formatCode>#\ ##0,0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1'!$H$21:$H$26</c:f>
              <c:numCache>
                <c:formatCode>#\ ##0,0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1'!$I$21:$I$26</c:f>
              <c:numCache>
                <c:formatCode>#\ ##0,0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1'!$J$21:$J$26</c:f>
              <c:numCache>
                <c:formatCode>#\ ##0,0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1'!$K$21:$K$26</c:f>
              <c:numCache>
                <c:formatCode>#\ ##0,0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1'!$L$21:$L$26</c:f>
              <c:numCache>
                <c:formatCode>#\ ##0,0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1'!$M$21:$M$26</c:f>
              <c:numCache>
                <c:formatCode>#\ ##0,0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3601968"/>
        <c:axId val="193602528"/>
      </c:barChart>
      <c:catAx>
        <c:axId val="1936019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602528"/>
        <c:crosses val="autoZero"/>
        <c:auto val="0"/>
        <c:lblAlgn val="ctr"/>
        <c:lblOffset val="100"/>
        <c:tickLblSkip val="1"/>
        <c:noMultiLvlLbl val="0"/>
      </c:catAx>
      <c:valAx>
        <c:axId val="193602528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6019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General</c:formatCode>
                <c:ptCount val="7"/>
                <c:pt idx="0">
                  <c:v>3.1</c:v>
                </c:pt>
                <c:pt idx="1">
                  <c:v>4.5</c:v>
                </c:pt>
                <c:pt idx="2">
                  <c:v>73.2</c:v>
                </c:pt>
                <c:pt idx="3">
                  <c:v>1.8</c:v>
                </c:pt>
                <c:pt idx="4">
                  <c:v>0.1</c:v>
                </c:pt>
                <c:pt idx="5">
                  <c:v>16.8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0,0</c:formatCode>
                <c:ptCount val="7"/>
                <c:pt idx="0">
                  <c:v>2</c:v>
                </c:pt>
                <c:pt idx="1">
                  <c:v>5.0999999999999996</c:v>
                </c:pt>
                <c:pt idx="2">
                  <c:v>84.6</c:v>
                </c:pt>
                <c:pt idx="3">
                  <c:v>2.2999999999999998</c:v>
                </c:pt>
                <c:pt idx="4">
                  <c:v>0.2</c:v>
                </c:pt>
                <c:pt idx="5">
                  <c:v>5.3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0,0</c:formatCode>
                <c:ptCount val="7"/>
                <c:pt idx="0">
                  <c:v>1.6</c:v>
                </c:pt>
                <c:pt idx="1">
                  <c:v>5.0999999999999996</c:v>
                </c:pt>
                <c:pt idx="2">
                  <c:v>82.8</c:v>
                </c:pt>
                <c:pt idx="3">
                  <c:v>2.4</c:v>
                </c:pt>
                <c:pt idx="4">
                  <c:v>0.2</c:v>
                </c:pt>
                <c:pt idx="5">
                  <c:v>7.4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General</c:formatCode>
                <c:ptCount val="7"/>
                <c:pt idx="0">
                  <c:v>1.3</c:v>
                </c:pt>
                <c:pt idx="1">
                  <c:v>3.3</c:v>
                </c:pt>
                <c:pt idx="2">
                  <c:v>80.400000000000006</c:v>
                </c:pt>
                <c:pt idx="3">
                  <c:v>2.8</c:v>
                </c:pt>
                <c:pt idx="4">
                  <c:v>0.2</c:v>
                </c:pt>
                <c:pt idx="5">
                  <c:v>11.2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General</c:formatCode>
                <c:ptCount val="7"/>
                <c:pt idx="0">
                  <c:v>2.7</c:v>
                </c:pt>
                <c:pt idx="1">
                  <c:v>5.9</c:v>
                </c:pt>
                <c:pt idx="2" formatCode="0,0">
                  <c:v>79</c:v>
                </c:pt>
                <c:pt idx="3">
                  <c:v>2.8</c:v>
                </c:pt>
                <c:pt idx="4">
                  <c:v>0.3</c:v>
                </c:pt>
                <c:pt idx="5">
                  <c:v>8.6999999999999993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Ianuarie-februarie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0,0</c:formatCode>
                <c:ptCount val="7"/>
                <c:pt idx="0">
                  <c:v>1.9</c:v>
                </c:pt>
                <c:pt idx="1">
                  <c:v>7.1</c:v>
                </c:pt>
                <c:pt idx="2">
                  <c:v>78.3</c:v>
                </c:pt>
                <c:pt idx="3">
                  <c:v>2.9</c:v>
                </c:pt>
                <c:pt idx="4">
                  <c:v>0.2</c:v>
                </c:pt>
                <c:pt idx="5">
                  <c:v>9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270880"/>
        <c:axId val="197271440"/>
      </c:barChart>
      <c:catAx>
        <c:axId val="19727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271440"/>
        <c:crossesAt val="0"/>
        <c:auto val="1"/>
        <c:lblAlgn val="ctr"/>
        <c:lblOffset val="100"/>
        <c:noMultiLvlLbl val="0"/>
      </c:catAx>
      <c:valAx>
        <c:axId val="1972714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27088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44.3</c:v>
                </c:pt>
                <c:pt idx="1">
                  <c:v>47.5</c:v>
                </c:pt>
                <c:pt idx="2">
                  <c:v>45.5</c:v>
                </c:pt>
                <c:pt idx="3">
                  <c:v>46.3</c:v>
                </c:pt>
                <c:pt idx="4">
                  <c:v>46.2</c:v>
                </c:pt>
                <c:pt idx="5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27.9</c:v>
                </c:pt>
                <c:pt idx="1">
                  <c:v>24.7</c:v>
                </c:pt>
                <c:pt idx="2">
                  <c:v>27.2</c:v>
                </c:pt>
                <c:pt idx="3">
                  <c:v>25.6</c:v>
                </c:pt>
                <c:pt idx="4">
                  <c:v>23.9</c:v>
                </c:pt>
                <c:pt idx="5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27.8</c:v>
                </c:pt>
                <c:pt idx="1">
                  <c:v>27.8</c:v>
                </c:pt>
                <c:pt idx="2">
                  <c:v>27.3</c:v>
                </c:pt>
                <c:pt idx="3">
                  <c:v>28.1</c:v>
                </c:pt>
                <c:pt idx="4">
                  <c:v>29.9</c:v>
                </c:pt>
                <c:pt idx="5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188656"/>
        <c:axId val="195189216"/>
      </c:barChart>
      <c:catAx>
        <c:axId val="1951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89216"/>
        <c:crosses val="autoZero"/>
        <c:auto val="0"/>
        <c:lblAlgn val="ctr"/>
        <c:lblOffset val="100"/>
        <c:noMultiLvlLbl val="0"/>
      </c:catAx>
      <c:valAx>
        <c:axId val="1951892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8865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53777681238121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Ianuarie-februarie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Spania</c:v>
                </c:pt>
                <c:pt idx="12">
                  <c:v>Cehia</c:v>
                </c:pt>
                <c:pt idx="13">
                  <c:v>S.U.A.</c:v>
                </c:pt>
                <c:pt idx="14">
                  <c:v>Bulgaria</c:v>
                </c:pt>
                <c:pt idx="15">
                  <c:v>Austria</c:v>
                </c:pt>
                <c:pt idx="16">
                  <c:v>Olanda</c:v>
                </c:pt>
                <c:pt idx="17">
                  <c:v>India</c:v>
                </c:pt>
                <c:pt idx="18">
                  <c:v>Coreea de Sud</c:v>
                </c:pt>
                <c:pt idx="19">
                  <c:v>Japonia</c:v>
                </c:pt>
              </c:strCache>
            </c:strRef>
          </c:cat>
          <c:val>
            <c:numRef>
              <c:f>'Figura 11'!$B$25:$B$44</c:f>
              <c:numCache>
                <c:formatCode>0,0</c:formatCode>
                <c:ptCount val="20"/>
                <c:pt idx="0">
                  <c:v>17.5</c:v>
                </c:pt>
                <c:pt idx="1">
                  <c:v>14.2</c:v>
                </c:pt>
                <c:pt idx="2">
                  <c:v>10.199999999999999</c:v>
                </c:pt>
                <c:pt idx="3">
                  <c:v>7.2</c:v>
                </c:pt>
                <c:pt idx="4">
                  <c:v>7.5</c:v>
                </c:pt>
                <c:pt idx="5">
                  <c:v>6.6</c:v>
                </c:pt>
                <c:pt idx="6">
                  <c:v>6</c:v>
                </c:pt>
                <c:pt idx="7">
                  <c:v>2.7</c:v>
                </c:pt>
                <c:pt idx="8">
                  <c:v>2.2999999999999998</c:v>
                </c:pt>
                <c:pt idx="9">
                  <c:v>2.1</c:v>
                </c:pt>
                <c:pt idx="10">
                  <c:v>2.8</c:v>
                </c:pt>
                <c:pt idx="11">
                  <c:v>1.1000000000000001</c:v>
                </c:pt>
                <c:pt idx="12">
                  <c:v>1.6</c:v>
                </c:pt>
                <c:pt idx="13">
                  <c:v>2.6</c:v>
                </c:pt>
                <c:pt idx="14">
                  <c:v>1</c:v>
                </c:pt>
                <c:pt idx="15">
                  <c:v>1.3</c:v>
                </c:pt>
                <c:pt idx="16">
                  <c:v>1</c:v>
                </c:pt>
                <c:pt idx="17">
                  <c:v>0.7</c:v>
                </c:pt>
                <c:pt idx="18">
                  <c:v>0.6</c:v>
                </c:pt>
                <c:pt idx="1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Spania</c:v>
                </c:pt>
                <c:pt idx="12">
                  <c:v>Cehia</c:v>
                </c:pt>
                <c:pt idx="13">
                  <c:v>S.U.A.</c:v>
                </c:pt>
                <c:pt idx="14">
                  <c:v>Bulgaria</c:v>
                </c:pt>
                <c:pt idx="15">
                  <c:v>Austria</c:v>
                </c:pt>
                <c:pt idx="16">
                  <c:v>Olanda</c:v>
                </c:pt>
                <c:pt idx="17">
                  <c:v>India</c:v>
                </c:pt>
                <c:pt idx="18">
                  <c:v>Coreea de Sud</c:v>
                </c:pt>
                <c:pt idx="19">
                  <c:v>Japonia</c:v>
                </c:pt>
              </c:strCache>
            </c:strRef>
          </c:cat>
          <c:val>
            <c:numRef>
              <c:f>'Figura 11'!$C$25:$C$44</c:f>
              <c:numCache>
                <c:formatCode>0,0</c:formatCode>
                <c:ptCount val="20"/>
                <c:pt idx="0">
                  <c:v>15.3</c:v>
                </c:pt>
                <c:pt idx="1">
                  <c:v>13.7</c:v>
                </c:pt>
                <c:pt idx="2">
                  <c:v>12.1</c:v>
                </c:pt>
                <c:pt idx="3">
                  <c:v>8</c:v>
                </c:pt>
                <c:pt idx="4">
                  <c:v>7.8</c:v>
                </c:pt>
                <c:pt idx="5">
                  <c:v>6.2</c:v>
                </c:pt>
                <c:pt idx="6">
                  <c:v>6.5</c:v>
                </c:pt>
                <c:pt idx="7">
                  <c:v>3.5</c:v>
                </c:pt>
                <c:pt idx="8">
                  <c:v>2.7</c:v>
                </c:pt>
                <c:pt idx="9">
                  <c:v>2.2000000000000002</c:v>
                </c:pt>
                <c:pt idx="10">
                  <c:v>1.4</c:v>
                </c:pt>
                <c:pt idx="11">
                  <c:v>1.5</c:v>
                </c:pt>
                <c:pt idx="12">
                  <c:v>1.4</c:v>
                </c:pt>
                <c:pt idx="13">
                  <c:v>1.4</c:v>
                </c:pt>
                <c:pt idx="14">
                  <c:v>1.1000000000000001</c:v>
                </c:pt>
                <c:pt idx="15">
                  <c:v>1.8</c:v>
                </c:pt>
                <c:pt idx="16">
                  <c:v>1.1000000000000001</c:v>
                </c:pt>
                <c:pt idx="17">
                  <c:v>0.5</c:v>
                </c:pt>
                <c:pt idx="18">
                  <c:v>0.4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Spania</c:v>
                </c:pt>
                <c:pt idx="12">
                  <c:v>Cehia</c:v>
                </c:pt>
                <c:pt idx="13">
                  <c:v>S.U.A.</c:v>
                </c:pt>
                <c:pt idx="14">
                  <c:v>Bulgaria</c:v>
                </c:pt>
                <c:pt idx="15">
                  <c:v>Austria</c:v>
                </c:pt>
                <c:pt idx="16">
                  <c:v>Olanda</c:v>
                </c:pt>
                <c:pt idx="17">
                  <c:v>India</c:v>
                </c:pt>
                <c:pt idx="18">
                  <c:v>Coreea de Sud</c:v>
                </c:pt>
                <c:pt idx="19">
                  <c:v>Japonia</c:v>
                </c:pt>
              </c:strCache>
            </c:strRef>
          </c:cat>
          <c:val>
            <c:numRef>
              <c:f>'Figura 11'!$D$25:$D$44</c:f>
              <c:numCache>
                <c:formatCode>0,0</c:formatCode>
                <c:ptCount val="20"/>
                <c:pt idx="0">
                  <c:v>16.100000000000001</c:v>
                </c:pt>
                <c:pt idx="1">
                  <c:v>13.1</c:v>
                </c:pt>
                <c:pt idx="2">
                  <c:v>11.4</c:v>
                </c:pt>
                <c:pt idx="3">
                  <c:v>7.9</c:v>
                </c:pt>
                <c:pt idx="4">
                  <c:v>8.6</c:v>
                </c:pt>
                <c:pt idx="5">
                  <c:v>6.4</c:v>
                </c:pt>
                <c:pt idx="6">
                  <c:v>6.1</c:v>
                </c:pt>
                <c:pt idx="7">
                  <c:v>3.3</c:v>
                </c:pt>
                <c:pt idx="8">
                  <c:v>2.6</c:v>
                </c:pt>
                <c:pt idx="9">
                  <c:v>2</c:v>
                </c:pt>
                <c:pt idx="10">
                  <c:v>1.9</c:v>
                </c:pt>
                <c:pt idx="11">
                  <c:v>1.3</c:v>
                </c:pt>
                <c:pt idx="12">
                  <c:v>2</c:v>
                </c:pt>
                <c:pt idx="13">
                  <c:v>1.3</c:v>
                </c:pt>
                <c:pt idx="14">
                  <c:v>0.7</c:v>
                </c:pt>
                <c:pt idx="15">
                  <c:v>1.7</c:v>
                </c:pt>
                <c:pt idx="16">
                  <c:v>0.9</c:v>
                </c:pt>
                <c:pt idx="17">
                  <c:v>0.7</c:v>
                </c:pt>
                <c:pt idx="18">
                  <c:v>0.5</c:v>
                </c:pt>
                <c:pt idx="1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Spania</c:v>
                </c:pt>
                <c:pt idx="12">
                  <c:v>Cehia</c:v>
                </c:pt>
                <c:pt idx="13">
                  <c:v>S.U.A.</c:v>
                </c:pt>
                <c:pt idx="14">
                  <c:v>Bulgaria</c:v>
                </c:pt>
                <c:pt idx="15">
                  <c:v>Austria</c:v>
                </c:pt>
                <c:pt idx="16">
                  <c:v>Olanda</c:v>
                </c:pt>
                <c:pt idx="17">
                  <c:v>India</c:v>
                </c:pt>
                <c:pt idx="18">
                  <c:v>Coreea de Sud</c:v>
                </c:pt>
                <c:pt idx="19">
                  <c:v>Japonia</c:v>
                </c:pt>
              </c:strCache>
            </c:strRef>
          </c:cat>
          <c:val>
            <c:numRef>
              <c:f>'Figura 11'!$E$25:$E$44</c:f>
              <c:numCache>
                <c:formatCode>0,0</c:formatCode>
                <c:ptCount val="20"/>
                <c:pt idx="0">
                  <c:v>14.6</c:v>
                </c:pt>
                <c:pt idx="1">
                  <c:v>14.2</c:v>
                </c:pt>
                <c:pt idx="2">
                  <c:v>10.7</c:v>
                </c:pt>
                <c:pt idx="3">
                  <c:v>7.8</c:v>
                </c:pt>
                <c:pt idx="4">
                  <c:v>8.6999999999999993</c:v>
                </c:pt>
                <c:pt idx="5">
                  <c:v>7.3</c:v>
                </c:pt>
                <c:pt idx="6">
                  <c:v>5.8</c:v>
                </c:pt>
                <c:pt idx="7">
                  <c:v>3.9</c:v>
                </c:pt>
                <c:pt idx="8">
                  <c:v>2.5</c:v>
                </c:pt>
                <c:pt idx="9">
                  <c:v>2.2000000000000002</c:v>
                </c:pt>
                <c:pt idx="10">
                  <c:v>1.7</c:v>
                </c:pt>
                <c:pt idx="11">
                  <c:v>1.4</c:v>
                </c:pt>
                <c:pt idx="12">
                  <c:v>1.8</c:v>
                </c:pt>
                <c:pt idx="13">
                  <c:v>1.2</c:v>
                </c:pt>
                <c:pt idx="14">
                  <c:v>1</c:v>
                </c:pt>
                <c:pt idx="15">
                  <c:v>1.2</c:v>
                </c:pt>
                <c:pt idx="16">
                  <c:v>1.1000000000000001</c:v>
                </c:pt>
                <c:pt idx="17">
                  <c:v>0.7</c:v>
                </c:pt>
                <c:pt idx="18">
                  <c:v>0.6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Spania</c:v>
                </c:pt>
                <c:pt idx="12">
                  <c:v>Cehia</c:v>
                </c:pt>
                <c:pt idx="13">
                  <c:v>S.U.A.</c:v>
                </c:pt>
                <c:pt idx="14">
                  <c:v>Bulgaria</c:v>
                </c:pt>
                <c:pt idx="15">
                  <c:v>Austria</c:v>
                </c:pt>
                <c:pt idx="16">
                  <c:v>Olanda</c:v>
                </c:pt>
                <c:pt idx="17">
                  <c:v>India</c:v>
                </c:pt>
                <c:pt idx="18">
                  <c:v>Coreea de Sud</c:v>
                </c:pt>
                <c:pt idx="19">
                  <c:v>Japonia</c:v>
                </c:pt>
              </c:strCache>
            </c:strRef>
          </c:cat>
          <c:val>
            <c:numRef>
              <c:f>'Figura 11'!$F$25:$F$44</c:f>
              <c:numCache>
                <c:formatCode>0,0</c:formatCode>
                <c:ptCount val="20"/>
                <c:pt idx="0">
                  <c:v>13.3</c:v>
                </c:pt>
                <c:pt idx="1">
                  <c:v>12.6</c:v>
                </c:pt>
                <c:pt idx="2">
                  <c:v>12.5</c:v>
                </c:pt>
                <c:pt idx="3">
                  <c:v>7.9</c:v>
                </c:pt>
                <c:pt idx="4">
                  <c:v>8.3000000000000007</c:v>
                </c:pt>
                <c:pt idx="5">
                  <c:v>7.5</c:v>
                </c:pt>
                <c:pt idx="6">
                  <c:v>6.3</c:v>
                </c:pt>
                <c:pt idx="7">
                  <c:v>4</c:v>
                </c:pt>
                <c:pt idx="8">
                  <c:v>3.1</c:v>
                </c:pt>
                <c:pt idx="9">
                  <c:v>2.2000000000000002</c:v>
                </c:pt>
                <c:pt idx="10">
                  <c:v>1.9</c:v>
                </c:pt>
                <c:pt idx="11">
                  <c:v>1.4</c:v>
                </c:pt>
                <c:pt idx="12">
                  <c:v>1.8</c:v>
                </c:pt>
                <c:pt idx="13">
                  <c:v>1.1000000000000001</c:v>
                </c:pt>
                <c:pt idx="14">
                  <c:v>0.8</c:v>
                </c:pt>
                <c:pt idx="15">
                  <c:v>1.3</c:v>
                </c:pt>
                <c:pt idx="16">
                  <c:v>1</c:v>
                </c:pt>
                <c:pt idx="17">
                  <c:v>0.8</c:v>
                </c:pt>
                <c:pt idx="18">
                  <c:v>0.6</c:v>
                </c:pt>
                <c:pt idx="1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Spania</c:v>
                </c:pt>
                <c:pt idx="12">
                  <c:v>Cehia</c:v>
                </c:pt>
                <c:pt idx="13">
                  <c:v>S.U.A.</c:v>
                </c:pt>
                <c:pt idx="14">
                  <c:v>Bulgaria</c:v>
                </c:pt>
                <c:pt idx="15">
                  <c:v>Austria</c:v>
                </c:pt>
                <c:pt idx="16">
                  <c:v>Olanda</c:v>
                </c:pt>
                <c:pt idx="17">
                  <c:v>India</c:v>
                </c:pt>
                <c:pt idx="18">
                  <c:v>Coreea de Sud</c:v>
                </c:pt>
                <c:pt idx="19">
                  <c:v>Japonia</c:v>
                </c:pt>
              </c:strCache>
            </c:strRef>
          </c:cat>
          <c:val>
            <c:numRef>
              <c:f>'Figura 11'!$G$25:$G$44</c:f>
              <c:numCache>
                <c:formatCode>0,0</c:formatCode>
                <c:ptCount val="20"/>
                <c:pt idx="0">
                  <c:v>24.3</c:v>
                </c:pt>
                <c:pt idx="1">
                  <c:v>13.1</c:v>
                </c:pt>
                <c:pt idx="2">
                  <c:v>9.9</c:v>
                </c:pt>
                <c:pt idx="3">
                  <c:v>6.6</c:v>
                </c:pt>
                <c:pt idx="4">
                  <c:v>6.6</c:v>
                </c:pt>
                <c:pt idx="5">
                  <c:v>6.1</c:v>
                </c:pt>
                <c:pt idx="6">
                  <c:v>5.2</c:v>
                </c:pt>
                <c:pt idx="7">
                  <c:v>3.1</c:v>
                </c:pt>
                <c:pt idx="8">
                  <c:v>2.5</c:v>
                </c:pt>
                <c:pt idx="9">
                  <c:v>2.4</c:v>
                </c:pt>
                <c:pt idx="10">
                  <c:v>1.8</c:v>
                </c:pt>
                <c:pt idx="11">
                  <c:v>1.4</c:v>
                </c:pt>
                <c:pt idx="12">
                  <c:v>1.4</c:v>
                </c:pt>
                <c:pt idx="13">
                  <c:v>1.3</c:v>
                </c:pt>
                <c:pt idx="14">
                  <c:v>1</c:v>
                </c:pt>
                <c:pt idx="15">
                  <c:v>0.9</c:v>
                </c:pt>
                <c:pt idx="16">
                  <c:v>0.9</c:v>
                </c:pt>
                <c:pt idx="17">
                  <c:v>0.8</c:v>
                </c:pt>
                <c:pt idx="18">
                  <c:v>0.8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59280"/>
        <c:axId val="197759840"/>
      </c:barChart>
      <c:catAx>
        <c:axId val="19775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759840"/>
        <c:crosses val="autoZero"/>
        <c:auto val="1"/>
        <c:lblAlgn val="ctr"/>
        <c:lblOffset val="100"/>
        <c:noMultiLvlLbl val="0"/>
      </c:catAx>
      <c:valAx>
        <c:axId val="1977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75928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Ianuarie-februarie 2021</a:t>
            </a:r>
          </a:p>
        </c:rich>
      </c:tx>
      <c:layout>
        <c:manualLayout>
          <c:xMode val="edge"/>
          <c:yMode val="edge"/>
          <c:x val="0.31216729056408926"/>
          <c:y val="2.2734122313313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Lbls>
            <c:dLbl>
              <c:idx val="0"/>
              <c:layout>
                <c:manualLayout>
                  <c:x val="-0.11196075900348522"/>
                  <c:y val="-6.18031374175092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97328612611949"/>
                      <c:h val="0.143218942938161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3.7856374510563229E-2"/>
                  <c:y val="2.4695753431281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8981418306318"/>
                      <c:h val="0.180107079954931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4.2542673969032448E-2"/>
                  <c:y val="3.6110174582851137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59021925537993"/>
                      <c:h val="0.18017530484270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2.6562171531837209E-2"/>
                  <c:y val="8.2131835653531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-4.6464683717813964E-3"/>
                  <c:y val="0.13830641982946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5.3901786866805586E-2"/>
                  <c:y val="0.158912323070676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73709024077"/>
                      <c:h val="0.2078332106830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0.10597626116407592"/>
                  <c:y val="2.77943556159347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36600342989913"/>
                      <c:h val="0.220325320110511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2.6321586850823961E-2"/>
                  <c:y val="-2.2178725586164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36197114704921"/>
                      <c:h val="0.281118331762394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12'!$A$24:$A$31</c:f>
              <c:strCache>
                <c:ptCount val="8"/>
                <c:pt idx="0">
                  <c:v>Petrol și produse petroliere </c:v>
                </c:pt>
                <c:pt idx="1">
                  <c:v>Gaz şi produse industriale obţinute din gaz</c:v>
                </c:pt>
                <c:pt idx="2">
                  <c:v>Produse medicinale şi farmaceutice</c:v>
                </c:pt>
                <c:pt idx="3">
                  <c:v>Fire, tesături și articole textile </c:v>
                </c:pt>
                <c:pt idx="4">
                  <c:v>Maşini şi aparate specializate </c:v>
                </c:pt>
                <c:pt idx="5">
                  <c:v>Maşini şi aparate electrice </c:v>
                </c:pt>
                <c:pt idx="6">
                  <c:v>Vehicule rutiere </c:v>
                </c:pt>
                <c:pt idx="7">
                  <c:v>Alte mărfuri</c:v>
                </c:pt>
              </c:strCache>
            </c:strRef>
          </c:cat>
          <c:val>
            <c:numRef>
              <c:f>'Figura 12'!$B$24:$B$31</c:f>
              <c:numCache>
                <c:formatCode>#\ ##0,0</c:formatCode>
                <c:ptCount val="8"/>
                <c:pt idx="0">
                  <c:v>7.7</c:v>
                </c:pt>
                <c:pt idx="1">
                  <c:v>5.9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2.6</c:v>
                </c:pt>
                <c:pt idx="5">
                  <c:v>8.5</c:v>
                </c:pt>
                <c:pt idx="6">
                  <c:v>6.3</c:v>
                </c:pt>
                <c:pt idx="7">
                  <c:v>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Ianuarie-februarie 2022</a:t>
            </a:r>
          </a:p>
        </c:rich>
      </c:tx>
      <c:layout>
        <c:manualLayout>
          <c:xMode val="edge"/>
          <c:yMode val="edge"/>
          <c:x val="0.41357830271216106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Lbls>
            <c:dLbl>
              <c:idx val="0"/>
              <c:layout>
                <c:manualLayout>
                  <c:x val="-0.10326125163558102"/>
                  <c:y val="1.892637402510249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2.3598820058997196E-2"/>
                  <c:y val="-3.8138979264729825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96649091429"/>
                      <c:h val="0.213804431369948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-1.5484790079380028E-7"/>
                  <c:y val="-0.113691073877801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535758251"/>
                      <c:h val="0.18144110408563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3.5038053871584637E-2"/>
                  <c:y val="-4.1342853565600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262080072"/>
                      <c:h val="0.199850748333244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4.1221440240323939E-2"/>
                  <c:y val="-4.3679521770420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5771413529061087"/>
                  <c:y val="1.3454285824744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14329624726112"/>
                      <c:h val="0.19311101408491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0.25142746537213823"/>
                  <c:y val="-3.11484823538633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66154894355025"/>
                      <c:h val="0.201345747799442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2.3599129754798349E-2"/>
                  <c:y val="9.2440090955554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581377110336"/>
                      <c:h val="0.247886137063284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12'!$A$34:$A$41</c:f>
              <c:strCache>
                <c:ptCount val="8"/>
                <c:pt idx="0">
                  <c:v>Petrol și produse petroliere </c:v>
                </c:pt>
                <c:pt idx="1">
                  <c:v>Gaz şi produse industriale obţinute din gaz</c:v>
                </c:pt>
                <c:pt idx="2">
                  <c:v>Produse medicinale şi farmaceutice</c:v>
                </c:pt>
                <c:pt idx="3">
                  <c:v>Fire, tesături și articole textile </c:v>
                </c:pt>
                <c:pt idx="4">
                  <c:v>Maşini şi aparate specializate </c:v>
                </c:pt>
                <c:pt idx="5">
                  <c:v>Maşini şi aparate electrice </c:v>
                </c:pt>
                <c:pt idx="6">
                  <c:v>Vehicule rutiere </c:v>
                </c:pt>
                <c:pt idx="7">
                  <c:v>Alte mărfuri</c:v>
                </c:pt>
              </c:strCache>
            </c:strRef>
          </c:cat>
          <c:val>
            <c:numRef>
              <c:f>'Figura 12'!$B$34:$B$41</c:f>
              <c:numCache>
                <c:formatCode>#\ ##0,0</c:formatCode>
                <c:ptCount val="8"/>
                <c:pt idx="0">
                  <c:v>9.4</c:v>
                </c:pt>
                <c:pt idx="1">
                  <c:v>17.3</c:v>
                </c:pt>
                <c:pt idx="2">
                  <c:v>4</c:v>
                </c:pt>
                <c:pt idx="3">
                  <c:v>3.7</c:v>
                </c:pt>
                <c:pt idx="4">
                  <c:v>3.2</c:v>
                </c:pt>
                <c:pt idx="5">
                  <c:v>6.3</c:v>
                </c:pt>
                <c:pt idx="6">
                  <c:v>5.5</c:v>
                </c:pt>
                <c:pt idx="7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8688080"/>
        <c:axId val="198688640"/>
      </c:barChart>
      <c:catAx>
        <c:axId val="19868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6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688640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6880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2.0393205566285346E-2"/>
                  <c:y val="1.2861710043253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14'!$B$25:$B$30</c:f>
              <c:numCache>
                <c:formatCode>#\ ##0,0</c:formatCode>
                <c:ptCount val="6"/>
                <c:pt idx="0">
                  <c:v>316.10000000000002</c:v>
                </c:pt>
                <c:pt idx="1">
                  <c:v>435.8</c:v>
                </c:pt>
                <c:pt idx="2">
                  <c:v>475.7</c:v>
                </c:pt>
                <c:pt idx="3">
                  <c:v>464.8</c:v>
                </c:pt>
                <c:pt idx="4">
                  <c:v>425.5</c:v>
                </c:pt>
                <c:pt idx="5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14'!$C$25:$C$30</c:f>
              <c:numCache>
                <c:formatCode>#\ ##0,0</c:formatCode>
                <c:ptCount val="6"/>
                <c:pt idx="0">
                  <c:v>599.5</c:v>
                </c:pt>
                <c:pt idx="1">
                  <c:v>801.9</c:v>
                </c:pt>
                <c:pt idx="2">
                  <c:v>831.8</c:v>
                </c:pt>
                <c:pt idx="3">
                  <c:v>864.6</c:v>
                </c:pt>
                <c:pt idx="4">
                  <c:v>920.8</c:v>
                </c:pt>
                <c:pt idx="5">
                  <c:v>1290.3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98355104"/>
        <c:axId val="198355664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0322884167780939E-2"/>
                  <c:y val="-3.3748865503961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369853639650108E-2"/>
                  <c:y val="4.186392588776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60325135174E-2"/>
                  <c:y val="-2.960564508875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660755527343E-2"/>
                  <c:y val="-3.443144373308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6.7254629191934199E-3"/>
                  <c:y val="-5.222197692578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14'!$D$25:$D$30</c:f>
              <c:numCache>
                <c:formatCode>#\ ##0,0</c:formatCode>
                <c:ptCount val="6"/>
                <c:pt idx="0">
                  <c:v>-283.39999999999998</c:v>
                </c:pt>
                <c:pt idx="1">
                  <c:v>-366.09999999999997</c:v>
                </c:pt>
                <c:pt idx="2">
                  <c:v>-356.09999999999997</c:v>
                </c:pt>
                <c:pt idx="3">
                  <c:v>-399.8</c:v>
                </c:pt>
                <c:pt idx="4">
                  <c:v>-495.29999999999995</c:v>
                </c:pt>
                <c:pt idx="5">
                  <c:v>-623.29999999999995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5104"/>
        <c:axId val="198355664"/>
      </c:lineChart>
      <c:catAx>
        <c:axId val="1983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355664"/>
        <c:crosses val="autoZero"/>
        <c:auto val="1"/>
        <c:lblAlgn val="ctr"/>
        <c:lblOffset val="100"/>
        <c:noMultiLvlLbl val="0"/>
      </c:catAx>
      <c:valAx>
        <c:axId val="198355664"/>
        <c:scaling>
          <c:orientation val="minMax"/>
          <c:max val="1600"/>
          <c:min val="-800"/>
        </c:scaling>
        <c:delete val="0"/>
        <c:axPos val="l"/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35510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1113525967635E-2"/>
          <c:y val="4.4273352655097381E-2"/>
          <c:w val="0.93781012101994043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19481181357186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D-446E-B46D-AAA2B51203E9}"/>
                </c:ext>
              </c:extLst>
            </c:dLbl>
            <c:dLbl>
              <c:idx val="1"/>
              <c:layout>
                <c:manualLayout>
                  <c:x val="-2.5351400249726066E-2"/>
                  <c:y val="2.777244443328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D-446E-B46D-AAA2B51203E9}"/>
                </c:ext>
              </c:extLst>
            </c:dLbl>
            <c:dLbl>
              <c:idx val="2"/>
              <c:layout>
                <c:manualLayout>
                  <c:x val="-3.363331511581618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D-446E-B46D-AAA2B51203E9}"/>
                </c:ext>
              </c:extLst>
            </c:dLbl>
            <c:dLbl>
              <c:idx val="3"/>
              <c:layout>
                <c:manualLayout>
                  <c:x val="-2.9820095303621029E-2"/>
                  <c:y val="3.1395631805422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D-446E-B46D-AAA2B51203E9}"/>
                </c:ext>
              </c:extLst>
            </c:dLbl>
            <c:dLbl>
              <c:idx val="4"/>
              <c:layout>
                <c:manualLayout>
                  <c:x val="-2.4058987633458432E-2"/>
                  <c:y val="-2.839723028722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D-446E-B46D-AAA2B51203E9}"/>
                </c:ext>
              </c:extLst>
            </c:dLbl>
            <c:dLbl>
              <c:idx val="5"/>
              <c:layout>
                <c:manualLayout>
                  <c:x val="-2.4965671279254722E-2"/>
                  <c:y val="-3.212169573157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D-446E-B46D-AAA2B51203E9}"/>
                </c:ext>
              </c:extLst>
            </c:dLbl>
            <c:dLbl>
              <c:idx val="6"/>
              <c:layout>
                <c:manualLayout>
                  <c:x val="-3.48844716540672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D-446E-B46D-AAA2B51203E9}"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8"/>
              <c:layout>
                <c:manualLayout>
                  <c:x val="-3.22065081670617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D-446E-B46D-AAA2B51203E9}"/>
                </c:ext>
              </c:extLst>
            </c:dLbl>
            <c:dLbl>
              <c:idx val="9"/>
              <c:layout>
                <c:manualLayout>
                  <c:x val="-1.6782356088984023E-2"/>
                  <c:y val="-2.08473066166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D-446E-B46D-AAA2B51203E9}"/>
                </c:ext>
              </c:extLst>
            </c:dLbl>
            <c:dLbl>
              <c:idx val="10"/>
              <c:layout>
                <c:manualLayout>
                  <c:x val="-2.4678663239074614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4.931759108052014E-2"/>
                  <c:y val="-1.7527668170812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4767164285459792E-2"/>
                  <c:y val="-2.864899634024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2.6777649002737016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5.0997029784991307E-2"/>
                  <c:y val="-1.02812934265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8"/>
              <c:layout>
                <c:manualLayout>
                  <c:x val="-3.9467805524443011E-2"/>
                  <c:y val="-2.325601299326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9D-446E-B46D-AAA2B51203E9}"/>
                </c:ext>
              </c:extLst>
            </c:dLbl>
            <c:dLbl>
              <c:idx val="29"/>
              <c:layout>
                <c:manualLayout>
                  <c:x val="-7.048182303171076E-3"/>
                  <c:y val="-4.8362419159414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9D-446E-B46D-AAA2B51203E9}"/>
                </c:ext>
              </c:extLst>
            </c:dLbl>
            <c:dLbl>
              <c:idx val="30"/>
              <c:layout>
                <c:manualLayout>
                  <c:x val="-3.5302427271094415E-2"/>
                  <c:y val="2.293477606562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A9D-446E-B46D-AAA2B51203E9}"/>
                </c:ext>
              </c:extLst>
            </c:dLbl>
            <c:dLbl>
              <c:idx val="31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A9D-446E-B46D-AAA2B51203E9}"/>
                </c:ext>
              </c:extLst>
            </c:dLbl>
            <c:dLbl>
              <c:idx val="32"/>
              <c:layout>
                <c:manualLayout>
                  <c:x val="-6.9166636975808993E-3"/>
                  <c:y val="-9.27847399356773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A9D-446E-B46D-AAA2B51203E9}"/>
                </c:ext>
              </c:extLst>
            </c:dLbl>
            <c:dLbl>
              <c:idx val="33"/>
              <c:layout>
                <c:manualLayout>
                  <c:x val="-3.6572720307852753E-2"/>
                  <c:y val="2.68207459982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A9D-446E-B46D-AAA2B51203E9}"/>
                </c:ext>
              </c:extLst>
            </c:dLbl>
            <c:dLbl>
              <c:idx val="34"/>
              <c:layout>
                <c:manualLayout>
                  <c:x val="-4.9876922987290184E-2"/>
                  <c:y val="2.15183172525969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2A9D-446E-B46D-AAA2B51203E9}"/>
                </c:ext>
              </c:extLst>
            </c:dLbl>
            <c:dLbl>
              <c:idx val="35"/>
              <c:layout>
                <c:manualLayout>
                  <c:x val="-2.5044205767286859E-2"/>
                  <c:y val="3.04438283242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A9D-446E-B46D-AAA2B51203E9}"/>
                </c:ext>
              </c:extLst>
            </c:dLbl>
            <c:dLbl>
              <c:idx val="36"/>
              <c:layout>
                <c:manualLayout>
                  <c:x val="-3.6366941368732905E-2"/>
                  <c:y val="-1.3511663154781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2-4933-B389-0FAB01C93E2C}"/>
                </c:ext>
              </c:extLst>
            </c:dLbl>
            <c:dLbl>
              <c:idx val="37"/>
              <c:layout>
                <c:manualLayout>
                  <c:x val="1.0852014234583079E-16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E2-4933-B389-0FAB01C93E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2'!$B$22:$AM$23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2'!$B$24:$AM$24</c:f>
              <c:numCache>
                <c:formatCode>#\ ##0,0</c:formatCode>
                <c:ptCount val="38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114.41147354263464</c:v>
                </c:pt>
                <c:pt idx="26">
                  <c:v>114.20579997969134</c:v>
                </c:pt>
                <c:pt idx="27">
                  <c:v>84.167356355788357</c:v>
                </c:pt>
                <c:pt idx="28">
                  <c:v>92.421884276527052</c:v>
                </c:pt>
                <c:pt idx="29" formatCode="0,0">
                  <c:v>112.45124175218632</c:v>
                </c:pt>
                <c:pt idx="30" formatCode="0,0">
                  <c:v>106.13290668113962</c:v>
                </c:pt>
                <c:pt idx="31" formatCode="0,0">
                  <c:v>98.134804975011704</c:v>
                </c:pt>
                <c:pt idx="32" formatCode="0,0">
                  <c:v>124.83430055225146</c:v>
                </c:pt>
                <c:pt idx="33" formatCode="0,0">
                  <c:v>119.44752327758337</c:v>
                </c:pt>
                <c:pt idx="34" formatCode="0,0">
                  <c:v>103.2981065772704</c:v>
                </c:pt>
                <c:pt idx="35" formatCode="0,0">
                  <c:v>89.313925126336528</c:v>
                </c:pt>
                <c:pt idx="36" formatCode="0,0">
                  <c:v>101.65043587363255</c:v>
                </c:pt>
                <c:pt idx="37" formatCode="0,0">
                  <c:v>101.89897918896213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160767525418544E-2"/>
                  <c:y val="2.3845422844510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3.0137604158703479E-2"/>
                  <c:y val="-3.115028210935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3.1919519057547113E-2"/>
                  <c:y val="2.012111024469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2.182809673062712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3.2057324716128252E-2"/>
                  <c:y val="2.0323513544586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5"/>
              <c:layout>
                <c:manualLayout>
                  <c:x val="-2.7723543052264099E-2"/>
                  <c:y val="3.1091797588783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9D-446E-B46D-AAA2B51203E9}"/>
                </c:ext>
              </c:extLst>
            </c:dLbl>
            <c:dLbl>
              <c:idx val="6"/>
              <c:layout>
                <c:manualLayout>
                  <c:x val="-2.9169013541551134E-2"/>
                  <c:y val="2.7569888288859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9.2544987146529565E-3"/>
                  <c:y val="-1.71228266916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8"/>
              <c:layout>
                <c:manualLayout>
                  <c:x val="-5.0021565666193951E-2"/>
                  <c:y val="5.4259370575325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9D-446E-B46D-AAA2B51203E9}"/>
                </c:ext>
              </c:extLst>
            </c:dLbl>
            <c:dLbl>
              <c:idx val="9"/>
              <c:layout>
                <c:manualLayout>
                  <c:x val="-3.8774703290623373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9D-446E-B46D-AAA2B51203E9}"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2.8363063390110309E-2"/>
                  <c:y val="3.491754110534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8106255355612682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3.1174309989490764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53514002497260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4.6708206979122063E-2"/>
                  <c:y val="-1.2728254038667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7"/>
              <c:layout>
                <c:manualLayout>
                  <c:x val="-2.9047223703030461E-2"/>
                  <c:y val="-3.228568259953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A9D-446E-B46D-AAA2B51203E9}"/>
                </c:ext>
              </c:extLst>
            </c:dLbl>
            <c:dLbl>
              <c:idx val="28"/>
              <c:layout>
                <c:manualLayout>
                  <c:x val="-8.1590982563622821E-3"/>
                  <c:y val="-1.762894624302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A9D-446E-B46D-AAA2B51203E9}"/>
                </c:ext>
              </c:extLst>
            </c:dLbl>
            <c:dLbl>
              <c:idx val="29"/>
              <c:layout>
                <c:manualLayout>
                  <c:x val="-4.4442496771008824E-2"/>
                  <c:y val="7.7333653619292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A9D-446E-B46D-AAA2B51203E9}"/>
                </c:ext>
              </c:extLst>
            </c:dLbl>
            <c:dLbl>
              <c:idx val="30"/>
              <c:layout>
                <c:manualLayout>
                  <c:x val="-5.9205864685006873E-3"/>
                  <c:y val="-1.03588924001793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A9D-446E-B46D-AAA2B51203E9}"/>
                </c:ext>
              </c:extLst>
            </c:dLbl>
            <c:dLbl>
              <c:idx val="31"/>
              <c:layout>
                <c:manualLayout>
                  <c:x val="-2.7954048082354604E-2"/>
                  <c:y val="-2.83975155775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A9D-446E-B46D-AAA2B51203E9}"/>
                </c:ext>
              </c:extLst>
            </c:dLbl>
            <c:dLbl>
              <c:idx val="32"/>
              <c:layout>
                <c:manualLayout>
                  <c:x val="-1.9024972648480923E-2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A9D-446E-B46D-AAA2B51203E9}"/>
                </c:ext>
              </c:extLst>
            </c:dLbl>
            <c:dLbl>
              <c:idx val="33"/>
              <c:layout>
                <c:manualLayout>
                  <c:x val="-2.5297622011813493E-2"/>
                  <c:y val="-2.3903907365084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A9D-446E-B46D-AAA2B51203E9}"/>
                </c:ext>
              </c:extLst>
            </c:dLbl>
            <c:dLbl>
              <c:idx val="34"/>
              <c:layout>
                <c:manualLayout>
                  <c:x val="-2.2230592430108279E-2"/>
                  <c:y val="2.67543528889874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32296528544792E-2"/>
                      <c:h val="5.90756718790432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6-2A9D-446E-B46D-AAA2B51203E9}"/>
                </c:ext>
              </c:extLst>
            </c:dLbl>
            <c:dLbl>
              <c:idx val="35"/>
              <c:layout>
                <c:manualLayout>
                  <c:x val="-4.1435442101368847E-2"/>
                  <c:y val="-3.490621418801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A9D-446E-B46D-AAA2B51203E9}"/>
                </c:ext>
              </c:extLst>
            </c:dLbl>
            <c:dLbl>
              <c:idx val="36"/>
              <c:layout>
                <c:manualLayout>
                  <c:x val="-1.9662949371147612E-2"/>
                  <c:y val="-3.135588333148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E2-4933-B389-0FAB01C93E2C}"/>
                </c:ext>
              </c:extLst>
            </c:dLbl>
            <c:dLbl>
              <c:idx val="37"/>
              <c:layout>
                <c:manualLayout>
                  <c:x val="1.0852014234583079E-16"/>
                  <c:y val="3.155875938042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E2-4933-B389-0FAB01C93E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2'!$B$22:$AM$23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2'!$B$25:$AM$25</c:f>
              <c:numCache>
                <c:formatCode>#\ ##0,0</c:formatCode>
                <c:ptCount val="38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 formatCode="0,0">
                  <c:v>90.415711128050958</c:v>
                </c:pt>
                <c:pt idx="25" formatCode="0,0">
                  <c:v>92.544788099159774</c:v>
                </c:pt>
                <c:pt idx="26" formatCode="0,0">
                  <c:v>123.33461185332185</c:v>
                </c:pt>
                <c:pt idx="27" formatCode="0,0">
                  <c:v>145.62616468779689</c:v>
                </c:pt>
                <c:pt idx="28" formatCode="0,0">
                  <c:v>129.53315145310887</c:v>
                </c:pt>
                <c:pt idx="29" formatCode="0,0">
                  <c:v>119.63933960141166</c:v>
                </c:pt>
                <c:pt idx="30" formatCode="0,0">
                  <c:v>125.94594158412818</c:v>
                </c:pt>
                <c:pt idx="31" formatCode="0,0">
                  <c:v>144.12273509267587</c:v>
                </c:pt>
                <c:pt idx="32" formatCode="0,0">
                  <c:v>138.93267521074247</c:v>
                </c:pt>
                <c:pt idx="33" formatCode="0,0">
                  <c:v>141.26446794210585</c:v>
                </c:pt>
                <c:pt idx="34" formatCode="0,0">
                  <c:v>138.86123791492062</c:v>
                </c:pt>
                <c:pt idx="35" formatCode="0,0">
                  <c:v>148.90887155581675</c:v>
                </c:pt>
                <c:pt idx="36">
                  <c:v>166.47364532627881</c:v>
                </c:pt>
                <c:pt idx="37" formatCode="0,0">
                  <c:v>148.26742463518718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05888"/>
        <c:axId val="193606448"/>
      </c:lineChart>
      <c:catAx>
        <c:axId val="1936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606448"/>
        <c:crossesAt val="50"/>
        <c:auto val="0"/>
        <c:lblAlgn val="ctr"/>
        <c:lblOffset val="100"/>
        <c:noMultiLvlLbl val="0"/>
      </c:catAx>
      <c:valAx>
        <c:axId val="193606448"/>
        <c:scaling>
          <c:orientation val="minMax"/>
          <c:max val="170"/>
          <c:min val="5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60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General</c:formatCode>
                <c:ptCount val="5"/>
                <c:pt idx="0">
                  <c:v>12.7</c:v>
                </c:pt>
                <c:pt idx="1">
                  <c:v>9.1999999999999993</c:v>
                </c:pt>
                <c:pt idx="2">
                  <c:v>77.2</c:v>
                </c:pt>
                <c:pt idx="3">
                  <c:v>0.9</c:v>
                </c:pt>
                <c:pt idx="4" formatCode="0,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General</c:formatCode>
                <c:ptCount val="5"/>
                <c:pt idx="0">
                  <c:v>4.2</c:v>
                </c:pt>
                <c:pt idx="1">
                  <c:v>1.2</c:v>
                </c:pt>
                <c:pt idx="2">
                  <c:v>93.7</c:v>
                </c:pt>
                <c:pt idx="3">
                  <c:v>0.9</c:v>
                </c:pt>
                <c:pt idx="4" formatCode="0,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General</c:formatCode>
                <c:ptCount val="5"/>
                <c:pt idx="0">
                  <c:v>10.1</c:v>
                </c:pt>
                <c:pt idx="1">
                  <c:v>5.7</c:v>
                </c:pt>
                <c:pt idx="2">
                  <c:v>82.8</c:v>
                </c:pt>
                <c:pt idx="3">
                  <c:v>1.4</c:v>
                </c:pt>
                <c:pt idx="4" formatCode="0,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General</c:formatCode>
                <c:ptCount val="5"/>
                <c:pt idx="0">
                  <c:v>7.7</c:v>
                </c:pt>
                <c:pt idx="1">
                  <c:v>6.2</c:v>
                </c:pt>
                <c:pt idx="2">
                  <c:v>84.5</c:v>
                </c:pt>
                <c:pt idx="3">
                  <c:v>1.5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General</c:formatCode>
                <c:ptCount val="5"/>
                <c:pt idx="0">
                  <c:v>7.8</c:v>
                </c:pt>
                <c:pt idx="1">
                  <c:v>4.3</c:v>
                </c:pt>
                <c:pt idx="2">
                  <c:v>86.3</c:v>
                </c:pt>
                <c:pt idx="3">
                  <c:v>1.6</c:v>
                </c:pt>
                <c:pt idx="4" formatCode="0,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Ianuarie-februarie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General</c:formatCode>
                <c:ptCount val="5"/>
                <c:pt idx="0">
                  <c:v>8.6</c:v>
                </c:pt>
                <c:pt idx="1">
                  <c:v>2.1</c:v>
                </c:pt>
                <c:pt idx="2">
                  <c:v>87.9</c:v>
                </c:pt>
                <c:pt idx="3">
                  <c:v>1.4</c:v>
                </c:pt>
                <c:pt idx="4" formatCode="0,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610240"/>
        <c:axId val="194610800"/>
      </c:barChart>
      <c:catAx>
        <c:axId val="19461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610800"/>
        <c:crossesAt val="0"/>
        <c:auto val="1"/>
        <c:lblAlgn val="ctr"/>
        <c:lblOffset val="100"/>
        <c:noMultiLvlLbl val="0"/>
      </c:catAx>
      <c:valAx>
        <c:axId val="19461080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61024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60</c:v>
                </c:pt>
                <c:pt idx="1">
                  <c:v>62.8</c:v>
                </c:pt>
                <c:pt idx="2">
                  <c:v>62.9</c:v>
                </c:pt>
                <c:pt idx="3">
                  <c:v>66.7</c:v>
                </c:pt>
                <c:pt idx="4">
                  <c:v>63.6</c:v>
                </c:pt>
                <c:pt idx="5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19.3</c:v>
                </c:pt>
                <c:pt idx="1">
                  <c:v>16.2</c:v>
                </c:pt>
                <c:pt idx="2">
                  <c:v>13.6</c:v>
                </c:pt>
                <c:pt idx="3">
                  <c:v>12.9</c:v>
                </c:pt>
                <c:pt idx="4">
                  <c:v>15.8</c:v>
                </c:pt>
                <c:pt idx="5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Ianuarie-februarie 2017</c:v>
                </c:pt>
                <c:pt idx="1">
                  <c:v>Ianuarie-februarie 2018</c:v>
                </c:pt>
                <c:pt idx="2">
                  <c:v>Ianuarie-februarie 2019</c:v>
                </c:pt>
                <c:pt idx="3">
                  <c:v>Ianuarie-februarie 2020</c:v>
                </c:pt>
                <c:pt idx="4">
                  <c:v>Ianuarie-februarie 2021</c:v>
                </c:pt>
                <c:pt idx="5">
                  <c:v>Ianuarie-februarie 2022</c:v>
                </c:pt>
              </c:strCache>
            </c:strRef>
          </c:cat>
          <c:val>
            <c:numRef>
              <c:f>'Figura 4'!$B$23:$G$23</c:f>
              <c:numCache>
                <c:formatCode>0,0</c:formatCode>
                <c:ptCount val="6"/>
                <c:pt idx="0">
                  <c:v>20.7</c:v>
                </c:pt>
                <c:pt idx="1">
                  <c:v>21</c:v>
                </c:pt>
                <c:pt idx="2">
                  <c:v>23.5</c:v>
                </c:pt>
                <c:pt idx="3">
                  <c:v>20.399999999999999</c:v>
                </c:pt>
                <c:pt idx="4">
                  <c:v>20.6</c:v>
                </c:pt>
                <c:pt idx="5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14720"/>
        <c:axId val="194615280"/>
      </c:barChart>
      <c:catAx>
        <c:axId val="1946147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615280"/>
        <c:crosses val="autoZero"/>
        <c:auto val="1"/>
        <c:lblAlgn val="ctr"/>
        <c:lblOffset val="100"/>
        <c:noMultiLvlLbl val="0"/>
      </c:catAx>
      <c:valAx>
        <c:axId val="194615280"/>
        <c:scaling>
          <c:orientation val="minMax"/>
          <c:max val="100"/>
        </c:scaling>
        <c:delete val="0"/>
        <c:axPos val="l"/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614720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Ianuarie-februarie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Federația Rusă</c:v>
                </c:pt>
                <c:pt idx="4">
                  <c:v>Germania</c:v>
                </c:pt>
                <c:pt idx="5">
                  <c:v>Elveția</c:v>
                </c:pt>
                <c:pt idx="6">
                  <c:v>Bulgaria</c:v>
                </c:pt>
                <c:pt idx="7">
                  <c:v>Polonia</c:v>
                </c:pt>
                <c:pt idx="8">
                  <c:v>Regatul Unit </c:v>
                </c:pt>
                <c:pt idx="9">
                  <c:v>Ucraina</c:v>
                </c:pt>
                <c:pt idx="10">
                  <c:v>Cehia</c:v>
                </c:pt>
                <c:pt idx="11">
                  <c:v>Grecia</c:v>
                </c:pt>
                <c:pt idx="12">
                  <c:v>Ungaria</c:v>
                </c:pt>
                <c:pt idx="13">
                  <c:v>Spania</c:v>
                </c:pt>
                <c:pt idx="14">
                  <c:v>Belarus</c:v>
                </c:pt>
                <c:pt idx="15">
                  <c:v>Franța</c:v>
                </c:pt>
                <c:pt idx="16">
                  <c:v>Cipru</c:v>
                </c:pt>
                <c:pt idx="17">
                  <c:v>Olanda</c:v>
                </c:pt>
                <c:pt idx="18">
                  <c:v>S. U.A.</c:v>
                </c:pt>
              </c:strCache>
            </c:strRef>
          </c:cat>
          <c:val>
            <c:numRef>
              <c:f>'Figura 5'!$B$24:$B$42</c:f>
              <c:numCache>
                <c:formatCode>0,0</c:formatCode>
                <c:ptCount val="19"/>
                <c:pt idx="0">
                  <c:v>24</c:v>
                </c:pt>
                <c:pt idx="1">
                  <c:v>4.7</c:v>
                </c:pt>
                <c:pt idx="2">
                  <c:v>10.199999999999999</c:v>
                </c:pt>
                <c:pt idx="3">
                  <c:v>11.5</c:v>
                </c:pt>
                <c:pt idx="4">
                  <c:v>7.3</c:v>
                </c:pt>
                <c:pt idx="5">
                  <c:v>1.5</c:v>
                </c:pt>
                <c:pt idx="6">
                  <c:v>2.9</c:v>
                </c:pt>
                <c:pt idx="7">
                  <c:v>3.1</c:v>
                </c:pt>
                <c:pt idx="8">
                  <c:v>6.2</c:v>
                </c:pt>
                <c:pt idx="9">
                  <c:v>2.2000000000000002</c:v>
                </c:pt>
                <c:pt idx="10">
                  <c:v>1.4</c:v>
                </c:pt>
                <c:pt idx="11">
                  <c:v>1.2</c:v>
                </c:pt>
                <c:pt idx="12">
                  <c:v>0.3</c:v>
                </c:pt>
                <c:pt idx="13">
                  <c:v>1.8</c:v>
                </c:pt>
                <c:pt idx="14">
                  <c:v>4.8</c:v>
                </c:pt>
                <c:pt idx="15">
                  <c:v>2.4</c:v>
                </c:pt>
                <c:pt idx="16">
                  <c:v>0.3</c:v>
                </c:pt>
                <c:pt idx="17">
                  <c:v>1.4</c:v>
                </c:pt>
                <c:pt idx="1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Federația Rusă</c:v>
                </c:pt>
                <c:pt idx="4">
                  <c:v>Germania</c:v>
                </c:pt>
                <c:pt idx="5">
                  <c:v>Elveția</c:v>
                </c:pt>
                <c:pt idx="6">
                  <c:v>Bulgaria</c:v>
                </c:pt>
                <c:pt idx="7">
                  <c:v>Polonia</c:v>
                </c:pt>
                <c:pt idx="8">
                  <c:v>Regatul Unit </c:v>
                </c:pt>
                <c:pt idx="9">
                  <c:v>Ucraina</c:v>
                </c:pt>
                <c:pt idx="10">
                  <c:v>Cehia</c:v>
                </c:pt>
                <c:pt idx="11">
                  <c:v>Grecia</c:v>
                </c:pt>
                <c:pt idx="12">
                  <c:v>Ungaria</c:v>
                </c:pt>
                <c:pt idx="13">
                  <c:v>Spania</c:v>
                </c:pt>
                <c:pt idx="14">
                  <c:v>Belarus</c:v>
                </c:pt>
                <c:pt idx="15">
                  <c:v>Franța</c:v>
                </c:pt>
                <c:pt idx="16">
                  <c:v>Cipru</c:v>
                </c:pt>
                <c:pt idx="17">
                  <c:v>Olanda</c:v>
                </c:pt>
                <c:pt idx="18">
                  <c:v>S. U.A.</c:v>
                </c:pt>
              </c:strCache>
            </c:strRef>
          </c:cat>
          <c:val>
            <c:numRef>
              <c:f>'Figura 5'!$C$24:$C$42</c:f>
              <c:numCache>
                <c:formatCode>0,0</c:formatCode>
                <c:ptCount val="19"/>
                <c:pt idx="0">
                  <c:v>24.1</c:v>
                </c:pt>
                <c:pt idx="1">
                  <c:v>4.4000000000000004</c:v>
                </c:pt>
                <c:pt idx="2">
                  <c:v>10.9</c:v>
                </c:pt>
                <c:pt idx="3">
                  <c:v>9.3000000000000007</c:v>
                </c:pt>
                <c:pt idx="4">
                  <c:v>9</c:v>
                </c:pt>
                <c:pt idx="5">
                  <c:v>3.5</c:v>
                </c:pt>
                <c:pt idx="6">
                  <c:v>2.1</c:v>
                </c:pt>
                <c:pt idx="7">
                  <c:v>3.2</c:v>
                </c:pt>
                <c:pt idx="8">
                  <c:v>4.5</c:v>
                </c:pt>
                <c:pt idx="9">
                  <c:v>2.5</c:v>
                </c:pt>
                <c:pt idx="10">
                  <c:v>1.4</c:v>
                </c:pt>
                <c:pt idx="11">
                  <c:v>1.9</c:v>
                </c:pt>
                <c:pt idx="12">
                  <c:v>0.3</c:v>
                </c:pt>
                <c:pt idx="13">
                  <c:v>2.4</c:v>
                </c:pt>
                <c:pt idx="14">
                  <c:v>3.6</c:v>
                </c:pt>
                <c:pt idx="15">
                  <c:v>2.1</c:v>
                </c:pt>
                <c:pt idx="16">
                  <c:v>0</c:v>
                </c:pt>
                <c:pt idx="17">
                  <c:v>1.7</c:v>
                </c:pt>
                <c:pt idx="1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Federația Rusă</c:v>
                </c:pt>
                <c:pt idx="4">
                  <c:v>Germania</c:v>
                </c:pt>
                <c:pt idx="5">
                  <c:v>Elveția</c:v>
                </c:pt>
                <c:pt idx="6">
                  <c:v>Bulgaria</c:v>
                </c:pt>
                <c:pt idx="7">
                  <c:v>Polonia</c:v>
                </c:pt>
                <c:pt idx="8">
                  <c:v>Regatul Unit </c:v>
                </c:pt>
                <c:pt idx="9">
                  <c:v>Ucraina</c:v>
                </c:pt>
                <c:pt idx="10">
                  <c:v>Cehia</c:v>
                </c:pt>
                <c:pt idx="11">
                  <c:v>Grecia</c:v>
                </c:pt>
                <c:pt idx="12">
                  <c:v>Ungaria</c:v>
                </c:pt>
                <c:pt idx="13">
                  <c:v>Spania</c:v>
                </c:pt>
                <c:pt idx="14">
                  <c:v>Belarus</c:v>
                </c:pt>
                <c:pt idx="15">
                  <c:v>Franța</c:v>
                </c:pt>
                <c:pt idx="16">
                  <c:v>Cipru</c:v>
                </c:pt>
                <c:pt idx="17">
                  <c:v>Olanda</c:v>
                </c:pt>
                <c:pt idx="18">
                  <c:v>S. U.A.</c:v>
                </c:pt>
              </c:strCache>
            </c:strRef>
          </c:cat>
          <c:val>
            <c:numRef>
              <c:f>'Figura 5'!$D$24:$D$42</c:f>
              <c:numCache>
                <c:formatCode>0,0</c:formatCode>
                <c:ptCount val="19"/>
                <c:pt idx="0">
                  <c:v>25.8</c:v>
                </c:pt>
                <c:pt idx="1">
                  <c:v>10</c:v>
                </c:pt>
                <c:pt idx="2">
                  <c:v>12.2</c:v>
                </c:pt>
                <c:pt idx="3">
                  <c:v>7.9</c:v>
                </c:pt>
                <c:pt idx="4">
                  <c:v>8.6999999999999993</c:v>
                </c:pt>
                <c:pt idx="5">
                  <c:v>3.4</c:v>
                </c:pt>
                <c:pt idx="6">
                  <c:v>1.3</c:v>
                </c:pt>
                <c:pt idx="7">
                  <c:v>3.5</c:v>
                </c:pt>
                <c:pt idx="8">
                  <c:v>1.6</c:v>
                </c:pt>
                <c:pt idx="9">
                  <c:v>2.2999999999999998</c:v>
                </c:pt>
                <c:pt idx="10">
                  <c:v>1.7</c:v>
                </c:pt>
                <c:pt idx="11">
                  <c:v>1.3</c:v>
                </c:pt>
                <c:pt idx="12">
                  <c:v>0.2</c:v>
                </c:pt>
                <c:pt idx="13">
                  <c:v>1.4</c:v>
                </c:pt>
                <c:pt idx="14">
                  <c:v>3</c:v>
                </c:pt>
                <c:pt idx="15">
                  <c:v>1.6</c:v>
                </c:pt>
                <c:pt idx="16">
                  <c:v>0.9</c:v>
                </c:pt>
                <c:pt idx="17">
                  <c:v>1.4</c:v>
                </c:pt>
                <c:pt idx="1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Federația Rusă</c:v>
                </c:pt>
                <c:pt idx="4">
                  <c:v>Germania</c:v>
                </c:pt>
                <c:pt idx="5">
                  <c:v>Elveția</c:v>
                </c:pt>
                <c:pt idx="6">
                  <c:v>Bulgaria</c:v>
                </c:pt>
                <c:pt idx="7">
                  <c:v>Polonia</c:v>
                </c:pt>
                <c:pt idx="8">
                  <c:v>Regatul Unit </c:v>
                </c:pt>
                <c:pt idx="9">
                  <c:v>Ucraina</c:v>
                </c:pt>
                <c:pt idx="10">
                  <c:v>Cehia</c:v>
                </c:pt>
                <c:pt idx="11">
                  <c:v>Grecia</c:v>
                </c:pt>
                <c:pt idx="12">
                  <c:v>Ungaria</c:v>
                </c:pt>
                <c:pt idx="13">
                  <c:v>Spania</c:v>
                </c:pt>
                <c:pt idx="14">
                  <c:v>Belarus</c:v>
                </c:pt>
                <c:pt idx="15">
                  <c:v>Franța</c:v>
                </c:pt>
                <c:pt idx="16">
                  <c:v>Cipru</c:v>
                </c:pt>
                <c:pt idx="17">
                  <c:v>Olanda</c:v>
                </c:pt>
                <c:pt idx="18">
                  <c:v>S. U.A.</c:v>
                </c:pt>
              </c:strCache>
            </c:strRef>
          </c:cat>
          <c:val>
            <c:numRef>
              <c:f>'Figura 5'!$E$24:$E$42</c:f>
              <c:numCache>
                <c:formatCode>0,0</c:formatCode>
                <c:ptCount val="19"/>
                <c:pt idx="0">
                  <c:v>25.1</c:v>
                </c:pt>
                <c:pt idx="1">
                  <c:v>7.2</c:v>
                </c:pt>
                <c:pt idx="2">
                  <c:v>9.6999999999999993</c:v>
                </c:pt>
                <c:pt idx="3">
                  <c:v>7.1</c:v>
                </c:pt>
                <c:pt idx="4">
                  <c:v>9.6999999999999993</c:v>
                </c:pt>
                <c:pt idx="5">
                  <c:v>4</c:v>
                </c:pt>
                <c:pt idx="6">
                  <c:v>2.2000000000000002</c:v>
                </c:pt>
                <c:pt idx="7">
                  <c:v>4.4000000000000004</c:v>
                </c:pt>
                <c:pt idx="8">
                  <c:v>1.8</c:v>
                </c:pt>
                <c:pt idx="9">
                  <c:v>2.6</c:v>
                </c:pt>
                <c:pt idx="10">
                  <c:v>3.5</c:v>
                </c:pt>
                <c:pt idx="11">
                  <c:v>1.7</c:v>
                </c:pt>
                <c:pt idx="12">
                  <c:v>0.7</c:v>
                </c:pt>
                <c:pt idx="13">
                  <c:v>2.1</c:v>
                </c:pt>
                <c:pt idx="14">
                  <c:v>2.2999999999999998</c:v>
                </c:pt>
                <c:pt idx="15">
                  <c:v>2</c:v>
                </c:pt>
                <c:pt idx="16">
                  <c:v>0.7</c:v>
                </c:pt>
                <c:pt idx="17">
                  <c:v>1.2</c:v>
                </c:pt>
                <c:pt idx="1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Federația Rusă</c:v>
                </c:pt>
                <c:pt idx="4">
                  <c:v>Germania</c:v>
                </c:pt>
                <c:pt idx="5">
                  <c:v>Elveția</c:v>
                </c:pt>
                <c:pt idx="6">
                  <c:v>Bulgaria</c:v>
                </c:pt>
                <c:pt idx="7">
                  <c:v>Polonia</c:v>
                </c:pt>
                <c:pt idx="8">
                  <c:v>Regatul Unit </c:v>
                </c:pt>
                <c:pt idx="9">
                  <c:v>Ucraina</c:v>
                </c:pt>
                <c:pt idx="10">
                  <c:v>Cehia</c:v>
                </c:pt>
                <c:pt idx="11">
                  <c:v>Grecia</c:v>
                </c:pt>
                <c:pt idx="12">
                  <c:v>Ungaria</c:v>
                </c:pt>
                <c:pt idx="13">
                  <c:v>Spania</c:v>
                </c:pt>
                <c:pt idx="14">
                  <c:v>Belarus</c:v>
                </c:pt>
                <c:pt idx="15">
                  <c:v>Franța</c:v>
                </c:pt>
                <c:pt idx="16">
                  <c:v>Cipru</c:v>
                </c:pt>
                <c:pt idx="17">
                  <c:v>Olanda</c:v>
                </c:pt>
                <c:pt idx="18">
                  <c:v>S. U.A.</c:v>
                </c:pt>
              </c:strCache>
            </c:strRef>
          </c:cat>
          <c:val>
            <c:numRef>
              <c:f>'Figura 5'!$F$24:$F$42</c:f>
              <c:numCache>
                <c:formatCode>0,0</c:formatCode>
                <c:ptCount val="19"/>
                <c:pt idx="0">
                  <c:v>26.5</c:v>
                </c:pt>
                <c:pt idx="1">
                  <c:v>10.7</c:v>
                </c:pt>
                <c:pt idx="2">
                  <c:v>6.1</c:v>
                </c:pt>
                <c:pt idx="3">
                  <c:v>9.3000000000000007</c:v>
                </c:pt>
                <c:pt idx="4">
                  <c:v>11</c:v>
                </c:pt>
                <c:pt idx="5">
                  <c:v>1.6</c:v>
                </c:pt>
                <c:pt idx="6">
                  <c:v>1.6</c:v>
                </c:pt>
                <c:pt idx="7">
                  <c:v>4.0999999999999996</c:v>
                </c:pt>
                <c:pt idx="8">
                  <c:v>1.4</c:v>
                </c:pt>
                <c:pt idx="9">
                  <c:v>3.2</c:v>
                </c:pt>
                <c:pt idx="10">
                  <c:v>3.1</c:v>
                </c:pt>
                <c:pt idx="11">
                  <c:v>1.7</c:v>
                </c:pt>
                <c:pt idx="12">
                  <c:v>1.7</c:v>
                </c:pt>
                <c:pt idx="13">
                  <c:v>1.6</c:v>
                </c:pt>
                <c:pt idx="14">
                  <c:v>2.6</c:v>
                </c:pt>
                <c:pt idx="15">
                  <c:v>1.5</c:v>
                </c:pt>
                <c:pt idx="16">
                  <c:v>0.3</c:v>
                </c:pt>
                <c:pt idx="17">
                  <c:v>1.6</c:v>
                </c:pt>
                <c:pt idx="18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Federația Rusă</c:v>
                </c:pt>
                <c:pt idx="4">
                  <c:v>Germania</c:v>
                </c:pt>
                <c:pt idx="5">
                  <c:v>Elveția</c:v>
                </c:pt>
                <c:pt idx="6">
                  <c:v>Bulgaria</c:v>
                </c:pt>
                <c:pt idx="7">
                  <c:v>Polonia</c:v>
                </c:pt>
                <c:pt idx="8">
                  <c:v>Regatul Unit </c:v>
                </c:pt>
                <c:pt idx="9">
                  <c:v>Ucraina</c:v>
                </c:pt>
                <c:pt idx="10">
                  <c:v>Cehia</c:v>
                </c:pt>
                <c:pt idx="11">
                  <c:v>Grecia</c:v>
                </c:pt>
                <c:pt idx="12">
                  <c:v>Ungaria</c:v>
                </c:pt>
                <c:pt idx="13">
                  <c:v>Spania</c:v>
                </c:pt>
                <c:pt idx="14">
                  <c:v>Belarus</c:v>
                </c:pt>
                <c:pt idx="15">
                  <c:v>Franța</c:v>
                </c:pt>
                <c:pt idx="16">
                  <c:v>Cipru</c:v>
                </c:pt>
                <c:pt idx="17">
                  <c:v>Olanda</c:v>
                </c:pt>
                <c:pt idx="18">
                  <c:v>S. U.A.</c:v>
                </c:pt>
              </c:strCache>
            </c:strRef>
          </c:cat>
          <c:val>
            <c:numRef>
              <c:f>'Figura 5'!$G$24:$G$42</c:f>
              <c:numCache>
                <c:formatCode>0,0</c:formatCode>
                <c:ptCount val="19"/>
                <c:pt idx="0">
                  <c:v>28</c:v>
                </c:pt>
                <c:pt idx="1">
                  <c:v>13.8</c:v>
                </c:pt>
                <c:pt idx="2">
                  <c:v>9.5</c:v>
                </c:pt>
                <c:pt idx="3">
                  <c:v>7.3</c:v>
                </c:pt>
                <c:pt idx="4">
                  <c:v>6.2</c:v>
                </c:pt>
                <c:pt idx="5">
                  <c:v>3.8</c:v>
                </c:pt>
                <c:pt idx="6">
                  <c:v>3.2</c:v>
                </c:pt>
                <c:pt idx="7">
                  <c:v>2.8</c:v>
                </c:pt>
                <c:pt idx="8">
                  <c:v>2.5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1.9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1.3</c:v>
                </c:pt>
                <c:pt idx="16">
                  <c:v>1.2</c:v>
                </c:pt>
                <c:pt idx="17">
                  <c:v>0.8</c:v>
                </c:pt>
                <c:pt idx="1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369920"/>
        <c:axId val="195370480"/>
      </c:barChart>
      <c:catAx>
        <c:axId val="1953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370480"/>
        <c:crosses val="autoZero"/>
        <c:auto val="1"/>
        <c:lblAlgn val="ctr"/>
        <c:lblOffset val="100"/>
        <c:noMultiLvlLbl val="0"/>
      </c:catAx>
      <c:valAx>
        <c:axId val="195370480"/>
        <c:scaling>
          <c:orientation val="minMax"/>
          <c:max val="35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369920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Ianuarie-februarie 2021</a:t>
            </a:r>
          </a:p>
        </c:rich>
      </c:tx>
      <c:layout>
        <c:manualLayout>
          <c:xMode val="edge"/>
          <c:yMode val="edge"/>
          <c:x val="0.33018857772446841"/>
          <c:y val="3.7966207633649275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6'!$B$25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3.6680261657352706E-2"/>
                  <c:y val="2.25044390553861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36106882508873"/>
                      <c:h val="0.12712850340505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-1.8926064717894975E-2"/>
                  <c:y val="5.60282341623842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7.6594955643135218E-3"/>
                  <c:y val="-3.1290686254462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18300753404009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-2.206474990266627E-2"/>
                  <c:y val="-5.6111272841805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17019040984"/>
                      <c:h val="0.167969949319385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1.2903790124468528E-2"/>
                  <c:y val="-3.432172637595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46158566651464"/>
                      <c:h val="0.14298488859481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0.14600487455054717"/>
                  <c:y val="8.6623687129150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89304823310645"/>
                      <c:h val="0.201002081306549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1.0058330352171184E-2"/>
                  <c:y val="-1.83578052438860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43888366004"/>
                      <c:h val="0.154165997781845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-7.3590095716791565E-2"/>
                  <c:y val="-2.5193661230337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38387209726804"/>
                      <c:h val="0.173100880852640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0"/>
                  <c:y val="-1.55038854323906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8.6595979337380016E-3"/>
                  <c:y val="-5.2201093939506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86722685643913"/>
                      <c:h val="0.21048782914474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0"/>
              <c:layout>
                <c:manualLayout>
                  <c:x val="2.3701143088449651E-2"/>
                  <c:y val="0.100562992469628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6'!$A$26:$A$36</c:f>
              <c:strCache>
                <c:ptCount val="11"/>
                <c:pt idx="0">
                  <c:v>Cereale şi preparate pe bază de cereale</c:v>
                </c:pt>
                <c:pt idx="1">
                  <c:v>Legume şi fructe</c:v>
                </c:pt>
                <c:pt idx="2">
                  <c:v>Băuturi alcoolice şi nealcoolice</c:v>
                </c:pt>
                <c:pt idx="3">
                  <c:v>Seminţe şi fructe oleaginoase</c:v>
                </c:pt>
                <c:pt idx="4">
                  <c:v>Grăsimi şi uleiuri vegetale </c:v>
                </c:pt>
                <c:pt idx="5">
                  <c:v>Produse medicinale şi farmaceutice</c:v>
                </c:pt>
                <c:pt idx="6">
                  <c:v>Fire, tesături și articole textile </c:v>
                </c:pt>
                <c:pt idx="7">
                  <c:v>Maşini şi aparate electrice </c:v>
                </c:pt>
                <c:pt idx="8">
                  <c:v>Mobilă şi părţile ei</c:v>
                </c:pt>
                <c:pt idx="9">
                  <c:v>Îmbrăcăminte şi accesorii</c:v>
                </c:pt>
                <c:pt idx="10">
                  <c:v>Alte mărfuri</c:v>
                </c:pt>
              </c:strCache>
            </c:strRef>
          </c:cat>
          <c:val>
            <c:numRef>
              <c:f>'Figura 6'!$B$26:$B$36</c:f>
              <c:numCache>
                <c:formatCode>0,0</c:formatCode>
                <c:ptCount val="11"/>
                <c:pt idx="0">
                  <c:v>5.4</c:v>
                </c:pt>
                <c:pt idx="1">
                  <c:v>11.3</c:v>
                </c:pt>
                <c:pt idx="2">
                  <c:v>6.4</c:v>
                </c:pt>
                <c:pt idx="3">
                  <c:v>9.3000000000000007</c:v>
                </c:pt>
                <c:pt idx="4">
                  <c:v>1.8</c:v>
                </c:pt>
                <c:pt idx="5">
                  <c:v>2.5</c:v>
                </c:pt>
                <c:pt idx="6">
                  <c:v>2.9</c:v>
                </c:pt>
                <c:pt idx="7">
                  <c:v>21.7</c:v>
                </c:pt>
                <c:pt idx="8">
                  <c:v>6.6</c:v>
                </c:pt>
                <c:pt idx="9">
                  <c:v>9</c:v>
                </c:pt>
                <c:pt idx="10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Ianuarie-februarie 2022</a:t>
            </a:r>
          </a:p>
        </c:rich>
      </c:tx>
      <c:layout>
        <c:manualLayout>
          <c:xMode val="edge"/>
          <c:yMode val="edge"/>
          <c:x val="0.31723714512464352"/>
          <c:y val="1.39209551743363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55732217369434"/>
          <c:y val="0.15053090486522028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6'!$B$38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6.0562697340881988E-2"/>
                  <c:y val="3.66127075568347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682312755042576"/>
                      <c:h val="0.17126776644669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1.4962933940237016E-2"/>
                  <c:y val="-5.68368608449673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8804107152662"/>
                      <c:h val="0.15810011265276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1.0191576749080486E-2"/>
                  <c:y val="-3.2857069598998777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-3.3934446501189749E-2"/>
                  <c:y val="-4.29697452703383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2858133195"/>
                      <c:h val="0.226935465316921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2.8166254881688148E-2"/>
                  <c:y val="1.7869717785696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2.444165501573586E-2"/>
                  <c:y val="2.9478139681522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6.5957752511771276E-3"/>
                  <c:y val="-4.94768986418450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793197714425"/>
                      <c:h val="0.183549454961071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5.1546405700247776E-3"/>
                  <c:y val="-7.5622094643064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4501134967973"/>
                      <c:h val="0.159874742742816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0"/>
                  <c:y val="-2.3880455286061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76916112486433"/>
                      <c:h val="0.157904019159578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8.9347103213762817E-3"/>
                  <c:y val="-6.8569448947885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8912032608717"/>
                      <c:h val="0.2277258117942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9.0496682765560735E-2"/>
                  <c:y val="3.2788362307117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1534564909098"/>
                      <c:h val="0.166119672524216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6'!$A$39:$A$49</c:f>
              <c:strCache>
                <c:ptCount val="11"/>
                <c:pt idx="0">
                  <c:v>Cereale şi preparate pe bază de cereale</c:v>
                </c:pt>
                <c:pt idx="1">
                  <c:v>Legume şi fructe</c:v>
                </c:pt>
                <c:pt idx="2">
                  <c:v>Băuturi alcoolice şi nealcoolice</c:v>
                </c:pt>
                <c:pt idx="3">
                  <c:v>Seminţe şi fructe oleaginoase</c:v>
                </c:pt>
                <c:pt idx="4">
                  <c:v>Grăsimi şi uleiuri vegetale </c:v>
                </c:pt>
                <c:pt idx="5">
                  <c:v>Produse medicinale şi farmaceutice</c:v>
                </c:pt>
                <c:pt idx="6">
                  <c:v>Fire, tesături și articole textile </c:v>
                </c:pt>
                <c:pt idx="7">
                  <c:v>Maşini şi aparate electrice </c:v>
                </c:pt>
                <c:pt idx="8">
                  <c:v>Mobilă şi părţile ei</c:v>
                </c:pt>
                <c:pt idx="9">
                  <c:v>Îmbrăcăminte şi accesorii</c:v>
                </c:pt>
                <c:pt idx="10">
                  <c:v>Alte mărfuri</c:v>
                </c:pt>
              </c:strCache>
            </c:strRef>
          </c:cat>
          <c:val>
            <c:numRef>
              <c:f>'Figura 6'!$B$39:$B$49</c:f>
              <c:numCache>
                <c:formatCode>0,0</c:formatCode>
                <c:ptCount val="11"/>
                <c:pt idx="0">
                  <c:v>19.899999999999999</c:v>
                </c:pt>
                <c:pt idx="1">
                  <c:v>9.9</c:v>
                </c:pt>
                <c:pt idx="2">
                  <c:v>3.5</c:v>
                </c:pt>
                <c:pt idx="3">
                  <c:v>10.199999999999999</c:v>
                </c:pt>
                <c:pt idx="4">
                  <c:v>8.1</c:v>
                </c:pt>
                <c:pt idx="5">
                  <c:v>2.4</c:v>
                </c:pt>
                <c:pt idx="6">
                  <c:v>2.4</c:v>
                </c:pt>
                <c:pt idx="7">
                  <c:v>13.7</c:v>
                </c:pt>
                <c:pt idx="8">
                  <c:v>3.8</c:v>
                </c:pt>
                <c:pt idx="9">
                  <c:v>6.8</c:v>
                </c:pt>
                <c:pt idx="1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7'!$B$22:$B$27</c:f>
              <c:numCache>
                <c:formatCode>#\ ##0,0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7'!$C$22:$C$27</c:f>
              <c:numCache>
                <c:formatCode>#\ ##0,0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7'!$D$22:$D$27</c:f>
              <c:numCache>
                <c:formatCode>#\ ##0,0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7'!$E$22:$E$27</c:f>
              <c:numCache>
                <c:formatCode>#\ ##0,0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7'!$F$22:$F$27</c:f>
              <c:numCache>
                <c:formatCode>#\ ##0,0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7'!$G$22:$G$27</c:f>
              <c:numCache>
                <c:formatCode>#\ ##0,0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7'!$H$22:$H$27</c:f>
              <c:numCache>
                <c:formatCode>#\ ##0,0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7'!$I$22:$I$27</c:f>
              <c:numCache>
                <c:formatCode>#\ ##0,0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7'!$J$22:$J$27</c:f>
              <c:numCache>
                <c:formatCode>#\ ##0,0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7'!$K$22:$K$27</c:f>
              <c:numCache>
                <c:formatCode>#\ ##0,0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7'!$L$22:$L$27</c:f>
              <c:numCache>
                <c:formatCode>#\ ##0,0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7'!$M$22:$M$27</c:f>
              <c:numCache>
                <c:formatCode>#\ ##0,0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5867136"/>
        <c:axId val="195867696"/>
      </c:barChart>
      <c:catAx>
        <c:axId val="1958671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67696"/>
        <c:crosses val="autoZero"/>
        <c:auto val="0"/>
        <c:lblAlgn val="ctr"/>
        <c:lblOffset val="100"/>
        <c:tickLblSkip val="1"/>
        <c:noMultiLvlLbl val="0"/>
      </c:catAx>
      <c:valAx>
        <c:axId val="19586769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671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73110504047E-2"/>
          <c:y val="6.3183611383172564E-2"/>
          <c:w val="0.93864202688949594"/>
          <c:h val="0.69163073631682903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222530073417152E-2"/>
                  <c:y val="4.4332146902238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2.4801009411661825E-2"/>
                  <c:y val="-3.4324883317556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1.9138764793661129E-2"/>
                  <c:y val="-3.2169746280661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2.1943700442546548E-2"/>
                  <c:y val="2.2464106127674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2.1107729357103918E-2"/>
                  <c:y val="3.18140905335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9675070796076069E-2"/>
                  <c:y val="3.130180946700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2.6031301947887105E-2"/>
                  <c:y val="-3.6325788871805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1.7970935850370545E-2"/>
                  <c:y val="3.7346931238064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2.623374805421904E-2"/>
                  <c:y val="-2.8957559326114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6474612473467026E-2"/>
                  <c:y val="-3.5797776877999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1.8603099443481458E-2"/>
                  <c:y val="3.2066811300003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2.2892025913742339E-2"/>
                  <c:y val="-3.974076799754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8654111377711422E-2"/>
                  <c:y val="3.159796127182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1.9671146801135374E-2"/>
                  <c:y val="-3.515075699957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92567953582E-2"/>
                  <c:y val="-2.70616406126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3.2461128025219915E-2"/>
                  <c:y val="-1.135943937711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3.6392090059047318E-2"/>
                  <c:y val="-1.7016759593130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9.3865162244377749E-3"/>
                  <c:y val="-1.81832420483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8153441655881019E-2"/>
                  <c:y val="3.7047701643129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2.2523170389309947E-2"/>
                  <c:y val="-3.100702556891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066581865665797E-2"/>
                  <c:y val="-2.4233493469613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0353361350123261E-2"/>
                  <c:y val="-3.233081729690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1.5565366788620158E-2"/>
                  <c:y val="-3.8466904864823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5.8322577049242296E-3"/>
                  <c:y val="1.3942731217272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1.9767805207125271E-2"/>
                  <c:y val="3.2724774432181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1.8379912221033991E-2"/>
                  <c:y val="-3.03152067454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22-4E81-B4FB-3673EA265C72}"/>
                </c:ext>
              </c:extLst>
            </c:dLbl>
            <c:dLbl>
              <c:idx val="30"/>
              <c:layout>
                <c:manualLayout>
                  <c:x val="-1.212602526380057E-2"/>
                  <c:y val="2.716799536006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dLbl>
              <c:idx val="31"/>
              <c:layout>
                <c:manualLayout>
                  <c:x val="-1.3645096393407677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2-4E81-B4FB-3673EA265C72}"/>
                </c:ext>
              </c:extLst>
            </c:dLbl>
            <c:dLbl>
              <c:idx val="32"/>
              <c:layout>
                <c:manualLayout>
                  <c:x val="-2.477586381142929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22-4E81-B4FB-3673EA265C72}"/>
                </c:ext>
              </c:extLst>
            </c:dLbl>
            <c:dLbl>
              <c:idx val="33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2-4E81-B4FB-3673EA265C72}"/>
                </c:ext>
              </c:extLst>
            </c:dLbl>
            <c:dLbl>
              <c:idx val="34"/>
              <c:layout>
                <c:manualLayout>
                  <c:x val="-2.5413680432803041E-2"/>
                  <c:y val="-2.981279657544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F22-4E81-B4FB-3673EA265C72}"/>
                </c:ext>
              </c:extLst>
            </c:dLbl>
            <c:dLbl>
              <c:idx val="35"/>
              <c:layout>
                <c:manualLayout>
                  <c:x val="-5.8775037690371812E-3"/>
                  <c:y val="-6.321438928436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2-4E81-B4FB-3673EA265C72}"/>
                </c:ext>
              </c:extLst>
            </c:dLbl>
            <c:dLbl>
              <c:idx val="36"/>
              <c:layout>
                <c:manualLayout>
                  <c:x val="-1.9929569896520248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14-46FF-BEF3-900BDCC3C39F}"/>
                </c:ext>
              </c:extLst>
            </c:dLbl>
            <c:dLbl>
              <c:idx val="37"/>
              <c:layout>
                <c:manualLayout>
                  <c:x val="-1.3140578159814434E-3"/>
                  <c:y val="-2.5385954880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4-46FF-BEF3-900BDCC3C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8'!$B$23:$AM$24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8'!$B$25:$AM$25</c:f>
              <c:numCache>
                <c:formatCode>#\ ##0,0</c:formatCode>
                <c:ptCount val="38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130.56565598353049</c:v>
                </c:pt>
                <c:pt idx="26">
                  <c:v>120.83026196604835</c:v>
                </c:pt>
                <c:pt idx="27">
                  <c:v>89.231037795592442</c:v>
                </c:pt>
                <c:pt idx="28">
                  <c:v>100.2114807539604</c:v>
                </c:pt>
                <c:pt idx="29" formatCode="0,0">
                  <c:v>104.66057637383682</c:v>
                </c:pt>
                <c:pt idx="30" formatCode="0,0">
                  <c:v>95.30942428771003</c:v>
                </c:pt>
                <c:pt idx="31">
                  <c:v>102.29866266763055</c:v>
                </c:pt>
                <c:pt idx="32">
                  <c:v>116.75028041134044</c:v>
                </c:pt>
                <c:pt idx="33">
                  <c:v>96.373528322817748</c:v>
                </c:pt>
                <c:pt idx="34">
                  <c:v>108.43907965493625</c:v>
                </c:pt>
                <c:pt idx="35">
                  <c:v>107.49454762149138</c:v>
                </c:pt>
                <c:pt idx="36">
                  <c:v>82.384524368534713</c:v>
                </c:pt>
                <c:pt idx="37">
                  <c:v>107.71381026333069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4863653988853E-2"/>
                  <c:y val="3.2179321627699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2-4E81-B4FB-3673EA265C72}"/>
                </c:ext>
              </c:extLst>
            </c:dLbl>
            <c:dLbl>
              <c:idx val="1"/>
              <c:layout>
                <c:manualLayout>
                  <c:x val="-1.9663539055841971E-2"/>
                  <c:y val="2.6424196081220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2.0659112629385724E-2"/>
                  <c:y val="2.8562576260799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3618664890351588E-2"/>
                  <c:y val="-2.459701468037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1.4941932082214279E-2"/>
                  <c:y val="-3.5475634845508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1.6164616873146211E-2"/>
                  <c:y val="-3.606862240850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2.233762148568218E-2"/>
                  <c:y val="4.1184935516877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1.8829169600987409E-2"/>
                  <c:y val="4.400111347606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1.6997304615883339E-2"/>
                  <c:y val="3.8535300200808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1.8631688549478491E-2"/>
                  <c:y val="-3.484297798764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1.8877378681688255E-2"/>
                  <c:y val="3.68028463403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816873722799708E-2"/>
                  <c:y val="-3.0172260493212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297027592425E-2"/>
                  <c:y val="-2.804971145168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2.2783515441400656E-2"/>
                  <c:y val="2.7837243722675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5.8651712135091242E-3"/>
                  <c:y val="8.08603859685600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9820119267023371E-2"/>
                  <c:y val="-1.011840600565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2.6049560536591167E-2"/>
                  <c:y val="-2.8108773206537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1910386526314711E-2"/>
                  <c:y val="-3.308487587614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1.436422392909781E-2"/>
                  <c:y val="3.949180897456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1.9982744032044218E-2"/>
                  <c:y val="3.824906571971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1.3879410350089367E-2"/>
                  <c:y val="-3.039488731184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1654745463261238E-2"/>
                  <c:y val="3.669820147624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2.2494100794136496E-3"/>
                  <c:y val="-1.818050623491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3717915260592425E-2"/>
                  <c:y val="-3.4842726678092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4.3570625100432881E-3"/>
                  <c:y val="-7.0760471199435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3.1627399222600543E-2"/>
                  <c:y val="1.8314903070129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22-4E81-B4FB-3673EA265C72}"/>
                </c:ext>
              </c:extLst>
            </c:dLbl>
            <c:dLbl>
              <c:idx val="30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F22-4E81-B4FB-3673EA265C72}"/>
                </c:ext>
              </c:extLst>
            </c:dLbl>
            <c:dLbl>
              <c:idx val="31"/>
              <c:layout>
                <c:manualLayout>
                  <c:x val="-3.6817643306297422E-2"/>
                  <c:y val="-1.4883509063749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22-4E81-B4FB-3673EA265C72}"/>
                </c:ext>
              </c:extLst>
            </c:dLbl>
            <c:dLbl>
              <c:idx val="32"/>
              <c:layout>
                <c:manualLayout>
                  <c:x val="-2.1872507962906875E-2"/>
                  <c:y val="-3.64359053627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2-4E81-B4FB-3673EA265C72}"/>
                </c:ext>
              </c:extLst>
            </c:dLbl>
            <c:dLbl>
              <c:idx val="33"/>
              <c:layout>
                <c:manualLayout>
                  <c:x val="-1.95791331238507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22-4E81-B4FB-3673EA265C72}"/>
                </c:ext>
              </c:extLst>
            </c:dLbl>
            <c:dLbl>
              <c:idx val="34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22-4E81-B4FB-3673EA265C72}"/>
                </c:ext>
              </c:extLst>
            </c:dLbl>
            <c:dLbl>
              <c:idx val="35"/>
              <c:layout>
                <c:manualLayout>
                  <c:x val="-1.5417936692988398E-2"/>
                  <c:y val="3.602690125354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22-4E81-B4FB-3673EA265C72}"/>
                </c:ext>
              </c:extLst>
            </c:dLbl>
            <c:dLbl>
              <c:idx val="36"/>
              <c:layout>
                <c:manualLayout>
                  <c:x val="-2.3014550653729548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14-46FF-BEF3-900BDCC3C39F}"/>
                </c:ext>
              </c:extLst>
            </c:dLbl>
            <c:dLbl>
              <c:idx val="37"/>
              <c:layout>
                <c:manualLayout>
                  <c:x val="-1.3373054839671172E-2"/>
                  <c:y val="7.59461810780191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14-46FF-BEF3-900BDCC3C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8'!$B$23:$AM$24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8'!$B$26:$AM$26</c:f>
              <c:numCache>
                <c:formatCode>#\ ##0,0</c:formatCode>
                <c:ptCount val="38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 formatCode="0,0">
                  <c:v>105.14366410240868</c:v>
                </c:pt>
                <c:pt idx="25" formatCode="0,0">
                  <c:v>107.56077192573727</c:v>
                </c:pt>
                <c:pt idx="26" formatCode="0,0">
                  <c:v>125.88605526903886</c:v>
                </c:pt>
                <c:pt idx="27" formatCode="0,0">
                  <c:v>196.84765533007069</c:v>
                </c:pt>
                <c:pt idx="28" formatCode="0,0">
                  <c:v>171.05720800538208</c:v>
                </c:pt>
                <c:pt idx="29" formatCode="0,0">
                  <c:v>142.58661575531545</c:v>
                </c:pt>
                <c:pt idx="30" formatCode="0,0">
                  <c:v>113.15935751484174</c:v>
                </c:pt>
                <c:pt idx="31">
                  <c:v>132.58252323350189</c:v>
                </c:pt>
                <c:pt idx="32">
                  <c:v>132.04043044659673</c:v>
                </c:pt>
                <c:pt idx="33">
                  <c:v>131.05665742213895</c:v>
                </c:pt>
                <c:pt idx="34">
                  <c:v>134.15133450516365</c:v>
                </c:pt>
                <c:pt idx="35">
                  <c:v>132.91523444121219</c:v>
                </c:pt>
                <c:pt idx="36">
                  <c:v>155.5466312460243</c:v>
                </c:pt>
                <c:pt idx="37" formatCode="0,0">
                  <c:v>128.32256842824583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871056"/>
        <c:axId val="195871616"/>
      </c:lineChart>
      <c:catAx>
        <c:axId val="19587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71616"/>
        <c:crossesAt val="50"/>
        <c:auto val="1"/>
        <c:lblAlgn val="ctr"/>
        <c:lblOffset val="100"/>
        <c:noMultiLvlLbl val="0"/>
      </c:catAx>
      <c:valAx>
        <c:axId val="195871616"/>
        <c:scaling>
          <c:orientation val="minMax"/>
          <c:min val="5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7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0.04764</cdr:x>
      <cdr:y>0.00369</cdr:y>
    </cdr:from>
    <cdr:to>
      <cdr:x>0.19602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5373" y="9525"/>
          <a:ext cx="982257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16</xdr:col>
      <xdr:colOff>9525</xdr:colOff>
      <xdr:row>20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0.05497</cdr:x>
      <cdr:y>0</cdr:y>
    </cdr:from>
    <cdr:to>
      <cdr:x>0.19594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675" y="0"/>
          <a:ext cx="1345425" cy="880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9526</xdr:rowOff>
    </xdr:from>
    <xdr:to>
      <xdr:col>6</xdr:col>
      <xdr:colOff>733424</xdr:colOff>
      <xdr:row>20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2</xdr:col>
      <xdr:colOff>9525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790574</xdr:colOff>
      <xdr:row>2</xdr:row>
      <xdr:rowOff>9526</xdr:rowOff>
    </xdr:from>
    <xdr:to>
      <xdr:col>6</xdr:col>
      <xdr:colOff>390524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180975</xdr:rowOff>
    </xdr:from>
    <xdr:to>
      <xdr:col>16</xdr:col>
      <xdr:colOff>9526</xdr:colOff>
      <xdr:row>18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0</xdr:rowOff>
    </xdr:from>
    <xdr:to>
      <xdr:col>5</xdr:col>
      <xdr:colOff>761999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342900</xdr:colOff>
      <xdr:row>23</xdr:row>
      <xdr:rowOff>133348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342900"/>
          <a:ext cx="7334250" cy="3295648"/>
          <a:chOff x="9525" y="75866"/>
          <a:chExt cx="5340711" cy="258109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90786"/>
          <a:ext cx="2639046" cy="25661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59073" y="75866"/>
          <a:ext cx="2691163" cy="25363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0"/>
  <sheetViews>
    <sheetView tabSelected="1" workbookViewId="0">
      <selection activeCell="A2" sqref="A2:XFD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s="5" customFormat="1" x14ac:dyDescent="0.2">
      <c r="A2" s="145" t="s">
        <v>71</v>
      </c>
      <c r="B2" s="145"/>
      <c r="C2" s="145"/>
      <c r="D2" s="145"/>
      <c r="E2" s="145"/>
      <c r="F2" s="145"/>
      <c r="G2" s="145"/>
      <c r="H2" s="145"/>
      <c r="I2" s="145"/>
      <c r="J2" s="145"/>
      <c r="K2" s="167"/>
      <c r="L2" s="167"/>
      <c r="M2" s="167"/>
    </row>
    <row r="3" spans="1:13" x14ac:dyDescent="0.2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">
      <c r="A5" s="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">
      <c r="A11" s="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">
      <c r="A13" s="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">
      <c r="A16" s="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21" x14ac:dyDescent="0.2">
      <c r="A17" s="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21" x14ac:dyDescent="0.2">
      <c r="A18" s="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21" x14ac:dyDescent="0.2">
      <c r="N19" s="6"/>
    </row>
    <row r="20" spans="1:21" x14ac:dyDescent="0.2">
      <c r="A20" s="35" t="s">
        <v>0</v>
      </c>
      <c r="B20" s="55" t="s">
        <v>1</v>
      </c>
      <c r="C20" s="55" t="s">
        <v>2</v>
      </c>
      <c r="D20" s="55" t="s">
        <v>3</v>
      </c>
      <c r="E20" s="55" t="s">
        <v>4</v>
      </c>
      <c r="F20" s="55" t="s">
        <v>5</v>
      </c>
      <c r="G20" s="55" t="s">
        <v>6</v>
      </c>
      <c r="H20" s="55" t="s">
        <v>7</v>
      </c>
      <c r="I20" s="55" t="s">
        <v>8</v>
      </c>
      <c r="J20" s="55" t="s">
        <v>9</v>
      </c>
      <c r="K20" s="55" t="s">
        <v>10</v>
      </c>
      <c r="L20" s="55" t="s">
        <v>11</v>
      </c>
      <c r="M20" s="55" t="s">
        <v>12</v>
      </c>
    </row>
    <row r="21" spans="1:21" x14ac:dyDescent="0.2">
      <c r="A21" s="42">
        <v>2017</v>
      </c>
      <c r="B21" s="50">
        <v>139.5</v>
      </c>
      <c r="C21" s="50">
        <v>176.6</v>
      </c>
      <c r="D21" s="50">
        <v>212.1</v>
      </c>
      <c r="E21" s="50">
        <v>154.19999999999999</v>
      </c>
      <c r="F21" s="50">
        <v>174.7</v>
      </c>
      <c r="G21" s="50">
        <v>171.1</v>
      </c>
      <c r="H21" s="50">
        <v>191.6</v>
      </c>
      <c r="I21" s="50">
        <v>207.9</v>
      </c>
      <c r="J21" s="50">
        <v>223.9</v>
      </c>
      <c r="K21" s="50">
        <v>268.2</v>
      </c>
      <c r="L21" s="50">
        <v>272.10000000000002</v>
      </c>
      <c r="M21" s="51">
        <v>233.1</v>
      </c>
    </row>
    <row r="22" spans="1:21" x14ac:dyDescent="0.2">
      <c r="A22" s="42">
        <v>2018</v>
      </c>
      <c r="B22" s="50">
        <v>220.3</v>
      </c>
      <c r="C22" s="50">
        <v>215.5</v>
      </c>
      <c r="D22" s="50">
        <v>242.1</v>
      </c>
      <c r="E22" s="50">
        <v>199.7</v>
      </c>
      <c r="F22" s="50">
        <v>223</v>
      </c>
      <c r="G22" s="50">
        <v>214.1</v>
      </c>
      <c r="H22" s="50">
        <v>218.8</v>
      </c>
      <c r="I22" s="50">
        <v>218.6</v>
      </c>
      <c r="J22" s="50">
        <v>207.3</v>
      </c>
      <c r="K22" s="50">
        <v>259</v>
      </c>
      <c r="L22" s="50">
        <v>268.89999999999998</v>
      </c>
      <c r="M22" s="51">
        <v>218.8</v>
      </c>
    </row>
    <row r="23" spans="1:21" x14ac:dyDescent="0.2">
      <c r="A23" s="42">
        <v>2019</v>
      </c>
      <c r="B23" s="50">
        <v>234.3</v>
      </c>
      <c r="C23" s="50">
        <v>241.4</v>
      </c>
      <c r="D23" s="50">
        <v>257.2</v>
      </c>
      <c r="E23" s="50">
        <v>215.6</v>
      </c>
      <c r="F23" s="50">
        <v>210.5</v>
      </c>
      <c r="G23" s="50">
        <v>202.2</v>
      </c>
      <c r="H23" s="50">
        <v>220.2</v>
      </c>
      <c r="I23" s="50">
        <v>205.8</v>
      </c>
      <c r="J23" s="50">
        <v>238.8</v>
      </c>
      <c r="K23" s="50">
        <v>268.3</v>
      </c>
      <c r="L23" s="50">
        <v>266.60000000000002</v>
      </c>
      <c r="M23" s="51">
        <v>218.3</v>
      </c>
    </row>
    <row r="24" spans="1:21" x14ac:dyDescent="0.2">
      <c r="A24" s="42">
        <v>2020</v>
      </c>
      <c r="B24" s="50">
        <v>219.5</v>
      </c>
      <c r="C24" s="50">
        <v>245.3</v>
      </c>
      <c r="D24" s="50">
        <v>210.2</v>
      </c>
      <c r="E24" s="50">
        <v>149.80000000000001</v>
      </c>
      <c r="F24" s="50">
        <v>155.69999999999999</v>
      </c>
      <c r="G24" s="50">
        <v>189.6</v>
      </c>
      <c r="H24" s="50">
        <v>191.1</v>
      </c>
      <c r="I24" s="50">
        <v>163.9</v>
      </c>
      <c r="J24" s="50">
        <v>212.3</v>
      </c>
      <c r="K24" s="50">
        <v>249.4</v>
      </c>
      <c r="L24" s="50">
        <v>262</v>
      </c>
      <c r="M24" s="51">
        <v>218.3</v>
      </c>
    </row>
    <row r="25" spans="1:21" x14ac:dyDescent="0.2">
      <c r="A25" s="42">
        <v>2021</v>
      </c>
      <c r="B25" s="50">
        <v>198.4</v>
      </c>
      <c r="C25" s="50">
        <v>227</v>
      </c>
      <c r="D25" s="50">
        <v>259.3</v>
      </c>
      <c r="E25" s="50">
        <v>218.2</v>
      </c>
      <c r="F25" s="50">
        <v>201.7</v>
      </c>
      <c r="G25" s="50">
        <v>226.8</v>
      </c>
      <c r="H25" s="50">
        <v>240.7</v>
      </c>
      <c r="I25" s="50">
        <v>236.2</v>
      </c>
      <c r="J25" s="50">
        <v>294.89999999999998</v>
      </c>
      <c r="K25" s="50">
        <v>352.2</v>
      </c>
      <c r="L25" s="50">
        <v>363.9</v>
      </c>
      <c r="M25" s="51">
        <v>325</v>
      </c>
    </row>
    <row r="26" spans="1:21" x14ac:dyDescent="0.2">
      <c r="A26" s="43">
        <v>2022</v>
      </c>
      <c r="B26" s="52">
        <v>330.3</v>
      </c>
      <c r="C26" s="52">
        <v>336.6</v>
      </c>
      <c r="D26" s="52"/>
      <c r="E26" s="52"/>
      <c r="F26" s="52"/>
      <c r="G26" s="52"/>
      <c r="H26" s="52"/>
      <c r="I26" s="52"/>
      <c r="J26" s="52"/>
      <c r="K26" s="52"/>
      <c r="L26" s="52"/>
      <c r="M26" s="53"/>
    </row>
    <row r="30" spans="1:21" ht="15.75" x14ac:dyDescent="0.25">
      <c r="B30" s="95"/>
      <c r="C30" s="96"/>
      <c r="D30" s="95"/>
      <c r="E30" s="96"/>
      <c r="F30" s="95"/>
      <c r="G30" s="96"/>
      <c r="H30" s="95"/>
      <c r="I30" s="98"/>
      <c r="J30" s="99"/>
      <c r="K30" s="96"/>
      <c r="L30" s="86"/>
      <c r="M30" s="96"/>
      <c r="N30" s="86"/>
      <c r="O30" s="98"/>
      <c r="P30" s="86"/>
      <c r="Q30" s="96"/>
      <c r="R30" s="99"/>
      <c r="S30" s="96"/>
      <c r="T30" s="93"/>
      <c r="U30" s="94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6"/>
  <sheetViews>
    <sheetView workbookViewId="0">
      <selection activeCell="A2" sqref="A2:XFD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s="5" customFormat="1" x14ac:dyDescent="0.2">
      <c r="A2" s="145" t="s">
        <v>98</v>
      </c>
      <c r="B2" s="145"/>
      <c r="C2" s="145"/>
      <c r="D2" s="145"/>
      <c r="E2" s="145"/>
      <c r="F2" s="163"/>
      <c r="G2" s="163"/>
    </row>
    <row r="3" spans="1:13" x14ac:dyDescent="0.2">
      <c r="A3" s="63"/>
      <c r="B3" s="63"/>
      <c r="C3" s="63"/>
      <c r="D3" s="63"/>
      <c r="E3" s="63"/>
      <c r="F3" s="63"/>
      <c r="G3" s="63"/>
      <c r="H3" s="62"/>
      <c r="I3" s="62"/>
      <c r="J3" s="62"/>
      <c r="K3" s="62"/>
      <c r="L3" s="62"/>
      <c r="M3" s="62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1"/>
      <c r="B22" s="12" t="s">
        <v>78</v>
      </c>
      <c r="C22" s="12" t="s">
        <v>77</v>
      </c>
      <c r="D22" s="12" t="s">
        <v>76</v>
      </c>
      <c r="E22" s="13" t="s">
        <v>75</v>
      </c>
      <c r="F22" s="13" t="s">
        <v>74</v>
      </c>
      <c r="G22" s="13" t="s">
        <v>73</v>
      </c>
    </row>
    <row r="23" spans="1:7" ht="15" customHeight="1" x14ac:dyDescent="0.2">
      <c r="A23" s="23" t="s">
        <v>52</v>
      </c>
      <c r="B23" s="117">
        <v>44.3</v>
      </c>
      <c r="C23" s="118">
        <v>47.5</v>
      </c>
      <c r="D23" s="118">
        <v>45.5</v>
      </c>
      <c r="E23" s="118">
        <v>46.3</v>
      </c>
      <c r="F23" s="118">
        <v>46.2</v>
      </c>
      <c r="G23" s="126">
        <v>41.8</v>
      </c>
    </row>
    <row r="24" spans="1:7" ht="15" customHeight="1" x14ac:dyDescent="0.2">
      <c r="A24" s="24" t="s">
        <v>53</v>
      </c>
      <c r="B24" s="119">
        <v>27.9</v>
      </c>
      <c r="C24" s="120">
        <v>24.7</v>
      </c>
      <c r="D24" s="120">
        <v>27.2</v>
      </c>
      <c r="E24" s="120">
        <v>25.6</v>
      </c>
      <c r="F24" s="120">
        <v>23.9</v>
      </c>
      <c r="G24" s="127">
        <v>33.700000000000003</v>
      </c>
    </row>
    <row r="25" spans="1:7" ht="15.75" customHeight="1" x14ac:dyDescent="0.2">
      <c r="A25" s="25" t="s">
        <v>54</v>
      </c>
      <c r="B25" s="122">
        <v>27.8</v>
      </c>
      <c r="C25" s="124">
        <v>27.8</v>
      </c>
      <c r="D25" s="124">
        <v>27.3</v>
      </c>
      <c r="E25" s="124">
        <v>28.1</v>
      </c>
      <c r="F25" s="124">
        <v>29.9</v>
      </c>
      <c r="G25" s="128">
        <v>24.5</v>
      </c>
    </row>
    <row r="26" spans="1:7" x14ac:dyDescent="0.2">
      <c r="G26" s="8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4"/>
  <sheetViews>
    <sheetView workbookViewId="0">
      <selection activeCell="A2" sqref="A2:XFD2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0" s="5" customFormat="1" x14ac:dyDescent="0.2">
      <c r="A2" s="153" t="s">
        <v>99</v>
      </c>
      <c r="B2" s="153"/>
      <c r="C2" s="153"/>
      <c r="D2" s="153"/>
      <c r="E2" s="153"/>
      <c r="F2" s="153"/>
      <c r="G2" s="153"/>
      <c r="H2" s="162"/>
      <c r="I2" s="162"/>
      <c r="J2" s="162"/>
    </row>
    <row r="24" spans="1:7" ht="26.25" customHeight="1" x14ac:dyDescent="0.2">
      <c r="A24" s="105"/>
      <c r="B24" s="13" t="s">
        <v>78</v>
      </c>
      <c r="C24" s="13" t="s">
        <v>77</v>
      </c>
      <c r="D24" s="13" t="s">
        <v>76</v>
      </c>
      <c r="E24" s="13" t="s">
        <v>75</v>
      </c>
      <c r="F24" s="13" t="s">
        <v>74</v>
      </c>
      <c r="G24" s="13" t="s">
        <v>73</v>
      </c>
    </row>
    <row r="25" spans="1:7" x14ac:dyDescent="0.2">
      <c r="A25" s="108" t="s">
        <v>65</v>
      </c>
      <c r="B25" s="129">
        <v>17.5</v>
      </c>
      <c r="C25" s="129">
        <v>15.3</v>
      </c>
      <c r="D25" s="129">
        <v>16.100000000000001</v>
      </c>
      <c r="E25" s="129">
        <v>14.6</v>
      </c>
      <c r="F25" s="129">
        <v>13.3</v>
      </c>
      <c r="G25" s="103">
        <v>24.3</v>
      </c>
    </row>
    <row r="26" spans="1:7" x14ac:dyDescent="0.2">
      <c r="A26" s="109" t="s">
        <v>36</v>
      </c>
      <c r="B26" s="129">
        <v>14.2</v>
      </c>
      <c r="C26" s="129">
        <v>13.7</v>
      </c>
      <c r="D26" s="129">
        <v>13.1</v>
      </c>
      <c r="E26" s="129">
        <v>14.2</v>
      </c>
      <c r="F26" s="129">
        <v>12.6</v>
      </c>
      <c r="G26" s="121">
        <v>13.1</v>
      </c>
    </row>
    <row r="27" spans="1:7" x14ac:dyDescent="0.2">
      <c r="A27" s="109" t="s">
        <v>55</v>
      </c>
      <c r="B27" s="129">
        <v>10.199999999999999</v>
      </c>
      <c r="C27" s="129">
        <v>12.1</v>
      </c>
      <c r="D27" s="129">
        <v>11.4</v>
      </c>
      <c r="E27" s="129">
        <v>10.7</v>
      </c>
      <c r="F27" s="129">
        <v>12.5</v>
      </c>
      <c r="G27" s="121">
        <v>9.9</v>
      </c>
    </row>
    <row r="28" spans="1:7" x14ac:dyDescent="0.2">
      <c r="A28" s="109" t="s">
        <v>37</v>
      </c>
      <c r="B28" s="129">
        <v>7.2</v>
      </c>
      <c r="C28" s="129">
        <v>8</v>
      </c>
      <c r="D28" s="129">
        <v>7.9</v>
      </c>
      <c r="E28" s="129">
        <v>7.8</v>
      </c>
      <c r="F28" s="129">
        <v>7.9</v>
      </c>
      <c r="G28" s="121">
        <v>6.6</v>
      </c>
    </row>
    <row r="29" spans="1:7" x14ac:dyDescent="0.2">
      <c r="A29" s="109" t="s">
        <v>41</v>
      </c>
      <c r="B29" s="129">
        <v>7.5</v>
      </c>
      <c r="C29" s="129">
        <v>7.8</v>
      </c>
      <c r="D29" s="129">
        <v>8.6</v>
      </c>
      <c r="E29" s="129">
        <v>8.6999999999999993</v>
      </c>
      <c r="F29" s="129">
        <v>8.3000000000000007</v>
      </c>
      <c r="G29" s="121">
        <v>6.6</v>
      </c>
    </row>
    <row r="30" spans="1:7" x14ac:dyDescent="0.2">
      <c r="A30" s="109" t="s">
        <v>38</v>
      </c>
      <c r="B30" s="129">
        <v>6.6</v>
      </c>
      <c r="C30" s="129">
        <v>6.2</v>
      </c>
      <c r="D30" s="129">
        <v>6.4</v>
      </c>
      <c r="E30" s="129">
        <v>7.3</v>
      </c>
      <c r="F30" s="129">
        <v>7.5</v>
      </c>
      <c r="G30" s="121">
        <v>6.1</v>
      </c>
    </row>
    <row r="31" spans="1:7" x14ac:dyDescent="0.2">
      <c r="A31" s="109" t="s">
        <v>39</v>
      </c>
      <c r="B31" s="129">
        <v>6</v>
      </c>
      <c r="C31" s="129">
        <v>6.5</v>
      </c>
      <c r="D31" s="129">
        <v>6.1</v>
      </c>
      <c r="E31" s="129">
        <v>5.8</v>
      </c>
      <c r="F31" s="129">
        <v>6.3</v>
      </c>
      <c r="G31" s="121">
        <v>5.2</v>
      </c>
    </row>
    <row r="32" spans="1:7" x14ac:dyDescent="0.2">
      <c r="A32" s="109" t="s">
        <v>40</v>
      </c>
      <c r="B32" s="129">
        <v>2.7</v>
      </c>
      <c r="C32" s="129">
        <v>3.5</v>
      </c>
      <c r="D32" s="129">
        <v>3.3</v>
      </c>
      <c r="E32" s="129">
        <v>3.9</v>
      </c>
      <c r="F32" s="129">
        <v>4</v>
      </c>
      <c r="G32" s="121">
        <v>3.1</v>
      </c>
    </row>
    <row r="33" spans="1:7" x14ac:dyDescent="0.2">
      <c r="A33" s="109" t="s">
        <v>67</v>
      </c>
      <c r="B33" s="129">
        <v>2.2999999999999998</v>
      </c>
      <c r="C33" s="129">
        <v>2.7</v>
      </c>
      <c r="D33" s="129">
        <v>2.6</v>
      </c>
      <c r="E33" s="129">
        <v>2.5</v>
      </c>
      <c r="F33" s="129">
        <v>3.1</v>
      </c>
      <c r="G33" s="121">
        <v>2.5</v>
      </c>
    </row>
    <row r="34" spans="1:7" x14ac:dyDescent="0.2">
      <c r="A34" s="109" t="s">
        <v>43</v>
      </c>
      <c r="B34" s="129">
        <v>2.1</v>
      </c>
      <c r="C34" s="129">
        <v>2.2000000000000002</v>
      </c>
      <c r="D34" s="129">
        <v>2</v>
      </c>
      <c r="E34" s="129">
        <v>2.2000000000000002</v>
      </c>
      <c r="F34" s="129">
        <v>2.2000000000000002</v>
      </c>
      <c r="G34" s="121">
        <v>2.4</v>
      </c>
    </row>
    <row r="35" spans="1:7" x14ac:dyDescent="0.2">
      <c r="A35" s="109" t="s">
        <v>42</v>
      </c>
      <c r="B35" s="129">
        <v>2.8</v>
      </c>
      <c r="C35" s="129">
        <v>1.4</v>
      </c>
      <c r="D35" s="129">
        <v>1.9</v>
      </c>
      <c r="E35" s="129">
        <v>1.7</v>
      </c>
      <c r="F35" s="129">
        <v>1.9</v>
      </c>
      <c r="G35" s="121">
        <v>1.8</v>
      </c>
    </row>
    <row r="36" spans="1:7" ht="13.5" customHeight="1" x14ac:dyDescent="0.2">
      <c r="A36" s="109" t="s">
        <v>44</v>
      </c>
      <c r="B36" s="129">
        <v>1.1000000000000001</v>
      </c>
      <c r="C36" s="129">
        <v>1.5</v>
      </c>
      <c r="D36" s="129">
        <v>1.3</v>
      </c>
      <c r="E36" s="129">
        <v>1.4</v>
      </c>
      <c r="F36" s="129">
        <v>1.4</v>
      </c>
      <c r="G36" s="121">
        <v>1.4</v>
      </c>
    </row>
    <row r="37" spans="1:7" ht="12" customHeight="1" x14ac:dyDescent="0.2">
      <c r="A37" s="109" t="s">
        <v>68</v>
      </c>
      <c r="B37" s="129">
        <v>1.6</v>
      </c>
      <c r="C37" s="129">
        <v>1.4</v>
      </c>
      <c r="D37" s="129">
        <v>2</v>
      </c>
      <c r="E37" s="129">
        <v>1.8</v>
      </c>
      <c r="F37" s="129">
        <v>1.8</v>
      </c>
      <c r="G37" s="121">
        <v>1.4</v>
      </c>
    </row>
    <row r="38" spans="1:7" x14ac:dyDescent="0.2">
      <c r="A38" s="109" t="s">
        <v>69</v>
      </c>
      <c r="B38" s="129">
        <v>2.6</v>
      </c>
      <c r="C38" s="129">
        <v>1.4</v>
      </c>
      <c r="D38" s="129">
        <v>1.3</v>
      </c>
      <c r="E38" s="129">
        <v>1.2</v>
      </c>
      <c r="F38" s="129">
        <v>1.1000000000000001</v>
      </c>
      <c r="G38" s="121">
        <v>1.3</v>
      </c>
    </row>
    <row r="39" spans="1:7" x14ac:dyDescent="0.2">
      <c r="A39" s="109" t="s">
        <v>45</v>
      </c>
      <c r="B39" s="129">
        <v>1</v>
      </c>
      <c r="C39" s="129">
        <v>1.1000000000000001</v>
      </c>
      <c r="D39" s="129">
        <v>0.7</v>
      </c>
      <c r="E39" s="129">
        <v>1</v>
      </c>
      <c r="F39" s="129">
        <v>0.8</v>
      </c>
      <c r="G39" s="121">
        <v>1</v>
      </c>
    </row>
    <row r="40" spans="1:7" x14ac:dyDescent="0.2">
      <c r="A40" s="109" t="s">
        <v>56</v>
      </c>
      <c r="B40" s="129">
        <v>1.3</v>
      </c>
      <c r="C40" s="129">
        <v>1.8</v>
      </c>
      <c r="D40" s="129">
        <v>1.7</v>
      </c>
      <c r="E40" s="129">
        <v>1.2</v>
      </c>
      <c r="F40" s="129">
        <v>1.3</v>
      </c>
      <c r="G40" s="121">
        <v>0.9</v>
      </c>
    </row>
    <row r="41" spans="1:7" x14ac:dyDescent="0.2">
      <c r="A41" s="109" t="s">
        <v>46</v>
      </c>
      <c r="B41" s="129">
        <v>1</v>
      </c>
      <c r="C41" s="129">
        <v>1.1000000000000001</v>
      </c>
      <c r="D41" s="129">
        <v>0.9</v>
      </c>
      <c r="E41" s="129">
        <v>1.1000000000000001</v>
      </c>
      <c r="F41" s="129">
        <v>1</v>
      </c>
      <c r="G41" s="121">
        <v>0.9</v>
      </c>
    </row>
    <row r="42" spans="1:7" x14ac:dyDescent="0.2">
      <c r="A42" s="109" t="s">
        <v>100</v>
      </c>
      <c r="B42" s="129">
        <v>0.7</v>
      </c>
      <c r="C42" s="129">
        <v>0.5</v>
      </c>
      <c r="D42" s="129">
        <v>0.7</v>
      </c>
      <c r="E42" s="129">
        <v>0.7</v>
      </c>
      <c r="F42" s="129">
        <v>0.8</v>
      </c>
      <c r="G42" s="121">
        <v>0.8</v>
      </c>
    </row>
    <row r="43" spans="1:7" x14ac:dyDescent="0.2">
      <c r="A43" s="109" t="s">
        <v>70</v>
      </c>
      <c r="B43" s="129">
        <v>0.6</v>
      </c>
      <c r="C43" s="129">
        <v>0.4</v>
      </c>
      <c r="D43" s="129">
        <v>0.5</v>
      </c>
      <c r="E43" s="129">
        <v>0.6</v>
      </c>
      <c r="F43" s="129">
        <v>0.6</v>
      </c>
      <c r="G43" s="121">
        <v>0.8</v>
      </c>
    </row>
    <row r="44" spans="1:7" x14ac:dyDescent="0.2">
      <c r="A44" s="110" t="s">
        <v>64</v>
      </c>
      <c r="B44" s="123">
        <v>0.4</v>
      </c>
      <c r="C44" s="123">
        <v>0.7</v>
      </c>
      <c r="D44" s="123">
        <v>0.8</v>
      </c>
      <c r="E44" s="123">
        <v>1</v>
      </c>
      <c r="F44" s="123">
        <v>0.9</v>
      </c>
      <c r="G44" s="125">
        <v>0.7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41"/>
  <sheetViews>
    <sheetView workbookViewId="0">
      <selection activeCell="A2" sqref="A2:XFD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 s="5" customFormat="1" x14ac:dyDescent="0.2">
      <c r="A2" s="160" t="s">
        <v>107</v>
      </c>
      <c r="B2" s="160"/>
      <c r="C2" s="160"/>
      <c r="D2" s="160"/>
      <c r="E2" s="160"/>
      <c r="F2" s="160"/>
      <c r="G2" s="160"/>
    </row>
    <row r="3" spans="1:13" x14ac:dyDescent="0.2">
      <c r="A3" s="63"/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x14ac:dyDescent="0.2">
      <c r="A22" s="5"/>
    </row>
    <row r="23" spans="1:6" x14ac:dyDescent="0.2">
      <c r="A23" s="57" t="s">
        <v>74</v>
      </c>
      <c r="B23" s="40" t="s">
        <v>48</v>
      </c>
    </row>
    <row r="24" spans="1:6" ht="13.5" customHeight="1" x14ac:dyDescent="0.2">
      <c r="A24" s="130" t="s">
        <v>102</v>
      </c>
      <c r="B24" s="133">
        <v>7.7</v>
      </c>
    </row>
    <row r="25" spans="1:6" x14ac:dyDescent="0.2">
      <c r="A25" s="131" t="s">
        <v>103</v>
      </c>
      <c r="B25" s="134">
        <v>5.9</v>
      </c>
    </row>
    <row r="26" spans="1:6" x14ac:dyDescent="0.2">
      <c r="A26" s="131" t="s">
        <v>88</v>
      </c>
      <c r="B26" s="134">
        <v>4.5999999999999996</v>
      </c>
    </row>
    <row r="27" spans="1:6" x14ac:dyDescent="0.2">
      <c r="A27" s="131" t="s">
        <v>89</v>
      </c>
      <c r="B27" s="134">
        <v>4.5999999999999996</v>
      </c>
    </row>
    <row r="28" spans="1:6" x14ac:dyDescent="0.2">
      <c r="A28" s="131" t="s">
        <v>104</v>
      </c>
      <c r="B28" s="134">
        <v>2.6</v>
      </c>
    </row>
    <row r="29" spans="1:6" x14ac:dyDescent="0.2">
      <c r="A29" s="131" t="s">
        <v>90</v>
      </c>
      <c r="B29" s="134">
        <v>8.5</v>
      </c>
    </row>
    <row r="30" spans="1:6" x14ac:dyDescent="0.2">
      <c r="A30" s="131" t="s">
        <v>105</v>
      </c>
      <c r="B30" s="134">
        <v>6.3</v>
      </c>
    </row>
    <row r="31" spans="1:6" x14ac:dyDescent="0.2">
      <c r="A31" s="132" t="s">
        <v>93</v>
      </c>
      <c r="B31" s="135">
        <v>59.8</v>
      </c>
    </row>
    <row r="32" spans="1:6" ht="15" x14ac:dyDescent="0.2">
      <c r="B32" s="81"/>
    </row>
    <row r="33" spans="1:2" x14ac:dyDescent="0.2">
      <c r="A33" s="57" t="s">
        <v>73</v>
      </c>
      <c r="B33" s="70" t="s">
        <v>48</v>
      </c>
    </row>
    <row r="34" spans="1:2" x14ac:dyDescent="0.2">
      <c r="A34" s="130" t="s">
        <v>102</v>
      </c>
      <c r="B34" s="136">
        <v>9.4</v>
      </c>
    </row>
    <row r="35" spans="1:2" x14ac:dyDescent="0.2">
      <c r="A35" s="131" t="s">
        <v>103</v>
      </c>
      <c r="B35" s="137">
        <v>17.3</v>
      </c>
    </row>
    <row r="36" spans="1:2" x14ac:dyDescent="0.2">
      <c r="A36" s="131" t="s">
        <v>88</v>
      </c>
      <c r="B36" s="137">
        <v>4</v>
      </c>
    </row>
    <row r="37" spans="1:2" x14ac:dyDescent="0.2">
      <c r="A37" s="131" t="s">
        <v>89</v>
      </c>
      <c r="B37" s="137">
        <v>3.7</v>
      </c>
    </row>
    <row r="38" spans="1:2" x14ac:dyDescent="0.2">
      <c r="A38" s="131" t="s">
        <v>104</v>
      </c>
      <c r="B38" s="137">
        <v>3.2</v>
      </c>
    </row>
    <row r="39" spans="1:2" x14ac:dyDescent="0.2">
      <c r="A39" s="131" t="s">
        <v>90</v>
      </c>
      <c r="B39" s="137">
        <v>6.3</v>
      </c>
    </row>
    <row r="40" spans="1:2" x14ac:dyDescent="0.2">
      <c r="A40" s="131" t="s">
        <v>105</v>
      </c>
      <c r="B40" s="137">
        <v>5.5</v>
      </c>
    </row>
    <row r="41" spans="1:2" x14ac:dyDescent="0.2">
      <c r="A41" s="132" t="s">
        <v>93</v>
      </c>
      <c r="B41" s="135">
        <v>50.6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XFD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s="5" customFormat="1" x14ac:dyDescent="0.2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62"/>
      <c r="L2" s="162"/>
      <c r="M2" s="162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38" t="s">
        <v>0</v>
      </c>
      <c r="B22" s="55" t="s">
        <v>1</v>
      </c>
      <c r="C22" s="55" t="s">
        <v>2</v>
      </c>
      <c r="D22" s="55" t="s">
        <v>3</v>
      </c>
      <c r="E22" s="55" t="s">
        <v>4</v>
      </c>
      <c r="F22" s="55" t="s">
        <v>5</v>
      </c>
      <c r="G22" s="55" t="s">
        <v>6</v>
      </c>
      <c r="H22" s="55" t="s">
        <v>7</v>
      </c>
      <c r="I22" s="55" t="s">
        <v>8</v>
      </c>
      <c r="J22" s="55" t="s">
        <v>9</v>
      </c>
      <c r="K22" s="55" t="s">
        <v>10</v>
      </c>
      <c r="L22" s="55" t="s">
        <v>11</v>
      </c>
      <c r="M22" s="105" t="s">
        <v>12</v>
      </c>
    </row>
    <row r="23" spans="1:13" x14ac:dyDescent="0.2">
      <c r="A23" s="42">
        <v>2017</v>
      </c>
      <c r="B23" s="50">
        <v>-127.3</v>
      </c>
      <c r="C23" s="50">
        <v>-156.1</v>
      </c>
      <c r="D23" s="50">
        <v>-219.1</v>
      </c>
      <c r="E23" s="50">
        <v>-207.3</v>
      </c>
      <c r="F23" s="50">
        <v>-225.7</v>
      </c>
      <c r="G23" s="50">
        <v>-217.7</v>
      </c>
      <c r="H23" s="50">
        <v>-205.3</v>
      </c>
      <c r="I23" s="50">
        <v>-221.8</v>
      </c>
      <c r="J23" s="50">
        <v>-206.9</v>
      </c>
      <c r="K23" s="50">
        <v>-197.7</v>
      </c>
      <c r="L23" s="50">
        <v>-183.2</v>
      </c>
      <c r="M23" s="51">
        <v>-238.3</v>
      </c>
    </row>
    <row r="24" spans="1:13" x14ac:dyDescent="0.2">
      <c r="A24" s="42">
        <v>2018</v>
      </c>
      <c r="B24" s="50">
        <v>-154</v>
      </c>
      <c r="C24" s="50">
        <v>-212.1</v>
      </c>
      <c r="D24" s="50">
        <v>-282</v>
      </c>
      <c r="E24" s="50">
        <v>-244.9</v>
      </c>
      <c r="F24" s="50">
        <v>-282.60000000000002</v>
      </c>
      <c r="G24" s="50">
        <v>-244.6</v>
      </c>
      <c r="H24" s="50">
        <v>-269.2</v>
      </c>
      <c r="I24" s="50">
        <v>-262.10000000000002</v>
      </c>
      <c r="J24" s="50">
        <v>-266.7</v>
      </c>
      <c r="K24" s="50">
        <v>-281.60000000000002</v>
      </c>
      <c r="L24" s="50">
        <v>-253.70000000000005</v>
      </c>
      <c r="M24" s="51">
        <v>-300.49999999999994</v>
      </c>
    </row>
    <row r="25" spans="1:13" x14ac:dyDescent="0.2">
      <c r="A25" s="42">
        <v>2019</v>
      </c>
      <c r="B25" s="50">
        <v>-138.30000000000001</v>
      </c>
      <c r="C25" s="50">
        <v>-217.9</v>
      </c>
      <c r="D25" s="50">
        <v>-276.60000000000002</v>
      </c>
      <c r="E25" s="50">
        <v>-300</v>
      </c>
      <c r="F25" s="50">
        <v>-271.10000000000002</v>
      </c>
      <c r="G25" s="50">
        <v>-243.2</v>
      </c>
      <c r="H25" s="50">
        <v>-278.89999999999998</v>
      </c>
      <c r="I25" s="50">
        <v>-258.5</v>
      </c>
      <c r="J25" s="50">
        <v>-262.89999999999998</v>
      </c>
      <c r="K25" s="50">
        <v>-257</v>
      </c>
      <c r="L25" s="50">
        <v>-237.5</v>
      </c>
      <c r="M25" s="51">
        <v>-321.39999999999998</v>
      </c>
    </row>
    <row r="26" spans="1:13" x14ac:dyDescent="0.2">
      <c r="A26" s="42">
        <v>2020</v>
      </c>
      <c r="B26" s="50">
        <v>-160.30000000000001</v>
      </c>
      <c r="C26" s="50">
        <v>-239.5</v>
      </c>
      <c r="D26" s="50">
        <v>-290.3</v>
      </c>
      <c r="E26" s="50">
        <v>-135.80000000000001</v>
      </c>
      <c r="F26" s="50">
        <v>-173.7</v>
      </c>
      <c r="G26" s="50">
        <v>-223.9</v>
      </c>
      <c r="H26" s="50">
        <v>-305.5</v>
      </c>
      <c r="I26" s="50">
        <v>-269.7</v>
      </c>
      <c r="J26" s="50">
        <v>-296</v>
      </c>
      <c r="K26" s="50">
        <v>-244.2</v>
      </c>
      <c r="L26" s="50">
        <v>-260.89999999999998</v>
      </c>
      <c r="M26" s="51">
        <v>-349</v>
      </c>
    </row>
    <row r="27" spans="1:13" x14ac:dyDescent="0.2">
      <c r="A27" s="42">
        <v>2021</v>
      </c>
      <c r="B27" s="50">
        <v>-201</v>
      </c>
      <c r="C27" s="50">
        <v>-294.39999999999998</v>
      </c>
      <c r="D27" s="50">
        <v>-370.8</v>
      </c>
      <c r="E27" s="50">
        <v>-344</v>
      </c>
      <c r="F27" s="50">
        <v>-361.7</v>
      </c>
      <c r="G27" s="50">
        <v>-362.9</v>
      </c>
      <c r="H27" s="50">
        <v>-321.3</v>
      </c>
      <c r="I27" s="50">
        <v>-338.7</v>
      </c>
      <c r="J27" s="50">
        <v>-376.3</v>
      </c>
      <c r="K27" s="50">
        <v>-294.7</v>
      </c>
      <c r="L27" s="50">
        <v>-337.6</v>
      </c>
      <c r="M27" s="51">
        <v>-429</v>
      </c>
    </row>
    <row r="28" spans="1:13" x14ac:dyDescent="0.2">
      <c r="A28" s="43">
        <v>2022</v>
      </c>
      <c r="B28" s="52">
        <v>-290.89999999999998</v>
      </c>
      <c r="C28" s="52">
        <v>-332.5</v>
      </c>
      <c r="D28" s="52"/>
      <c r="E28" s="52"/>
      <c r="F28" s="52"/>
      <c r="G28" s="52"/>
      <c r="H28" s="52"/>
      <c r="I28" s="52"/>
      <c r="J28" s="52"/>
      <c r="K28" s="52"/>
      <c r="L28" s="52"/>
      <c r="M28" s="53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workbookViewId="0">
      <selection activeCell="A2" sqref="A2:XFD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s="5" customFormat="1" x14ac:dyDescent="0.2">
      <c r="A2" s="154" t="s">
        <v>108</v>
      </c>
      <c r="B2" s="154"/>
      <c r="C2" s="154"/>
      <c r="D2" s="154"/>
      <c r="E2" s="154"/>
      <c r="F2" s="161"/>
      <c r="G2" s="162"/>
      <c r="H2" s="162"/>
      <c r="I2" s="162"/>
      <c r="J2" s="162"/>
      <c r="K2" s="162"/>
      <c r="L2" s="162"/>
      <c r="M2" s="162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58" t="s">
        <v>57</v>
      </c>
      <c r="B24" s="32" t="s">
        <v>58</v>
      </c>
      <c r="C24" s="32" t="s">
        <v>59</v>
      </c>
      <c r="D24" s="33" t="s">
        <v>60</v>
      </c>
      <c r="E24" s="6"/>
    </row>
    <row r="25" spans="1:6" ht="15.75" customHeight="1" x14ac:dyDescent="0.2">
      <c r="A25" s="17" t="s">
        <v>78</v>
      </c>
      <c r="B25" s="21">
        <v>316.10000000000002</v>
      </c>
      <c r="C25" s="21">
        <v>599.5</v>
      </c>
      <c r="D25" s="107">
        <v>-283.39999999999998</v>
      </c>
      <c r="E25" s="6"/>
    </row>
    <row r="26" spans="1:6" ht="15" customHeight="1" x14ac:dyDescent="0.2">
      <c r="A26" s="18" t="s">
        <v>77</v>
      </c>
      <c r="B26" s="21">
        <v>435.8</v>
      </c>
      <c r="C26" s="21">
        <v>801.9</v>
      </c>
      <c r="D26" s="107">
        <v>-366.09999999999997</v>
      </c>
      <c r="E26" s="6"/>
    </row>
    <row r="27" spans="1:6" ht="14.25" customHeight="1" x14ac:dyDescent="0.2">
      <c r="A27" s="18" t="s">
        <v>76</v>
      </c>
      <c r="B27" s="21">
        <v>475.7</v>
      </c>
      <c r="C27" s="21">
        <v>831.8</v>
      </c>
      <c r="D27" s="22">
        <v>-356.09999999999997</v>
      </c>
      <c r="E27" s="6"/>
    </row>
    <row r="28" spans="1:6" ht="14.25" customHeight="1" x14ac:dyDescent="0.2">
      <c r="A28" s="18" t="s">
        <v>75</v>
      </c>
      <c r="B28" s="21">
        <v>464.8</v>
      </c>
      <c r="C28" s="21">
        <v>864.6</v>
      </c>
      <c r="D28" s="22">
        <v>-399.8</v>
      </c>
      <c r="E28" s="6"/>
    </row>
    <row r="29" spans="1:6" ht="13.5" customHeight="1" x14ac:dyDescent="0.2">
      <c r="A29" s="18" t="s">
        <v>74</v>
      </c>
      <c r="B29" s="21">
        <v>425.5</v>
      </c>
      <c r="C29" s="21">
        <v>920.8</v>
      </c>
      <c r="D29" s="22">
        <v>-495.29999999999995</v>
      </c>
      <c r="E29" s="6"/>
    </row>
    <row r="30" spans="1:6" ht="13.5" customHeight="1" x14ac:dyDescent="0.2">
      <c r="A30" s="18" t="s">
        <v>73</v>
      </c>
      <c r="B30" s="21">
        <v>667</v>
      </c>
      <c r="C30" s="21">
        <v>1290.3</v>
      </c>
      <c r="D30" s="22">
        <v>-623.29999999999995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29"/>
  <sheetViews>
    <sheetView workbookViewId="0">
      <selection activeCell="A2" sqref="A2:P2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16384" width="9.140625" style="3"/>
  </cols>
  <sheetData>
    <row r="2" spans="1:16" s="5" customFormat="1" ht="15.75" customHeight="1" x14ac:dyDescent="0.2">
      <c r="A2" s="153" t="s">
        <v>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9" x14ac:dyDescent="0.2">
      <c r="A18" s="5"/>
    </row>
    <row r="19" spans="1:39" x14ac:dyDescent="0.2">
      <c r="A19" s="5"/>
      <c r="AG19" s="6"/>
    </row>
    <row r="20" spans="1:39" x14ac:dyDescent="0.2">
      <c r="A20" s="5"/>
      <c r="AG20" s="6"/>
    </row>
    <row r="21" spans="1:39" ht="19.5" customHeight="1" x14ac:dyDescent="0.2">
      <c r="A21" s="5"/>
      <c r="AG21" s="6"/>
    </row>
    <row r="22" spans="1:39" ht="15" x14ac:dyDescent="0.2">
      <c r="A22" s="148"/>
      <c r="B22" s="146">
        <v>2019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  <c r="N22" s="152">
        <v>2020</v>
      </c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46">
        <v>2021</v>
      </c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  <c r="AL22" s="146">
        <v>2022</v>
      </c>
      <c r="AM22" s="147"/>
    </row>
    <row r="23" spans="1:39" x14ac:dyDescent="0.2">
      <c r="A23" s="149"/>
      <c r="B23" s="30" t="s">
        <v>13</v>
      </c>
      <c r="C23" s="30" t="s">
        <v>14</v>
      </c>
      <c r="D23" s="30" t="s">
        <v>15</v>
      </c>
      <c r="E23" s="30" t="s">
        <v>16</v>
      </c>
      <c r="F23" s="30" t="s">
        <v>17</v>
      </c>
      <c r="G23" s="30" t="s">
        <v>18</v>
      </c>
      <c r="H23" s="30" t="s">
        <v>19</v>
      </c>
      <c r="I23" s="30" t="s">
        <v>20</v>
      </c>
      <c r="J23" s="30" t="s">
        <v>21</v>
      </c>
      <c r="K23" s="30" t="s">
        <v>22</v>
      </c>
      <c r="L23" s="30" t="s">
        <v>23</v>
      </c>
      <c r="M23" s="30" t="s">
        <v>24</v>
      </c>
      <c r="N23" s="30" t="s">
        <v>13</v>
      </c>
      <c r="O23" s="30" t="s">
        <v>14</v>
      </c>
      <c r="P23" s="30" t="s">
        <v>15</v>
      </c>
      <c r="Q23" s="30" t="s">
        <v>16</v>
      </c>
      <c r="R23" s="30" t="s">
        <v>17</v>
      </c>
      <c r="S23" s="30" t="s">
        <v>25</v>
      </c>
      <c r="T23" s="30" t="s">
        <v>19</v>
      </c>
      <c r="U23" s="30" t="s">
        <v>26</v>
      </c>
      <c r="V23" s="30" t="s">
        <v>21</v>
      </c>
      <c r="W23" s="30" t="s">
        <v>27</v>
      </c>
      <c r="X23" s="30" t="s">
        <v>23</v>
      </c>
      <c r="Y23" s="30" t="s">
        <v>24</v>
      </c>
      <c r="Z23" s="68" t="s">
        <v>13</v>
      </c>
      <c r="AA23" s="77" t="s">
        <v>14</v>
      </c>
      <c r="AB23" s="68" t="s">
        <v>15</v>
      </c>
      <c r="AC23" s="68" t="s">
        <v>16</v>
      </c>
      <c r="AD23" s="68" t="s">
        <v>17</v>
      </c>
      <c r="AE23" s="68" t="s">
        <v>25</v>
      </c>
      <c r="AF23" s="68" t="s">
        <v>19</v>
      </c>
      <c r="AG23" s="30" t="s">
        <v>26</v>
      </c>
      <c r="AH23" s="100" t="s">
        <v>21</v>
      </c>
      <c r="AI23" s="39" t="s">
        <v>27</v>
      </c>
      <c r="AJ23" s="39" t="s">
        <v>23</v>
      </c>
      <c r="AK23" s="39" t="s">
        <v>24</v>
      </c>
      <c r="AL23" s="39" t="s">
        <v>13</v>
      </c>
      <c r="AM23" s="39" t="s">
        <v>14</v>
      </c>
    </row>
    <row r="24" spans="1:39" ht="28.5" customHeight="1" x14ac:dyDescent="0.2">
      <c r="A24" s="29" t="s">
        <v>61</v>
      </c>
      <c r="B24" s="19">
        <v>107.04955714362214</v>
      </c>
      <c r="C24" s="19">
        <v>103.05469693630643</v>
      </c>
      <c r="D24" s="19">
        <v>106.5540849399146</v>
      </c>
      <c r="E24" s="19">
        <v>83.804058120513616</v>
      </c>
      <c r="F24" s="19">
        <v>97.663587687631406</v>
      </c>
      <c r="G24" s="19">
        <v>96.047232355670943</v>
      </c>
      <c r="H24" s="19">
        <v>108.87893967295254</v>
      </c>
      <c r="I24" s="19">
        <v>93.476142278451405</v>
      </c>
      <c r="J24" s="19">
        <v>116.03027535062083</v>
      </c>
      <c r="K24" s="19">
        <v>112.37403253245004</v>
      </c>
      <c r="L24" s="19">
        <v>99.332915825323369</v>
      </c>
      <c r="M24" s="15">
        <v>81.894486392152885</v>
      </c>
      <c r="N24" s="21">
        <v>100.54069338788538</v>
      </c>
      <c r="O24" s="21">
        <v>111.77933359663091</v>
      </c>
      <c r="P24" s="21">
        <v>85.694935103741471</v>
      </c>
      <c r="Q24" s="21">
        <v>71.283537880135214</v>
      </c>
      <c r="R24" s="21">
        <v>103.90424682350312</v>
      </c>
      <c r="S24" s="21">
        <v>121.75061963317823</v>
      </c>
      <c r="T24" s="21">
        <v>100.8184202333199</v>
      </c>
      <c r="U24" s="21">
        <v>78.376764810035453</v>
      </c>
      <c r="V24" s="21">
        <v>129.49769232961904</v>
      </c>
      <c r="W24" s="21">
        <v>117.47585360993436</v>
      </c>
      <c r="X24" s="21">
        <v>105.08585699580438</v>
      </c>
      <c r="Y24" s="15">
        <v>83.287463510424814</v>
      </c>
      <c r="Z24" s="46">
        <v>90.924906043100663</v>
      </c>
      <c r="AA24" s="20">
        <v>114.41147354263464</v>
      </c>
      <c r="AB24" s="20">
        <v>114.20579997969134</v>
      </c>
      <c r="AC24" s="20">
        <v>84.167356355788357</v>
      </c>
      <c r="AD24" s="20">
        <v>92.421884276527052</v>
      </c>
      <c r="AE24" s="69">
        <v>112.45124175218632</v>
      </c>
      <c r="AF24" s="69">
        <v>106.13290668113962</v>
      </c>
      <c r="AG24" s="69">
        <v>98.134804975011704</v>
      </c>
      <c r="AH24" s="69">
        <v>124.83430055225146</v>
      </c>
      <c r="AI24" s="69">
        <v>119.44752327758337</v>
      </c>
      <c r="AJ24" s="69">
        <v>103.2981065772704</v>
      </c>
      <c r="AK24" s="103">
        <v>89.313925126336528</v>
      </c>
      <c r="AL24" s="69">
        <v>101.65043587363255</v>
      </c>
      <c r="AM24" s="103">
        <v>101.89897918896213</v>
      </c>
    </row>
    <row r="25" spans="1:39" ht="40.5" customHeight="1" x14ac:dyDescent="0.2">
      <c r="A25" s="28" t="s">
        <v>62</v>
      </c>
      <c r="B25" s="26">
        <f>IF(220321.7383="","-",234254.08835/220321.7383*100)</f>
        <v>106.32363840150403</v>
      </c>
      <c r="C25" s="14">
        <f>IF(215472.31369="","-",241409.84081/215472.31369*100)</f>
        <v>112.03752197942065</v>
      </c>
      <c r="D25" s="14">
        <f>IF(242121.38159="","-",257232.04683/242121.38159*100)</f>
        <v>106.24094623150131</v>
      </c>
      <c r="E25" s="14">
        <f>IF(199735.58403="","-",215570.89403/199735.58403*100)</f>
        <v>107.92813662968615</v>
      </c>
      <c r="F25" s="14">
        <f>IF(223023.34378="","-",210534.26912/223023.34378*100)</f>
        <v>94.400104290284631</v>
      </c>
      <c r="G25" s="14">
        <f>IF(214123.17565="","-",202212.33865/214123.17565*100)</f>
        <v>94.437390084542201</v>
      </c>
      <c r="H25" s="14">
        <f>IF(218832.76993="","-",220166.65021/218832.76993*100)</f>
        <v>100.6095432052643</v>
      </c>
      <c r="I25" s="14">
        <f>IF(218601.82808="","-",205803.2912/218601.82808*100)</f>
        <v>94.145274542115814</v>
      </c>
      <c r="J25" s="14">
        <f>IF(207304.07378="","-",238794.12546/207304.07378*100)</f>
        <v>115.19027152038439</v>
      </c>
      <c r="K25" s="14">
        <f>IF(258965.48256="","-",268342.58823/258965.48256*100)</f>
        <v>103.62098669571817</v>
      </c>
      <c r="L25" s="14">
        <f>IF(268843.90574="","-",266552.51729/268843.90574*100)</f>
        <v>99.147688156183818</v>
      </c>
      <c r="M25" s="16">
        <f>IF(218827.70429="","-",218291.815/218827.70429*100)</f>
        <v>99.755109028932736</v>
      </c>
      <c r="N25" s="14">
        <f>IF(234254.08835="","-",219472.10441/234254.08835*100)</f>
        <v>93.68976480021378</v>
      </c>
      <c r="O25" s="14">
        <f>IF(241409.84081="","-",245324.45574/241409.84081*100)</f>
        <v>101.62156394157972</v>
      </c>
      <c r="P25" s="14">
        <f>IF(257232.04683="","-",210230.63314/257232.04683*100)</f>
        <v>81.728010071364707</v>
      </c>
      <c r="Q25" s="14">
        <f>IF(215570.89403="","-",149859.83301/215570.89403*100)</f>
        <v>69.517656214361068</v>
      </c>
      <c r="R25" s="14">
        <f>IF(210534.26912="","-",155710.73078/210534.26912*100)</f>
        <v>73.959803043393492</v>
      </c>
      <c r="S25" s="14">
        <f>IF(202212.33865="","-",189578.77956/202212.33865*100)</f>
        <v>93.752330261178145</v>
      </c>
      <c r="T25" s="14">
        <f>IF(220166.65021="","-",191130.33065/220166.65021*100)</f>
        <v>86.811663105059509</v>
      </c>
      <c r="U25" s="14">
        <f>IF(205803.2912="","-",163909.5874/205803.2912*100)</f>
        <v>79.643812518387932</v>
      </c>
      <c r="V25" s="14">
        <f>IF(238794.12546="","-",212259.13319/238794.12546*100)</f>
        <v>88.887920831852767</v>
      </c>
      <c r="W25" s="14">
        <f>IF(268342.58823="","-",249353.22858/268342.58823*100)</f>
        <v>92.923464078044901</v>
      </c>
      <c r="X25" s="14">
        <f>IF(266552.51729="","-",262034.9772/266552.51729*100)</f>
        <v>98.30519698859753</v>
      </c>
      <c r="Y25" s="16">
        <f>IF(218291.815="","-",218242.28602/218291.815*100)</f>
        <v>99.977310656379856</v>
      </c>
      <c r="Z25" s="71">
        <f>IF(219472.10441="","-",198437.26393/219472.10441*100)</f>
        <v>90.415711128050958</v>
      </c>
      <c r="AA25" s="60">
        <f>IF(245324.45574="","-",227034.99772/245324.45574*100)</f>
        <v>92.544788099159774</v>
      </c>
      <c r="AB25" s="60">
        <f>IF(210230.63314="","-",259287.13538/210230.63314*100)</f>
        <v>123.33461185332185</v>
      </c>
      <c r="AC25" s="60">
        <f>IF(149859.83301="","-",218235.12722/149859.83301*100)</f>
        <v>145.62616468779689</v>
      </c>
      <c r="AD25" s="60">
        <f>IF(155710.73078="","-",201697.01673/155710.73078*100)</f>
        <v>129.53315145310887</v>
      </c>
      <c r="AE25" s="60">
        <f>IF(189578.77956="","-",226810.79989/189578.77956*100)</f>
        <v>119.63933960141166</v>
      </c>
      <c r="AF25" s="60">
        <f>IF(191130.33065="","-",240720.89459/191130.33065*100)</f>
        <v>125.94594158412818</v>
      </c>
      <c r="AG25" s="60">
        <f>IF(163909.5874="","-",236230.98044/163909.5874*100)</f>
        <v>144.12273509267587</v>
      </c>
      <c r="AH25" s="60">
        <f>IF(212259.13319="","-",294897.29212/212259.13319*100)</f>
        <v>138.93267521074247</v>
      </c>
      <c r="AI25" s="60">
        <f>IF(249353.22858="","-",352247.51165/249353.22858*100)</f>
        <v>141.26446794210585</v>
      </c>
      <c r="AJ25" s="60">
        <f>IF(262034.9772="","-",363865.01311/262034.9772*100)</f>
        <v>138.86123791492062</v>
      </c>
      <c r="AK25" s="76">
        <f>IF(218242.28602="","-",324982.12537/218242.28602*100)</f>
        <v>148.90887155581675</v>
      </c>
      <c r="AL25" s="106">
        <f>IF(198437.26393="","-",330345.74695/198437.26393*100)</f>
        <v>166.47364532627881</v>
      </c>
      <c r="AM25" s="76">
        <f>IF(227034.99772="","-",336618.94414/227034.99772*100)</f>
        <v>148.26742463518718</v>
      </c>
    </row>
    <row r="28" spans="1:39" ht="15.75" x14ac:dyDescent="0.2">
      <c r="AD28" s="82"/>
      <c r="AE28" s="83"/>
      <c r="AF28" s="83"/>
      <c r="AG28" s="84"/>
      <c r="AH28" s="85"/>
      <c r="AI28" s="86"/>
      <c r="AJ28" s="87"/>
    </row>
    <row r="29" spans="1:39" ht="15.75" x14ac:dyDescent="0.2">
      <c r="AD29" s="88"/>
      <c r="AE29" s="88"/>
      <c r="AF29" s="89"/>
      <c r="AG29" s="90"/>
      <c r="AH29" s="91"/>
      <c r="AI29" s="92"/>
      <c r="AJ29" s="92"/>
    </row>
  </sheetData>
  <mergeCells count="6">
    <mergeCell ref="A2:P2"/>
    <mergeCell ref="AL22:AM22"/>
    <mergeCell ref="A22:A23"/>
    <mergeCell ref="B22:M22"/>
    <mergeCell ref="N22:Y22"/>
    <mergeCell ref="Z22:AK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A2" sqref="A2:XFD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s="5" customFormat="1" x14ac:dyDescent="0.2">
      <c r="A2" s="154" t="s">
        <v>79</v>
      </c>
      <c r="B2" s="154"/>
      <c r="C2" s="154"/>
      <c r="D2" s="154"/>
      <c r="E2" s="154"/>
      <c r="F2" s="154"/>
      <c r="G2" s="164"/>
      <c r="H2" s="162"/>
      <c r="I2" s="162"/>
      <c r="J2" s="162"/>
      <c r="K2" s="162"/>
      <c r="L2" s="162"/>
      <c r="M2" s="162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56" t="s">
        <v>28</v>
      </c>
      <c r="B22" s="36" t="s">
        <v>73</v>
      </c>
      <c r="C22" s="13" t="s">
        <v>74</v>
      </c>
      <c r="D22" s="13" t="s">
        <v>75</v>
      </c>
      <c r="E22" s="13" t="s">
        <v>76</v>
      </c>
      <c r="F22" s="13" t="s">
        <v>77</v>
      </c>
      <c r="G22" s="13" t="s">
        <v>78</v>
      </c>
      <c r="H22" s="6"/>
    </row>
    <row r="23" spans="1:8" x14ac:dyDescent="0.2">
      <c r="A23" s="44" t="s">
        <v>29</v>
      </c>
      <c r="B23" s="144">
        <v>12.7</v>
      </c>
      <c r="C23" s="144">
        <v>4.2</v>
      </c>
      <c r="D23" s="144">
        <v>10.1</v>
      </c>
      <c r="E23" s="144">
        <v>7.7</v>
      </c>
      <c r="F23" s="144">
        <v>7.8</v>
      </c>
      <c r="G23" s="126">
        <v>8.6</v>
      </c>
    </row>
    <row r="24" spans="1:8" x14ac:dyDescent="0.2">
      <c r="A24" s="44" t="s">
        <v>30</v>
      </c>
      <c r="B24" s="144">
        <v>9.1999999999999993</v>
      </c>
      <c r="C24" s="144">
        <v>1.2</v>
      </c>
      <c r="D24" s="144">
        <v>5.7</v>
      </c>
      <c r="E24" s="144">
        <v>6.2</v>
      </c>
      <c r="F24" s="144">
        <v>4.3</v>
      </c>
      <c r="G24" s="127">
        <v>2.1</v>
      </c>
    </row>
    <row r="25" spans="1:8" x14ac:dyDescent="0.2">
      <c r="A25" s="44" t="s">
        <v>31</v>
      </c>
      <c r="B25" s="144">
        <v>77.2</v>
      </c>
      <c r="C25" s="144">
        <v>93.7</v>
      </c>
      <c r="D25" s="144">
        <v>82.8</v>
      </c>
      <c r="E25" s="144">
        <v>84.5</v>
      </c>
      <c r="F25" s="144">
        <v>86.3</v>
      </c>
      <c r="G25" s="127">
        <v>87.9</v>
      </c>
    </row>
    <row r="26" spans="1:8" x14ac:dyDescent="0.2">
      <c r="A26" s="44" t="s">
        <v>32</v>
      </c>
      <c r="B26" s="144">
        <v>0.9</v>
      </c>
      <c r="C26" s="144">
        <v>0.9</v>
      </c>
      <c r="D26" s="144">
        <v>1.4</v>
      </c>
      <c r="E26" s="144">
        <v>1.5</v>
      </c>
      <c r="F26" s="144">
        <v>1.6</v>
      </c>
      <c r="G26" s="127">
        <v>1.4</v>
      </c>
    </row>
    <row r="27" spans="1:8" x14ac:dyDescent="0.2">
      <c r="A27" s="45" t="s">
        <v>49</v>
      </c>
      <c r="B27" s="123">
        <v>0</v>
      </c>
      <c r="C27" s="123">
        <v>0</v>
      </c>
      <c r="D27" s="123">
        <v>0</v>
      </c>
      <c r="E27" s="124">
        <v>0.1</v>
      </c>
      <c r="F27" s="123">
        <v>0</v>
      </c>
      <c r="G27" s="125">
        <v>0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3"/>
  <sheetViews>
    <sheetView workbookViewId="0">
      <selection activeCell="A2" sqref="A2:XFD2"/>
    </sheetView>
  </sheetViews>
  <sheetFormatPr defaultRowHeight="12" x14ac:dyDescent="0.2"/>
  <cols>
    <col min="1" max="1" width="26.140625" style="3" customWidth="1"/>
    <col min="2" max="2" width="16.42578125" style="3" customWidth="1"/>
    <col min="3" max="3" width="16" style="3" customWidth="1"/>
    <col min="4" max="4" width="15.7109375" style="3" customWidth="1"/>
    <col min="5" max="5" width="15.5703125" style="3" customWidth="1"/>
    <col min="6" max="6" width="16.42578125" style="3" customWidth="1"/>
    <col min="7" max="7" width="17.5703125" style="3" customWidth="1"/>
    <col min="8" max="16384" width="9.140625" style="3"/>
  </cols>
  <sheetData>
    <row r="2" spans="1:13" s="5" customFormat="1" x14ac:dyDescent="0.2">
      <c r="A2" s="155" t="s">
        <v>80</v>
      </c>
      <c r="B2" s="155"/>
      <c r="C2" s="155"/>
      <c r="D2" s="155"/>
      <c r="E2" s="155"/>
      <c r="F2" s="166"/>
      <c r="G2" s="166"/>
      <c r="H2" s="162"/>
      <c r="I2" s="162"/>
      <c r="J2" s="162"/>
      <c r="K2" s="162"/>
      <c r="L2" s="162"/>
      <c r="M2" s="162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1"/>
      <c r="B20" s="12" t="s">
        <v>78</v>
      </c>
      <c r="C20" s="12" t="s">
        <v>77</v>
      </c>
      <c r="D20" s="12" t="s">
        <v>76</v>
      </c>
      <c r="E20" s="13" t="s">
        <v>75</v>
      </c>
      <c r="F20" s="13" t="s">
        <v>74</v>
      </c>
      <c r="G20" s="13" t="s">
        <v>73</v>
      </c>
      <c r="H20" s="6"/>
    </row>
    <row r="21" spans="1:8" ht="15" customHeight="1" x14ac:dyDescent="0.2">
      <c r="A21" s="23" t="s">
        <v>33</v>
      </c>
      <c r="B21" s="141">
        <v>60</v>
      </c>
      <c r="C21" s="142">
        <v>62.8</v>
      </c>
      <c r="D21" s="142">
        <v>62.9</v>
      </c>
      <c r="E21" s="142">
        <v>66.7</v>
      </c>
      <c r="F21" s="142">
        <v>63.6</v>
      </c>
      <c r="G21" s="112">
        <v>62.1</v>
      </c>
      <c r="H21" s="7"/>
    </row>
    <row r="22" spans="1:8" ht="14.25" customHeight="1" x14ac:dyDescent="0.2">
      <c r="A22" s="24" t="s">
        <v>34</v>
      </c>
      <c r="B22" s="101">
        <v>19.3</v>
      </c>
      <c r="C22" s="114">
        <v>16.2</v>
      </c>
      <c r="D22" s="114">
        <v>13.6</v>
      </c>
      <c r="E22" s="114">
        <v>12.9</v>
      </c>
      <c r="F22" s="114">
        <v>15.8</v>
      </c>
      <c r="G22" s="113">
        <v>11.8</v>
      </c>
      <c r="H22" s="7"/>
    </row>
    <row r="23" spans="1:8" ht="15" customHeight="1" x14ac:dyDescent="0.2">
      <c r="A23" s="25" t="s">
        <v>35</v>
      </c>
      <c r="B23" s="143">
        <v>20.7</v>
      </c>
      <c r="C23" s="115">
        <v>21</v>
      </c>
      <c r="D23" s="115">
        <v>23.5</v>
      </c>
      <c r="E23" s="115">
        <v>20.399999999999999</v>
      </c>
      <c r="F23" s="115">
        <v>20.6</v>
      </c>
      <c r="G23" s="116">
        <v>26.1</v>
      </c>
      <c r="H23" s="7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5"/>
  <sheetViews>
    <sheetView workbookViewId="0">
      <selection activeCell="A2" sqref="A2:XFD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0" s="5" customFormat="1" x14ac:dyDescent="0.2">
      <c r="A2" s="154" t="s">
        <v>81</v>
      </c>
      <c r="B2" s="154"/>
      <c r="C2" s="154"/>
      <c r="D2" s="154"/>
      <c r="E2" s="154"/>
      <c r="F2" s="154"/>
      <c r="G2" s="165"/>
      <c r="H2" s="165"/>
      <c r="I2" s="162"/>
      <c r="J2" s="162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4"/>
      <c r="B5" s="4"/>
      <c r="C5" s="4"/>
      <c r="D5" s="4"/>
      <c r="E5" s="4"/>
      <c r="F5" s="4"/>
      <c r="G5" s="4"/>
      <c r="H5" s="4"/>
    </row>
    <row r="6" spans="1:10" x14ac:dyDescent="0.2">
      <c r="A6" s="4"/>
      <c r="B6" s="4"/>
      <c r="C6" s="4"/>
      <c r="D6" s="4"/>
      <c r="E6" s="4"/>
      <c r="F6" s="4"/>
      <c r="G6" s="4"/>
      <c r="H6" s="4"/>
    </row>
    <row r="7" spans="1:10" x14ac:dyDescent="0.2">
      <c r="A7" s="4"/>
      <c r="B7" s="4"/>
      <c r="C7" s="4"/>
      <c r="D7" s="4"/>
      <c r="E7" s="4"/>
      <c r="F7" s="4"/>
      <c r="G7" s="4"/>
      <c r="H7" s="4"/>
    </row>
    <row r="8" spans="1:10" x14ac:dyDescent="0.2">
      <c r="A8" s="4"/>
      <c r="B8" s="4"/>
      <c r="C8" s="4"/>
      <c r="D8" s="4"/>
      <c r="E8" s="4"/>
      <c r="F8" s="4"/>
      <c r="G8" s="4"/>
      <c r="H8" s="4"/>
    </row>
    <row r="9" spans="1:10" x14ac:dyDescent="0.2">
      <c r="A9" s="4"/>
      <c r="B9" s="4"/>
      <c r="C9" s="4"/>
      <c r="D9" s="4"/>
      <c r="E9" s="4"/>
      <c r="F9" s="4"/>
      <c r="G9" s="4"/>
      <c r="H9" s="4"/>
    </row>
    <row r="10" spans="1:10" x14ac:dyDescent="0.2">
      <c r="A10" s="4"/>
      <c r="B10" s="4"/>
      <c r="C10" s="4"/>
      <c r="D10" s="4"/>
      <c r="E10" s="4"/>
      <c r="F10" s="4"/>
      <c r="G10" s="4"/>
      <c r="H10" s="4"/>
    </row>
    <row r="11" spans="1:10" x14ac:dyDescent="0.2">
      <c r="A11" s="4"/>
      <c r="B11" s="4"/>
      <c r="C11" s="4"/>
      <c r="D11" s="4"/>
      <c r="E11" s="4"/>
      <c r="F11" s="4"/>
      <c r="G11" s="4"/>
      <c r="H11" s="4"/>
    </row>
    <row r="12" spans="1:10" x14ac:dyDescent="0.2">
      <c r="A12" s="4"/>
      <c r="B12" s="4"/>
      <c r="C12" s="4"/>
      <c r="D12" s="4"/>
      <c r="E12" s="4"/>
      <c r="F12" s="4"/>
      <c r="G12" s="4"/>
      <c r="H12" s="4"/>
    </row>
    <row r="13" spans="1:10" x14ac:dyDescent="0.2">
      <c r="A13" s="4"/>
      <c r="B13" s="4"/>
      <c r="C13" s="4"/>
      <c r="D13" s="4"/>
      <c r="E13" s="4"/>
      <c r="F13" s="4"/>
      <c r="G13" s="4"/>
      <c r="H13" s="4"/>
    </row>
    <row r="14" spans="1:10" x14ac:dyDescent="0.2">
      <c r="A14" s="4"/>
      <c r="B14" s="4"/>
      <c r="C14" s="4"/>
      <c r="D14" s="4"/>
      <c r="E14" s="4"/>
      <c r="F14" s="4"/>
      <c r="G14" s="4"/>
      <c r="H14" s="4"/>
    </row>
    <row r="15" spans="1:10" x14ac:dyDescent="0.2">
      <c r="A15" s="4"/>
      <c r="B15" s="4"/>
      <c r="C15" s="4"/>
      <c r="D15" s="4"/>
      <c r="E15" s="4"/>
      <c r="F15" s="4"/>
      <c r="G15" s="4"/>
      <c r="H15" s="4"/>
    </row>
    <row r="16" spans="1:10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5"/>
    </row>
    <row r="22" spans="1:8" ht="14.25" customHeight="1" x14ac:dyDescent="0.2">
      <c r="A22" s="5"/>
    </row>
    <row r="23" spans="1:8" ht="23.25" customHeight="1" x14ac:dyDescent="0.2">
      <c r="A23" s="102"/>
      <c r="B23" s="13" t="s">
        <v>78</v>
      </c>
      <c r="C23" s="13" t="s">
        <v>77</v>
      </c>
      <c r="D23" s="13" t="s">
        <v>76</v>
      </c>
      <c r="E23" s="13" t="s">
        <v>75</v>
      </c>
      <c r="F23" s="13" t="s">
        <v>74</v>
      </c>
      <c r="G23" s="13" t="s">
        <v>73</v>
      </c>
    </row>
    <row r="24" spans="1:8" x14ac:dyDescent="0.2">
      <c r="A24" s="108" t="s">
        <v>36</v>
      </c>
      <c r="B24" s="111">
        <v>24</v>
      </c>
      <c r="C24" s="111">
        <v>24.1</v>
      </c>
      <c r="D24" s="111">
        <v>25.8</v>
      </c>
      <c r="E24" s="111">
        <v>25.1</v>
      </c>
      <c r="F24" s="111">
        <v>26.5</v>
      </c>
      <c r="G24" s="112">
        <v>28</v>
      </c>
    </row>
    <row r="25" spans="1:8" x14ac:dyDescent="0.2">
      <c r="A25" s="109" t="s">
        <v>38</v>
      </c>
      <c r="B25" s="111">
        <v>4.7</v>
      </c>
      <c r="C25" s="111">
        <v>4.4000000000000004</v>
      </c>
      <c r="D25" s="111">
        <v>10</v>
      </c>
      <c r="E25" s="111">
        <v>7.2</v>
      </c>
      <c r="F25" s="111">
        <v>10.7</v>
      </c>
      <c r="G25" s="113">
        <v>13.8</v>
      </c>
    </row>
    <row r="26" spans="1:8" x14ac:dyDescent="0.2">
      <c r="A26" s="109" t="s">
        <v>39</v>
      </c>
      <c r="B26" s="111">
        <v>10.199999999999999</v>
      </c>
      <c r="C26" s="111">
        <v>10.9</v>
      </c>
      <c r="D26" s="111">
        <v>12.2</v>
      </c>
      <c r="E26" s="111">
        <v>9.6999999999999993</v>
      </c>
      <c r="F26" s="111">
        <v>6.1</v>
      </c>
      <c r="G26" s="113">
        <v>9.5</v>
      </c>
    </row>
    <row r="27" spans="1:8" x14ac:dyDescent="0.2">
      <c r="A27" s="109" t="s">
        <v>65</v>
      </c>
      <c r="B27" s="111">
        <v>11.5</v>
      </c>
      <c r="C27" s="111">
        <v>9.3000000000000007</v>
      </c>
      <c r="D27" s="111">
        <v>7.9</v>
      </c>
      <c r="E27" s="111">
        <v>7.1</v>
      </c>
      <c r="F27" s="111">
        <v>9.3000000000000007</v>
      </c>
      <c r="G27" s="113">
        <v>7.3</v>
      </c>
    </row>
    <row r="28" spans="1:8" x14ac:dyDescent="0.2">
      <c r="A28" s="109" t="s">
        <v>37</v>
      </c>
      <c r="B28" s="111">
        <v>7.3</v>
      </c>
      <c r="C28" s="111">
        <v>9</v>
      </c>
      <c r="D28" s="111">
        <v>8.6999999999999993</v>
      </c>
      <c r="E28" s="111">
        <v>9.6999999999999993</v>
      </c>
      <c r="F28" s="111">
        <v>11</v>
      </c>
      <c r="G28" s="113">
        <v>6.2</v>
      </c>
    </row>
    <row r="29" spans="1:8" x14ac:dyDescent="0.2">
      <c r="A29" s="109" t="s">
        <v>66</v>
      </c>
      <c r="B29" s="111">
        <v>1.5</v>
      </c>
      <c r="C29" s="111">
        <v>3.5</v>
      </c>
      <c r="D29" s="111">
        <v>3.4</v>
      </c>
      <c r="E29" s="111">
        <v>4</v>
      </c>
      <c r="F29" s="111">
        <v>1.6</v>
      </c>
      <c r="G29" s="113">
        <v>3.8</v>
      </c>
    </row>
    <row r="30" spans="1:8" x14ac:dyDescent="0.2">
      <c r="A30" s="109" t="s">
        <v>45</v>
      </c>
      <c r="B30" s="111">
        <v>2.9</v>
      </c>
      <c r="C30" s="111">
        <v>2.1</v>
      </c>
      <c r="D30" s="111">
        <v>1.3</v>
      </c>
      <c r="E30" s="111">
        <v>2.2000000000000002</v>
      </c>
      <c r="F30" s="111">
        <v>1.6</v>
      </c>
      <c r="G30" s="113">
        <v>3.2</v>
      </c>
    </row>
    <row r="31" spans="1:8" x14ac:dyDescent="0.2">
      <c r="A31" s="109" t="s">
        <v>40</v>
      </c>
      <c r="B31" s="111">
        <v>3.1</v>
      </c>
      <c r="C31" s="111">
        <v>3.2</v>
      </c>
      <c r="D31" s="111">
        <v>3.5</v>
      </c>
      <c r="E31" s="111">
        <v>4.4000000000000004</v>
      </c>
      <c r="F31" s="111">
        <v>4.0999999999999996</v>
      </c>
      <c r="G31" s="113">
        <v>2.8</v>
      </c>
    </row>
    <row r="32" spans="1:8" x14ac:dyDescent="0.2">
      <c r="A32" s="109" t="s">
        <v>47</v>
      </c>
      <c r="B32" s="111">
        <v>6.2</v>
      </c>
      <c r="C32" s="111">
        <v>4.5</v>
      </c>
      <c r="D32" s="111">
        <v>1.6</v>
      </c>
      <c r="E32" s="111">
        <v>1.8</v>
      </c>
      <c r="F32" s="111">
        <v>1.4</v>
      </c>
      <c r="G32" s="113">
        <v>2.5</v>
      </c>
    </row>
    <row r="33" spans="1:7" x14ac:dyDescent="0.2">
      <c r="A33" s="109" t="s">
        <v>41</v>
      </c>
      <c r="B33" s="111">
        <v>2.2000000000000002</v>
      </c>
      <c r="C33" s="111">
        <v>2.5</v>
      </c>
      <c r="D33" s="111">
        <v>2.2999999999999998</v>
      </c>
      <c r="E33" s="111">
        <v>2.6</v>
      </c>
      <c r="F33" s="111">
        <v>3.2</v>
      </c>
      <c r="G33" s="113">
        <v>2.2999999999999998</v>
      </c>
    </row>
    <row r="34" spans="1:7" x14ac:dyDescent="0.2">
      <c r="A34" s="109" t="s">
        <v>68</v>
      </c>
      <c r="B34" s="111">
        <v>1.4</v>
      </c>
      <c r="C34" s="111">
        <v>1.4</v>
      </c>
      <c r="D34" s="111">
        <v>1.7</v>
      </c>
      <c r="E34" s="111">
        <v>3.5</v>
      </c>
      <c r="F34" s="111">
        <v>3.1</v>
      </c>
      <c r="G34" s="113">
        <v>2.2000000000000002</v>
      </c>
    </row>
    <row r="35" spans="1:7" x14ac:dyDescent="0.2">
      <c r="A35" s="109" t="s">
        <v>63</v>
      </c>
      <c r="B35" s="111">
        <v>1.2</v>
      </c>
      <c r="C35" s="111">
        <v>1.9</v>
      </c>
      <c r="D35" s="111">
        <v>1.3</v>
      </c>
      <c r="E35" s="111">
        <v>1.7</v>
      </c>
      <c r="F35" s="111">
        <v>1.7</v>
      </c>
      <c r="G35" s="113">
        <v>1.9</v>
      </c>
    </row>
    <row r="36" spans="1:7" x14ac:dyDescent="0.2">
      <c r="A36" s="109" t="s">
        <v>43</v>
      </c>
      <c r="B36" s="111">
        <v>0.3</v>
      </c>
      <c r="C36" s="111">
        <v>0.3</v>
      </c>
      <c r="D36" s="111">
        <v>0.2</v>
      </c>
      <c r="E36" s="111">
        <v>0.7</v>
      </c>
      <c r="F36" s="111">
        <v>1.7</v>
      </c>
      <c r="G36" s="113">
        <v>1.6</v>
      </c>
    </row>
    <row r="37" spans="1:7" x14ac:dyDescent="0.2">
      <c r="A37" s="109" t="s">
        <v>44</v>
      </c>
      <c r="B37" s="111">
        <v>1.8</v>
      </c>
      <c r="C37" s="111">
        <v>2.4</v>
      </c>
      <c r="D37" s="111">
        <v>1.4</v>
      </c>
      <c r="E37" s="111">
        <v>2.1</v>
      </c>
      <c r="F37" s="111">
        <v>1.6</v>
      </c>
      <c r="G37" s="113">
        <v>1.6</v>
      </c>
    </row>
    <row r="38" spans="1:7" x14ac:dyDescent="0.2">
      <c r="A38" s="109" t="s">
        <v>42</v>
      </c>
      <c r="B38" s="111">
        <v>4.8</v>
      </c>
      <c r="C38" s="111">
        <v>3.6</v>
      </c>
      <c r="D38" s="111">
        <v>3</v>
      </c>
      <c r="E38" s="111">
        <v>2.2999999999999998</v>
      </c>
      <c r="F38" s="111">
        <v>2.6</v>
      </c>
      <c r="G38" s="113">
        <v>1.6</v>
      </c>
    </row>
    <row r="39" spans="1:7" x14ac:dyDescent="0.2">
      <c r="A39" s="109" t="s">
        <v>67</v>
      </c>
      <c r="B39" s="114">
        <v>2.4</v>
      </c>
      <c r="C39" s="114">
        <v>2.1</v>
      </c>
      <c r="D39" s="114">
        <v>1.6</v>
      </c>
      <c r="E39" s="114">
        <v>2</v>
      </c>
      <c r="F39" s="114">
        <v>1.5</v>
      </c>
      <c r="G39" s="113">
        <v>1.3</v>
      </c>
    </row>
    <row r="40" spans="1:7" x14ac:dyDescent="0.2">
      <c r="A40" s="109" t="s">
        <v>82</v>
      </c>
      <c r="B40" s="114">
        <v>0.3</v>
      </c>
      <c r="C40" s="114">
        <v>0</v>
      </c>
      <c r="D40" s="114">
        <v>0.9</v>
      </c>
      <c r="E40" s="114">
        <v>0.7</v>
      </c>
      <c r="F40" s="114">
        <v>0.3</v>
      </c>
      <c r="G40" s="113">
        <v>1.2</v>
      </c>
    </row>
    <row r="41" spans="1:7" x14ac:dyDescent="0.2">
      <c r="A41" s="109" t="s">
        <v>46</v>
      </c>
      <c r="B41" s="111">
        <v>1.4</v>
      </c>
      <c r="C41" s="111">
        <v>1.7</v>
      </c>
      <c r="D41" s="111">
        <v>1.4</v>
      </c>
      <c r="E41" s="111">
        <v>1.2</v>
      </c>
      <c r="F41" s="111">
        <v>1.6</v>
      </c>
      <c r="G41" s="113">
        <v>0.8</v>
      </c>
    </row>
    <row r="42" spans="1:7" x14ac:dyDescent="0.2">
      <c r="A42" s="110" t="s">
        <v>83</v>
      </c>
      <c r="B42" s="115">
        <v>0.8</v>
      </c>
      <c r="C42" s="115">
        <v>0.7</v>
      </c>
      <c r="D42" s="115">
        <v>0.7</v>
      </c>
      <c r="E42" s="115">
        <v>0.8</v>
      </c>
      <c r="F42" s="115">
        <v>0.6</v>
      </c>
      <c r="G42" s="116">
        <v>0.7</v>
      </c>
    </row>
    <row r="43" spans="1:7" x14ac:dyDescent="0.2">
      <c r="B43" s="6"/>
      <c r="C43" s="6"/>
      <c r="D43" s="6"/>
      <c r="E43" s="6"/>
      <c r="F43" s="6"/>
      <c r="G43" s="6"/>
    </row>
    <row r="44" spans="1:7" x14ac:dyDescent="0.2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0"/>
  <sheetViews>
    <sheetView workbookViewId="0">
      <selection activeCell="A2" sqref="A2:XFD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1" spans="1:13" ht="9" customHeight="1" x14ac:dyDescent="0.2"/>
    <row r="2" spans="1:13" s="5" customFormat="1" ht="15" customHeight="1" x14ac:dyDescent="0.2">
      <c r="A2" s="157" t="s">
        <v>106</v>
      </c>
      <c r="B2" s="157"/>
      <c r="C2" s="157"/>
      <c r="D2" s="157"/>
      <c r="E2" s="157"/>
      <c r="F2" s="157"/>
      <c r="G2" s="157"/>
    </row>
    <row r="3" spans="1:13" x14ac:dyDescent="0.2">
      <c r="A3" s="156"/>
      <c r="B3" s="156"/>
      <c r="C3" s="156"/>
      <c r="D3" s="156"/>
      <c r="E3" s="156"/>
      <c r="F3" s="156"/>
      <c r="G3" s="156"/>
      <c r="H3" s="156"/>
      <c r="I3" s="62"/>
      <c r="J3" s="62"/>
      <c r="K3" s="62"/>
      <c r="L3" s="62"/>
      <c r="M3" s="62"/>
    </row>
    <row r="25" spans="1:2" ht="16.5" customHeight="1" x14ac:dyDescent="0.2">
      <c r="A25" s="56" t="s">
        <v>74</v>
      </c>
      <c r="B25" s="40" t="s">
        <v>48</v>
      </c>
    </row>
    <row r="26" spans="1:2" x14ac:dyDescent="0.2">
      <c r="A26" s="130" t="s">
        <v>84</v>
      </c>
      <c r="B26" s="138">
        <v>5.4</v>
      </c>
    </row>
    <row r="27" spans="1:2" x14ac:dyDescent="0.2">
      <c r="A27" s="131" t="s">
        <v>85</v>
      </c>
      <c r="B27" s="139">
        <v>11.3</v>
      </c>
    </row>
    <row r="28" spans="1:2" x14ac:dyDescent="0.2">
      <c r="A28" s="131" t="s">
        <v>94</v>
      </c>
      <c r="B28" s="139">
        <v>6.4</v>
      </c>
    </row>
    <row r="29" spans="1:2" x14ac:dyDescent="0.2">
      <c r="A29" s="131" t="s">
        <v>86</v>
      </c>
      <c r="B29" s="139">
        <v>9.3000000000000007</v>
      </c>
    </row>
    <row r="30" spans="1:2" x14ac:dyDescent="0.2">
      <c r="A30" s="131" t="s">
        <v>87</v>
      </c>
      <c r="B30" s="139">
        <v>1.8</v>
      </c>
    </row>
    <row r="31" spans="1:2" x14ac:dyDescent="0.2">
      <c r="A31" s="131" t="s">
        <v>88</v>
      </c>
      <c r="B31" s="139">
        <v>2.5</v>
      </c>
    </row>
    <row r="32" spans="1:2" x14ac:dyDescent="0.2">
      <c r="A32" s="131" t="s">
        <v>89</v>
      </c>
      <c r="B32" s="139">
        <v>2.9</v>
      </c>
    </row>
    <row r="33" spans="1:2" x14ac:dyDescent="0.2">
      <c r="A33" s="131" t="s">
        <v>90</v>
      </c>
      <c r="B33" s="139">
        <v>21.7</v>
      </c>
    </row>
    <row r="34" spans="1:2" x14ac:dyDescent="0.2">
      <c r="A34" s="131" t="s">
        <v>91</v>
      </c>
      <c r="B34" s="139">
        <v>6.6</v>
      </c>
    </row>
    <row r="35" spans="1:2" x14ac:dyDescent="0.2">
      <c r="A35" s="131" t="s">
        <v>92</v>
      </c>
      <c r="B35" s="139">
        <v>9</v>
      </c>
    </row>
    <row r="36" spans="1:2" x14ac:dyDescent="0.2">
      <c r="A36" s="132" t="s">
        <v>93</v>
      </c>
      <c r="B36" s="140">
        <v>23.1</v>
      </c>
    </row>
    <row r="37" spans="1:2" x14ac:dyDescent="0.2">
      <c r="B37" s="80"/>
    </row>
    <row r="38" spans="1:2" x14ac:dyDescent="0.2">
      <c r="A38" s="56" t="s">
        <v>73</v>
      </c>
      <c r="B38" s="39" t="s">
        <v>48</v>
      </c>
    </row>
    <row r="39" spans="1:2" x14ac:dyDescent="0.2">
      <c r="A39" s="130" t="s">
        <v>84</v>
      </c>
      <c r="B39" s="138">
        <v>19.899999999999999</v>
      </c>
    </row>
    <row r="40" spans="1:2" x14ac:dyDescent="0.2">
      <c r="A40" s="131" t="s">
        <v>85</v>
      </c>
      <c r="B40" s="139">
        <v>9.9</v>
      </c>
    </row>
    <row r="41" spans="1:2" x14ac:dyDescent="0.2">
      <c r="A41" s="131" t="s">
        <v>94</v>
      </c>
      <c r="B41" s="139">
        <v>3.5</v>
      </c>
    </row>
    <row r="42" spans="1:2" x14ac:dyDescent="0.2">
      <c r="A42" s="131" t="s">
        <v>86</v>
      </c>
      <c r="B42" s="139">
        <v>10.199999999999999</v>
      </c>
    </row>
    <row r="43" spans="1:2" x14ac:dyDescent="0.2">
      <c r="A43" s="131" t="s">
        <v>87</v>
      </c>
      <c r="B43" s="139">
        <v>8.1</v>
      </c>
    </row>
    <row r="44" spans="1:2" x14ac:dyDescent="0.2">
      <c r="A44" s="131" t="s">
        <v>88</v>
      </c>
      <c r="B44" s="139">
        <v>2.4</v>
      </c>
    </row>
    <row r="45" spans="1:2" x14ac:dyDescent="0.2">
      <c r="A45" s="131" t="s">
        <v>89</v>
      </c>
      <c r="B45" s="139">
        <v>2.4</v>
      </c>
    </row>
    <row r="46" spans="1:2" x14ac:dyDescent="0.2">
      <c r="A46" s="131" t="s">
        <v>90</v>
      </c>
      <c r="B46" s="139">
        <v>13.7</v>
      </c>
    </row>
    <row r="47" spans="1:2" x14ac:dyDescent="0.2">
      <c r="A47" s="131" t="s">
        <v>91</v>
      </c>
      <c r="B47" s="139">
        <v>3.8</v>
      </c>
    </row>
    <row r="48" spans="1:2" x14ac:dyDescent="0.2">
      <c r="A48" s="131" t="s">
        <v>92</v>
      </c>
      <c r="B48" s="139">
        <v>6.8</v>
      </c>
    </row>
    <row r="49" spans="1:2" x14ac:dyDescent="0.2">
      <c r="A49" s="132" t="s">
        <v>93</v>
      </c>
      <c r="B49" s="140">
        <v>19.3</v>
      </c>
    </row>
    <row r="50" spans="1:2" x14ac:dyDescent="0.2">
      <c r="B50" s="78"/>
    </row>
  </sheetData>
  <mergeCells count="2">
    <mergeCell ref="A3:H3"/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A2" sqref="A2:XFD2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s="5" customFormat="1" x14ac:dyDescent="0.2">
      <c r="A2" s="154" t="s">
        <v>95</v>
      </c>
      <c r="B2" s="154"/>
      <c r="C2" s="154"/>
      <c r="D2" s="154"/>
      <c r="E2" s="154"/>
      <c r="F2" s="154"/>
      <c r="G2" s="154"/>
      <c r="H2" s="154"/>
      <c r="I2" s="154"/>
      <c r="J2" s="154"/>
      <c r="K2" s="162"/>
      <c r="L2" s="162"/>
      <c r="M2" s="162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37" t="s">
        <v>0</v>
      </c>
      <c r="B21" s="37" t="s">
        <v>1</v>
      </c>
      <c r="C21" s="55" t="s">
        <v>2</v>
      </c>
      <c r="D21" s="55" t="s">
        <v>3</v>
      </c>
      <c r="E21" s="55" t="s">
        <v>4</v>
      </c>
      <c r="F21" s="55" t="s">
        <v>5</v>
      </c>
      <c r="G21" s="55" t="s">
        <v>6</v>
      </c>
      <c r="H21" s="55" t="s">
        <v>7</v>
      </c>
      <c r="I21" s="55" t="s">
        <v>8</v>
      </c>
      <c r="J21" s="55" t="s">
        <v>9</v>
      </c>
      <c r="K21" s="55" t="s">
        <v>10</v>
      </c>
      <c r="L21" s="55" t="s">
        <v>11</v>
      </c>
      <c r="M21" s="55" t="s">
        <v>12</v>
      </c>
    </row>
    <row r="22" spans="1:13" x14ac:dyDescent="0.2">
      <c r="A22" s="42">
        <v>2017</v>
      </c>
      <c r="B22" s="54">
        <v>266.8</v>
      </c>
      <c r="C22" s="54">
        <v>332.7</v>
      </c>
      <c r="D22" s="54">
        <v>431.2</v>
      </c>
      <c r="E22" s="54">
        <v>361.5</v>
      </c>
      <c r="F22" s="54">
        <v>400.4</v>
      </c>
      <c r="G22" s="54">
        <v>388.8</v>
      </c>
      <c r="H22" s="54">
        <v>396.9</v>
      </c>
      <c r="I22" s="54">
        <v>429.7</v>
      </c>
      <c r="J22" s="54">
        <v>430.8</v>
      </c>
      <c r="K22" s="54">
        <v>465.9</v>
      </c>
      <c r="L22" s="54">
        <v>455.3</v>
      </c>
      <c r="M22" s="51">
        <v>471.4</v>
      </c>
    </row>
    <row r="23" spans="1:13" x14ac:dyDescent="0.2">
      <c r="A23" s="42">
        <v>2018</v>
      </c>
      <c r="B23" s="54">
        <v>374.3</v>
      </c>
      <c r="C23" s="54">
        <v>427.6</v>
      </c>
      <c r="D23" s="54">
        <v>524.1</v>
      </c>
      <c r="E23" s="54">
        <v>444.6</v>
      </c>
      <c r="F23" s="54">
        <v>505.6</v>
      </c>
      <c r="G23" s="54">
        <v>458.7</v>
      </c>
      <c r="H23" s="54">
        <v>488</v>
      </c>
      <c r="I23" s="54">
        <v>480.7</v>
      </c>
      <c r="J23" s="54">
        <v>474</v>
      </c>
      <c r="K23" s="54">
        <v>540.6</v>
      </c>
      <c r="L23" s="54">
        <v>522.6</v>
      </c>
      <c r="M23" s="51">
        <v>519.29999999999995</v>
      </c>
    </row>
    <row r="24" spans="1:13" x14ac:dyDescent="0.2">
      <c r="A24" s="42">
        <v>2019</v>
      </c>
      <c r="B24" s="54">
        <v>372.6</v>
      </c>
      <c r="C24" s="54">
        <v>459.3</v>
      </c>
      <c r="D24" s="54">
        <v>533.79999999999995</v>
      </c>
      <c r="E24" s="54">
        <v>515.6</v>
      </c>
      <c r="F24" s="54">
        <v>481.6</v>
      </c>
      <c r="G24" s="54">
        <v>445.4</v>
      </c>
      <c r="H24" s="54">
        <v>499.1</v>
      </c>
      <c r="I24" s="54">
        <v>464.3</v>
      </c>
      <c r="J24" s="54">
        <v>501.7</v>
      </c>
      <c r="K24" s="54">
        <v>525.29999999999995</v>
      </c>
      <c r="L24" s="54">
        <v>504.1</v>
      </c>
      <c r="M24" s="51">
        <v>539.70000000000005</v>
      </c>
    </row>
    <row r="25" spans="1:13" x14ac:dyDescent="0.2">
      <c r="A25" s="42">
        <v>2020</v>
      </c>
      <c r="B25" s="50">
        <v>379.8</v>
      </c>
      <c r="C25" s="50">
        <v>484.8</v>
      </c>
      <c r="D25" s="50">
        <v>500.5</v>
      </c>
      <c r="E25" s="50">
        <v>285.60000000000002</v>
      </c>
      <c r="F25" s="50">
        <v>329.4</v>
      </c>
      <c r="G25" s="50">
        <v>413.5</v>
      </c>
      <c r="H25" s="50">
        <v>496.6</v>
      </c>
      <c r="I25" s="50">
        <v>433.6</v>
      </c>
      <c r="J25" s="50">
        <v>508.3</v>
      </c>
      <c r="K25" s="50">
        <v>493.6</v>
      </c>
      <c r="L25" s="50">
        <v>522.9</v>
      </c>
      <c r="M25" s="51">
        <v>567.29999999999995</v>
      </c>
    </row>
    <row r="26" spans="1:13" x14ac:dyDescent="0.2">
      <c r="A26" s="42">
        <v>2021</v>
      </c>
      <c r="B26" s="50">
        <v>399.4</v>
      </c>
      <c r="C26" s="50">
        <v>521.4</v>
      </c>
      <c r="D26" s="50">
        <v>630.1</v>
      </c>
      <c r="E26" s="50">
        <v>562.20000000000005</v>
      </c>
      <c r="F26" s="50">
        <v>563.4</v>
      </c>
      <c r="G26" s="50">
        <v>589.70000000000005</v>
      </c>
      <c r="H26" s="50">
        <v>562</v>
      </c>
      <c r="I26" s="50">
        <v>574.9</v>
      </c>
      <c r="J26" s="50">
        <v>671.2</v>
      </c>
      <c r="K26" s="50">
        <v>646.9</v>
      </c>
      <c r="L26" s="50">
        <v>701.5</v>
      </c>
      <c r="M26" s="51">
        <v>754</v>
      </c>
    </row>
    <row r="27" spans="1:13" x14ac:dyDescent="0.2">
      <c r="A27" s="43">
        <v>2022</v>
      </c>
      <c r="B27" s="52">
        <v>621.20000000000005</v>
      </c>
      <c r="C27" s="52">
        <v>669.1</v>
      </c>
      <c r="D27" s="52"/>
      <c r="E27" s="52"/>
      <c r="F27" s="52"/>
      <c r="G27" s="52"/>
      <c r="H27" s="52"/>
      <c r="I27" s="52"/>
      <c r="J27" s="52"/>
      <c r="K27" s="52"/>
      <c r="L27" s="52"/>
      <c r="M27" s="53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O32"/>
  <sheetViews>
    <sheetView zoomScaleNormal="100" workbookViewId="0">
      <selection activeCell="A2" sqref="A2:P2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38" width="6.42578125" style="3" customWidth="1"/>
    <col min="39" max="39" width="6.5703125" style="3" customWidth="1"/>
    <col min="40" max="16384" width="9.140625" style="3"/>
  </cols>
  <sheetData>
    <row r="2" spans="1:16" s="5" customFormat="1" x14ac:dyDescent="0.2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1" ht="15" x14ac:dyDescent="0.2">
      <c r="A23" s="158"/>
      <c r="B23" s="152">
        <v>2019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>
        <v>2020</v>
      </c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46">
        <v>2021</v>
      </c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1"/>
      <c r="AL23" s="146">
        <v>2022</v>
      </c>
      <c r="AM23" s="147"/>
    </row>
    <row r="24" spans="1:41" x14ac:dyDescent="0.2">
      <c r="A24" s="159"/>
      <c r="B24" s="30" t="s">
        <v>13</v>
      </c>
      <c r="C24" s="30" t="s">
        <v>14</v>
      </c>
      <c r="D24" s="30" t="s">
        <v>15</v>
      </c>
      <c r="E24" s="30" t="s">
        <v>16</v>
      </c>
      <c r="F24" s="30" t="s">
        <v>17</v>
      </c>
      <c r="G24" s="30" t="s">
        <v>18</v>
      </c>
      <c r="H24" s="30" t="s">
        <v>19</v>
      </c>
      <c r="I24" s="30" t="s">
        <v>20</v>
      </c>
      <c r="J24" s="30" t="s">
        <v>21</v>
      </c>
      <c r="K24" s="30" t="s">
        <v>22</v>
      </c>
      <c r="L24" s="30" t="s">
        <v>23</v>
      </c>
      <c r="M24" s="30" t="s">
        <v>24</v>
      </c>
      <c r="N24" s="30" t="s">
        <v>13</v>
      </c>
      <c r="O24" s="30" t="s">
        <v>14</v>
      </c>
      <c r="P24" s="30" t="s">
        <v>15</v>
      </c>
      <c r="Q24" s="30" t="s">
        <v>16</v>
      </c>
      <c r="R24" s="30" t="s">
        <v>17</v>
      </c>
      <c r="S24" s="30" t="s">
        <v>25</v>
      </c>
      <c r="T24" s="30" t="s">
        <v>19</v>
      </c>
      <c r="U24" s="30" t="s">
        <v>26</v>
      </c>
      <c r="V24" s="30" t="s">
        <v>21</v>
      </c>
      <c r="W24" s="30" t="s">
        <v>27</v>
      </c>
      <c r="X24" s="30" t="s">
        <v>23</v>
      </c>
      <c r="Y24" s="30" t="s">
        <v>24</v>
      </c>
      <c r="Z24" s="66" t="s">
        <v>13</v>
      </c>
      <c r="AA24" s="66" t="s">
        <v>14</v>
      </c>
      <c r="AB24" s="67" t="s">
        <v>15</v>
      </c>
      <c r="AC24" s="66" t="s">
        <v>16</v>
      </c>
      <c r="AD24" s="66" t="s">
        <v>17</v>
      </c>
      <c r="AE24" s="66" t="s">
        <v>25</v>
      </c>
      <c r="AF24" s="66" t="s">
        <v>19</v>
      </c>
      <c r="AG24" s="66" t="s">
        <v>26</v>
      </c>
      <c r="AH24" s="79" t="s">
        <v>21</v>
      </c>
      <c r="AI24" s="43" t="s">
        <v>27</v>
      </c>
      <c r="AJ24" s="39" t="s">
        <v>23</v>
      </c>
      <c r="AK24" s="39" t="s">
        <v>24</v>
      </c>
      <c r="AL24" s="39" t="s">
        <v>13</v>
      </c>
      <c r="AM24" s="39" t="s">
        <v>14</v>
      </c>
    </row>
    <row r="25" spans="1:41" ht="27.75" customHeight="1" x14ac:dyDescent="0.2">
      <c r="A25" s="27" t="s">
        <v>61</v>
      </c>
      <c r="B25" s="46">
        <v>71.738158213015794</v>
      </c>
      <c r="C25" s="19">
        <v>123.27227087030982</v>
      </c>
      <c r="D25" s="19">
        <v>116.24365644398502</v>
      </c>
      <c r="E25" s="19">
        <v>96.580225893758936</v>
      </c>
      <c r="F25" s="19">
        <v>93.408604141465986</v>
      </c>
      <c r="G25" s="19">
        <v>92.490171422142794</v>
      </c>
      <c r="H25" s="19">
        <v>112.04816621722891</v>
      </c>
      <c r="I25" s="19">
        <v>93.020207912369386</v>
      </c>
      <c r="J25" s="19">
        <v>108.06099409813686</v>
      </c>
      <c r="K25" s="19">
        <v>104.71321760096355</v>
      </c>
      <c r="L25" s="19">
        <v>95.961007942682357</v>
      </c>
      <c r="M25" s="15">
        <v>107.05149255623367</v>
      </c>
      <c r="N25" s="19">
        <v>70.382208343865415</v>
      </c>
      <c r="O25" s="19">
        <v>127.63158194440297</v>
      </c>
      <c r="P25" s="19">
        <v>103.24095247310265</v>
      </c>
      <c r="Q25" s="19">
        <v>57.064146061655876</v>
      </c>
      <c r="R25" s="19">
        <v>115.32045479750228</v>
      </c>
      <c r="S25" s="19">
        <v>125.55839051166471</v>
      </c>
      <c r="T25" s="19">
        <v>120.09478099934977</v>
      </c>
      <c r="U25" s="19">
        <v>87.312042792465732</v>
      </c>
      <c r="V25" s="19">
        <v>117.22959939467061</v>
      </c>
      <c r="W25" s="19">
        <v>97.096953437578748</v>
      </c>
      <c r="X25" s="19">
        <v>105.93754706899317</v>
      </c>
      <c r="Y25" s="15">
        <v>108.49423751970338</v>
      </c>
      <c r="Z25" s="75">
        <v>70.407885353173725</v>
      </c>
      <c r="AA25" s="22">
        <v>130.56565598353049</v>
      </c>
      <c r="AB25" s="22">
        <v>120.83026196604835</v>
      </c>
      <c r="AC25" s="59">
        <v>89.231037795592442</v>
      </c>
      <c r="AD25" s="22">
        <v>100.2114807539604</v>
      </c>
      <c r="AE25" s="64">
        <v>104.66057637383682</v>
      </c>
      <c r="AF25" s="64">
        <v>95.30942428771003</v>
      </c>
      <c r="AG25" s="22">
        <v>102.29866266763055</v>
      </c>
      <c r="AH25" s="22">
        <v>116.75028041134044</v>
      </c>
      <c r="AI25" s="22">
        <v>96.373528322817748</v>
      </c>
      <c r="AJ25" s="22">
        <v>108.43907965493625</v>
      </c>
      <c r="AK25" s="104">
        <v>107.49454762149138</v>
      </c>
      <c r="AL25" s="22">
        <v>82.384524368534713</v>
      </c>
      <c r="AM25" s="104">
        <v>107.71381026333069</v>
      </c>
    </row>
    <row r="26" spans="1:41" ht="42" customHeight="1" x14ac:dyDescent="0.2">
      <c r="A26" s="28" t="s">
        <v>62</v>
      </c>
      <c r="B26" s="26">
        <f>IF(374257.25828="","-",372548.49281/374257.25828*100)</f>
        <v>99.543424894989869</v>
      </c>
      <c r="C26" s="14">
        <f>IF(427600.8878="","-",459248.98718/427600.8878*100)</f>
        <v>107.40131750961253</v>
      </c>
      <c r="D26" s="14">
        <f>IF(524151.65323="","-",533847.81488/524151.65323*100)</f>
        <v>101.84987714724333</v>
      </c>
      <c r="E26" s="14">
        <f>IF(444601.83252="","-",515591.42554/444601.83252*100)</f>
        <v>115.96700414337735</v>
      </c>
      <c r="F26" s="14">
        <f>IF(505594.98812="","-",481606.75367/505594.98812*100)</f>
        <v>95.255444572503052</v>
      </c>
      <c r="G26" s="14">
        <f>IF(458682.35918="","-",445438.91205/458682.35918*100)</f>
        <v>97.112719321999705</v>
      </c>
      <c r="H26" s="14">
        <f>IF(488041.26888="","-",499106.13257/488041.26888*100)</f>
        <v>102.26719836939048</v>
      </c>
      <c r="I26" s="14">
        <f>IF(480650.77296="","-",464269.56222/480650.77296*100)</f>
        <v>96.591868428897087</v>
      </c>
      <c r="J26" s="14">
        <f>IF(473973.76404="","-",501694.30423/473973.76404*100)</f>
        <v>105.84853894732886</v>
      </c>
      <c r="K26" s="14">
        <f>IF(540614.13985="","-",525340.24848/540614.13985*100)</f>
        <v>97.174714783775727</v>
      </c>
      <c r="L26" s="14">
        <f>IF(522571.0681="","-",504121.79757/522571.0681*100)</f>
        <v>96.469519333115954</v>
      </c>
      <c r="M26" s="16">
        <f>IF(519317.05816="","-",539669.9086/519317.05816*100)</f>
        <v>103.91915692353963</v>
      </c>
      <c r="N26" s="14">
        <f>IF(372548.49281="","-",379831.59944/372548.49281*100)</f>
        <v>101.95494191241148</v>
      </c>
      <c r="O26" s="14">
        <f>IF(459248.98718="","-",484785.07909/459248.98718*100)</f>
        <v>105.56040244460927</v>
      </c>
      <c r="P26" s="14">
        <f>IF(533847.81488="","-",500496.7331/533847.81488*100)</f>
        <v>93.752698643620619</v>
      </c>
      <c r="Q26" s="14">
        <f>IF(515591.42554="","-",285604.18681/515591.42554*100)</f>
        <v>55.393509795256001</v>
      </c>
      <c r="R26" s="14">
        <f>IF(481606.75367="","-",329360.04715/481606.75367*100)</f>
        <v>68.38775508029515</v>
      </c>
      <c r="S26" s="14">
        <f>IF(445438.91205="","-",413539.17419/445438.91205*100)</f>
        <v>92.838583025180498</v>
      </c>
      <c r="T26" s="14">
        <f>IF(499106.13257="","-",496638.96559/499106.13257*100)</f>
        <v>99.505682896081424</v>
      </c>
      <c r="U26" s="14">
        <f>IF(464269.56222="","-",433625.62616/464269.56222*100)</f>
        <v>93.399537993946922</v>
      </c>
      <c r="V26" s="14">
        <f>IF(501694.30423="","-",508337.58442/501694.30423*100)</f>
        <v>101.32416894790069</v>
      </c>
      <c r="W26" s="14">
        <f>IF(525340.24848="","-",493580.30765/525340.24848*100)</f>
        <v>93.954405564414117</v>
      </c>
      <c r="X26" s="14">
        <f>IF(504121.79757="","-",522886.87074/504121.79757*100)</f>
        <v>103.7223292586142</v>
      </c>
      <c r="Y26" s="16">
        <f>IF(539669.9086="","-",567302.1235/539669.9086*100)</f>
        <v>105.12020671519058</v>
      </c>
      <c r="Z26" s="71">
        <f>IF(379831.59944="","-",399368.86107/379831.59944*100)</f>
        <v>105.14366410240868</v>
      </c>
      <c r="AA26" s="60">
        <f>IF(484785.07909="","-",521438.57325/484785.07909*100)</f>
        <v>107.56077192573727</v>
      </c>
      <c r="AB26" s="60">
        <f>IF(500496.7331="","-",630055.59405/500496.7331*100)</f>
        <v>125.88605526903886</v>
      </c>
      <c r="AC26" s="60">
        <f>IF(285604.18681="","-",562205.14526/285604.18681*100)</f>
        <v>196.84765533007069</v>
      </c>
      <c r="AD26" s="60">
        <f>IF(329360.04715="","-",563394.10094/329360.04715*100)</f>
        <v>171.05720800538208</v>
      </c>
      <c r="AE26" s="60">
        <f>IF(413539.17419="","-",589651.5133/413539.17419*100)</f>
        <v>142.58661575531545</v>
      </c>
      <c r="AF26" s="60">
        <f>IF(496638.96559="","-",561993.46263/496638.96559*100)</f>
        <v>113.15935751484174</v>
      </c>
      <c r="AG26" s="14">
        <f>IF(433625.62616="","-",574911.79655/433625.62616*100)</f>
        <v>132.58252323350189</v>
      </c>
      <c r="AH26" s="14">
        <f>IF(508337.58442="","-",671211.13459/508337.58442*100)</f>
        <v>132.04043044659673</v>
      </c>
      <c r="AI26" s="14">
        <f>IF(493580.30765="","-",646869.8529/493580.30765*100)</f>
        <v>131.05665742213895</v>
      </c>
      <c r="AJ26" s="14">
        <f>IF(522886.87074="","-",701459.71505/522886.87074*100)</f>
        <v>134.15133450516365</v>
      </c>
      <c r="AK26" s="16">
        <f>IF(567302.1235="","-",754030.94744/567302.1235*100)</f>
        <v>132.91523444121219</v>
      </c>
      <c r="AL26" s="26">
        <f>IF(399368.86107="","-",621204.80964/399368.86107*100)</f>
        <v>155.5466312460243</v>
      </c>
      <c r="AM26" s="76">
        <f>IF(521438.57325="","-",669123.36997/521438.57325*100)</f>
        <v>128.32256842824583</v>
      </c>
    </row>
    <row r="27" spans="1:4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</row>
    <row r="28" spans="1:4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  <c r="Z28" s="72"/>
      <c r="AA28" s="72"/>
      <c r="AB28" s="73"/>
      <c r="AC28" s="74"/>
      <c r="AD28" s="72"/>
      <c r="AE28" s="65"/>
      <c r="AF28" s="65"/>
      <c r="AG28" s="65"/>
      <c r="AH28" s="65"/>
    </row>
    <row r="31" spans="1:41" ht="15.75" x14ac:dyDescent="0.25">
      <c r="S31" s="95"/>
      <c r="T31" s="96"/>
      <c r="U31" s="97"/>
      <c r="V31" s="96"/>
      <c r="W31" s="95"/>
      <c r="X31" s="96"/>
      <c r="Y31" s="97"/>
      <c r="Z31" s="96"/>
      <c r="AA31" s="97"/>
      <c r="AB31" s="96"/>
      <c r="AC31" s="94"/>
      <c r="AD31" s="96"/>
      <c r="AE31" s="94"/>
      <c r="AF31" s="96"/>
      <c r="AG31" s="94"/>
      <c r="AH31" s="96"/>
      <c r="AI31" s="98"/>
      <c r="AJ31" s="96"/>
      <c r="AK31" s="86"/>
      <c r="AL31" s="96"/>
      <c r="AM31" s="94"/>
      <c r="AN31" s="96"/>
      <c r="AO31" s="93"/>
    </row>
    <row r="32" spans="1:41" ht="15.75" x14ac:dyDescent="0.2">
      <c r="X32" s="94"/>
    </row>
  </sheetData>
  <mergeCells count="6">
    <mergeCell ref="AL23:AM23"/>
    <mergeCell ref="A23:A24"/>
    <mergeCell ref="B23:M23"/>
    <mergeCell ref="N23:Y23"/>
    <mergeCell ref="Z23:AK23"/>
    <mergeCell ref="A2:P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1"/>
  <sheetViews>
    <sheetView workbookViewId="0">
      <selection activeCell="A2" sqref="A2:XFD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s="5" customFormat="1" x14ac:dyDescent="0.2">
      <c r="A2" s="153" t="s">
        <v>97</v>
      </c>
      <c r="B2" s="153"/>
      <c r="C2" s="153"/>
      <c r="D2" s="153"/>
      <c r="E2" s="153"/>
      <c r="F2" s="153"/>
      <c r="G2" s="164"/>
      <c r="H2" s="162"/>
      <c r="I2" s="162"/>
      <c r="J2" s="162"/>
      <c r="K2" s="162"/>
      <c r="L2" s="162"/>
      <c r="M2" s="162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1"/>
      <c r="B22" s="41"/>
      <c r="C22" s="41"/>
      <c r="D22" s="41"/>
      <c r="E22" s="41"/>
      <c r="F22" s="41"/>
      <c r="G22" s="41"/>
    </row>
    <row r="23" spans="1:7" x14ac:dyDescent="0.2">
      <c r="A23" s="41"/>
      <c r="B23" s="41"/>
      <c r="C23" s="41"/>
      <c r="D23" s="41"/>
      <c r="E23" s="41"/>
      <c r="F23" s="41"/>
      <c r="G23" s="41"/>
    </row>
    <row r="24" spans="1:7" ht="24" x14ac:dyDescent="0.2">
      <c r="A24" s="56" t="s">
        <v>28</v>
      </c>
      <c r="B24" s="36" t="s">
        <v>73</v>
      </c>
      <c r="C24" s="13" t="s">
        <v>74</v>
      </c>
      <c r="D24" s="13" t="s">
        <v>75</v>
      </c>
      <c r="E24" s="13" t="s">
        <v>76</v>
      </c>
      <c r="F24" s="13" t="s">
        <v>77</v>
      </c>
      <c r="G24" s="13" t="s">
        <v>78</v>
      </c>
    </row>
    <row r="25" spans="1:7" x14ac:dyDescent="0.2">
      <c r="A25" s="47" t="s">
        <v>29</v>
      </c>
      <c r="B25" s="117">
        <v>3.1</v>
      </c>
      <c r="C25" s="69">
        <v>2</v>
      </c>
      <c r="D25" s="69">
        <v>1.6</v>
      </c>
      <c r="E25" s="118">
        <v>1.3</v>
      </c>
      <c r="F25" s="118">
        <v>2.7</v>
      </c>
      <c r="G25" s="103">
        <v>1.9</v>
      </c>
    </row>
    <row r="26" spans="1:7" x14ac:dyDescent="0.2">
      <c r="A26" s="48" t="s">
        <v>30</v>
      </c>
      <c r="B26" s="119">
        <v>4.5</v>
      </c>
      <c r="C26" s="64">
        <v>5.0999999999999996</v>
      </c>
      <c r="D26" s="64">
        <v>5.0999999999999996</v>
      </c>
      <c r="E26" s="120">
        <v>3.3</v>
      </c>
      <c r="F26" s="120">
        <v>5.9</v>
      </c>
      <c r="G26" s="121">
        <v>7.1</v>
      </c>
    </row>
    <row r="27" spans="1:7" x14ac:dyDescent="0.2">
      <c r="A27" s="48" t="s">
        <v>31</v>
      </c>
      <c r="B27" s="119">
        <v>73.2</v>
      </c>
      <c r="C27" s="64">
        <v>84.6</v>
      </c>
      <c r="D27" s="64">
        <v>82.8</v>
      </c>
      <c r="E27" s="120">
        <v>80.400000000000006</v>
      </c>
      <c r="F27" s="64">
        <v>79</v>
      </c>
      <c r="G27" s="121">
        <v>78.3</v>
      </c>
    </row>
    <row r="28" spans="1:7" x14ac:dyDescent="0.2">
      <c r="A28" s="48" t="s">
        <v>32</v>
      </c>
      <c r="B28" s="119">
        <v>1.8</v>
      </c>
      <c r="C28" s="64">
        <v>2.2999999999999998</v>
      </c>
      <c r="D28" s="64">
        <v>2.4</v>
      </c>
      <c r="E28" s="120">
        <v>2.8</v>
      </c>
      <c r="F28" s="120">
        <v>2.8</v>
      </c>
      <c r="G28" s="121">
        <v>2.9</v>
      </c>
    </row>
    <row r="29" spans="1:7" x14ac:dyDescent="0.2">
      <c r="A29" s="48" t="s">
        <v>49</v>
      </c>
      <c r="B29" s="119">
        <v>0.1</v>
      </c>
      <c r="C29" s="64">
        <v>0.2</v>
      </c>
      <c r="D29" s="64">
        <v>0.2</v>
      </c>
      <c r="E29" s="120">
        <v>0.2</v>
      </c>
      <c r="F29" s="120">
        <v>0.3</v>
      </c>
      <c r="G29" s="121">
        <v>0.2</v>
      </c>
    </row>
    <row r="30" spans="1:7" x14ac:dyDescent="0.2">
      <c r="A30" s="48" t="s">
        <v>50</v>
      </c>
      <c r="B30" s="119">
        <v>16.8</v>
      </c>
      <c r="C30" s="64">
        <v>5.3</v>
      </c>
      <c r="D30" s="64">
        <v>7.4</v>
      </c>
      <c r="E30" s="120">
        <v>11.2</v>
      </c>
      <c r="F30" s="120">
        <v>8.6999999999999993</v>
      </c>
      <c r="G30" s="121">
        <v>9</v>
      </c>
    </row>
    <row r="31" spans="1:7" x14ac:dyDescent="0.2">
      <c r="A31" s="49" t="s">
        <v>51</v>
      </c>
      <c r="B31" s="122">
        <v>0.5</v>
      </c>
      <c r="C31" s="123">
        <v>0.5</v>
      </c>
      <c r="D31" s="123">
        <v>0.5</v>
      </c>
      <c r="E31" s="124">
        <v>0.8</v>
      </c>
      <c r="F31" s="124">
        <v>0.6</v>
      </c>
      <c r="G31" s="125">
        <v>0.6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2022-04-15T06:04:41Z</dcterms:modified>
</cp:coreProperties>
</file>