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Com_Ext_01-04_2023_REV\"/>
    </mc:Choice>
  </mc:AlternateContent>
  <xr:revisionPtr revIDLastSave="0" documentId="13_ncr:1_{769C60B6-1314-4111-A0F7-19A9AC17346B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6" l="1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C26" i="8" l="1"/>
  <c r="AB26" i="8"/>
  <c r="G48" i="5" l="1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AC26" i="2" l="1"/>
  <c r="AB26" i="2"/>
  <c r="AA26" i="8" l="1"/>
  <c r="Z26" i="8"/>
  <c r="AA26" i="2" l="1"/>
  <c r="Z26" i="2"/>
  <c r="Y26" i="8" l="1"/>
  <c r="X26" i="8"/>
  <c r="Y26" i="2"/>
  <c r="X26" i="2"/>
  <c r="W26" i="8"/>
  <c r="V26" i="8"/>
  <c r="U26" i="8"/>
  <c r="T26" i="8"/>
  <c r="S26" i="8"/>
  <c r="R26" i="8"/>
  <c r="Q26" i="8"/>
  <c r="P26" i="8"/>
  <c r="O26" i="8"/>
  <c r="N26" i="8"/>
  <c r="Q26" i="2" l="1"/>
  <c r="W26" i="2"/>
  <c r="V26" i="2"/>
  <c r="U26" i="2"/>
  <c r="T26" i="2"/>
  <c r="S26" i="2"/>
  <c r="R26" i="2"/>
  <c r="P26" i="2"/>
  <c r="O26" i="2"/>
  <c r="N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<sst xmlns="http://schemas.openxmlformats.org/spreadsheetml/2006/main" count="290" uniqueCount="119">
  <si>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</si>
  <si>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</si>
  <si>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</si>
  <si>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</si>
  <si>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</si>
  <si>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</si>
  <si>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</si>
  <si>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</si>
  <si>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</si>
  <si>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</si>
  <si>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</si>
  <si>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</si>
  <si>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</si>
  <si>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</si>
  <si>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</si>
  <si>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</si>
  <si>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</si>
  <si>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</si>
  <si>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</si>
  <si>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</si>
  <si>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</si>
  <si>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</si>
  <si>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</si>
  <si>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</si>
  <si>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</si>
  <si>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</si>
  <si>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</si>
  <si>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</si>
  <si>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</si>
  <si>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</si>
  <si>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</si>
  <si>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</si>
  <si>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</si>
  <si>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</si>
  <si>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</si>
  <si>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</si>
  <si>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</si>
  <si>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</si>
  <si>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</si>
  <si>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</si>
  <si>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</si>
  <si>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</si>
  <si>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</si>
  <si>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</si>
  <si>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</si>
  <si>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</si>
  <si>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</si>
  <si>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</si>
  <si>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</si>
  <si>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</si>
  <si>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</si>
  <si>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</si>
  <si>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</si>
  <si>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</si>
  <si>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</si>
  <si>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</si>
  <si>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</si>
  <si>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</si>
  <si>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</si>
  <si>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</si>
  <si>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Federația Rusă</t>
  </si>
  <si>
    <t>Elveția</t>
  </si>
  <si>
    <t>Franța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</si>
  <si>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</si>
  <si>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</si>
  <si>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</si>
  <si>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</si>
  <si>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</si>
  <si>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</si>
  <si>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</si>
  <si>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</si>
  <si>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</si>
  <si>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</si>
  <si>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</si>
  <si>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</si>
  <si>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India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</si>
  <si>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</si>
  <si>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</si>
  <si>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</si>
  <si>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</si>
  <si>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</si>
  <si>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</si>
  <si>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Japonia</t>
  </si>
  <si>
    <t>Belgia</t>
  </si>
  <si>
    <t>Slovacia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</si>
  <si>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</si>
  <si>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</si>
  <si>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</si>
  <si>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</si>
  <si>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</si>
  <si>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</si>
  <si>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</si>
  <si>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</si>
  <si>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</si>
  <si>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</si>
  <si>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</si>
  <si>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</si>
  <si>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</si>
  <si>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t>Cipru</t>
  </si>
  <si>
    <t>Îngrăşăminte minerale sau chimice</t>
  </si>
  <si>
    <t>Liban</t>
  </si>
  <si>
    <t>Ianuarie-aprilie 2023</t>
  </si>
  <si>
    <t>Ianuarie-aprilie 2022</t>
  </si>
  <si>
    <t>Ianuarie-aprilie 2021</t>
  </si>
  <si>
    <t>Ianuarie-aprilie 2020</t>
  </si>
  <si>
    <t>Ianuarie-aprilie 2019</t>
  </si>
  <si>
    <t>Ianuarie-aprilie 2018</t>
  </si>
  <si>
    <t>Lituania</t>
  </si>
  <si>
    <t>Emiratele Arabe Unite</t>
  </si>
  <si>
    <t xml:space="preserve">   Ianuarie - aprilie 2022</t>
  </si>
  <si>
    <t xml:space="preserve">   Ianuarie - aprilie 2023</t>
  </si>
  <si>
    <t>Regatul Unit</t>
  </si>
  <si>
    <r>
      <rPr>
        <b/>
        <sz val="10"/>
        <color rgb="FF000000"/>
        <rFont val="Arial"/>
        <family val="2"/>
        <charset val="204"/>
      </rPr>
      <t>Figura 3.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ianuarie-aprilie 2018-2023, după modul de transport (%)</t>
    </r>
  </si>
  <si>
    <r>
      <rPr>
        <b/>
        <sz val="10"/>
        <color rgb="FF000000"/>
        <rFont val="Arial"/>
        <family val="2"/>
        <charset val="204"/>
      </rPr>
      <t xml:space="preserve">Figura 4. </t>
    </r>
    <r>
      <rPr>
        <b/>
        <i/>
        <sz val="10"/>
        <color indexed="8"/>
        <rFont val="Arial"/>
        <family val="2"/>
        <charset val="204"/>
      </rPr>
      <t>Structura exporturilor de mărfuri, în ianuarie-aprilie 2018-2023, pe grupe de ţări (%)</t>
    </r>
  </si>
  <si>
    <r>
      <rPr>
        <b/>
        <sz val="10"/>
        <color rgb="FF000000"/>
        <rFont val="Arial"/>
        <family val="2"/>
        <charset val="204"/>
      </rPr>
      <t xml:space="preserve">Figura 5. </t>
    </r>
    <r>
      <rPr>
        <b/>
        <i/>
        <sz val="10"/>
        <color indexed="8"/>
        <rFont val="Arial"/>
        <family val="2"/>
        <charset val="204"/>
      </rPr>
      <t>Structura exporturilor, în ianuarie-aprilie 2018-2023, pe principalele ţări de destinaţie a mărfurilor (%)</t>
    </r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</si>
  <si>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ianuarie-aprilie 2018-2023, după modul de transport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</si>
  <si>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ianuarie-aprilie 2018-2023, pe principalele ţări de origine a mărfurilor (%)</t>
    </r>
  </si>
  <si>
    <r>
      <rPr>
        <b/>
        <sz val="10"/>
        <color rgb="FF000000"/>
        <rFont val="Arial"/>
        <family val="2"/>
        <charset val="204"/>
      </rPr>
      <t xml:space="preserve">Figura 14. </t>
    </r>
    <r>
      <rPr>
        <b/>
        <i/>
        <sz val="10"/>
        <color indexed="8"/>
        <rFont val="Arial"/>
        <family val="2"/>
        <charset val="204"/>
      </rPr>
      <t>Tendinţele comerţului internaţional cu mărfuri, în ianuarie-aprilie 2018-2023 (milioane dolari SUA)</t>
    </r>
  </si>
  <si>
    <r>
      <t xml:space="preserve">  </t>
    </r>
    <r>
      <rPr>
        <b/>
        <sz val="10"/>
        <color theme="1"/>
        <rFont val="Arial"/>
        <family val="2"/>
        <charset val="204"/>
      </rPr>
      <t xml:space="preserve">  Figura 10.</t>
    </r>
    <r>
      <rPr>
        <b/>
        <i/>
        <sz val="10"/>
        <color theme="1"/>
        <rFont val="Arial"/>
        <family val="2"/>
        <charset val="204"/>
      </rPr>
      <t xml:space="preserve"> Structura importurilor de mărfuri, în ianuarie-aprilie 2018-2023, pe grupe de ţări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</si>
</sst>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6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38" fontId="15" fillId="0" borderId="0" xfId="0" applyNumberFormat="1" applyFont="1" applyAlignment="1">
      <alignment horizontal="left" vertical="top" wrapText="1"/>
    </xf>
    <xf numFmtId="164" fontId="32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4" fontId="31" fillId="0" borderId="10" xfId="0" applyNumberFormat="1" applyFont="1" applyBorder="1" applyAlignment="1">
      <alignment horizontal="center"/>
    </xf>
    <xf numFmtId="164" fontId="31" fillId="0" borderId="1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31" fillId="0" borderId="9" xfId="0" applyNumberFormat="1" applyFont="1" applyBorder="1" applyAlignment="1">
      <alignment horizontal="center"/>
    </xf>
    <xf numFmtId="164" fontId="31" fillId="0" borderId="3" xfId="0" applyNumberFormat="1" applyFont="1" applyBorder="1" applyAlignment="1">
      <alignment horizontal="center"/>
    </xf>
    <xf numFmtId="164" fontId="31" fillId="0" borderId="6" xfId="0" applyNumberFormat="1" applyFont="1" applyBorder="1" applyAlignment="1">
      <alignment horizontal="center"/>
    </xf>
    <xf numFmtId="38" fontId="6" fillId="0" borderId="0" xfId="0" applyNumberFormat="1" applyFont="1" applyAlignment="1">
      <alignment horizontal="left" wrapText="1" indent="1"/>
    </xf>
    <xf numFmtId="38" fontId="6" fillId="0" borderId="3" xfId="0" applyNumberFormat="1" applyFont="1" applyBorder="1" applyAlignment="1">
      <alignment horizontal="left" wrapText="1" indent="1"/>
    </xf>
    <xf numFmtId="0" fontId="3" fillId="0" borderId="6" xfId="0" applyFont="1" applyBorder="1" applyAlignment="1">
      <alignment horizontal="left" indent="1"/>
    </xf>
    <xf numFmtId="38" fontId="4" fillId="0" borderId="2" xfId="0" applyNumberFormat="1" applyFont="1" applyBorder="1" applyAlignment="1">
      <alignment horizontal="left" wrapText="1" indent="1"/>
    </xf>
    <xf numFmtId="38" fontId="4" fillId="0" borderId="0" xfId="0" applyNumberFormat="1" applyFont="1" applyAlignment="1">
      <alignment horizontal="left" wrapText="1" indent="1"/>
    </xf>
    <xf numFmtId="38" fontId="4" fillId="0" borderId="3" xfId="0" applyNumberFormat="1" applyFont="1" applyBorder="1" applyAlignment="1">
      <alignment horizontal="left" wrapText="1" indent="1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1" fillId="0" borderId="0" xfId="0" applyNumberFormat="1" applyFont="1" applyAlignment="1">
      <alignment horizontal="center"/>
    </xf>
    <xf numFmtId="164" fontId="31" fillId="0" borderId="5" xfId="0" applyNumberFormat="1" applyFont="1" applyBorder="1" applyAlignment="1">
      <alignment horizontal="center"/>
    </xf>
    <xf numFmtId="38" fontId="6" fillId="0" borderId="4" xfId="0" applyNumberFormat="1" applyFont="1" applyBorder="1" applyAlignment="1">
      <alignment horizontal="left" wrapText="1" indent="1"/>
    </xf>
    <xf numFmtId="38" fontId="6" fillId="0" borderId="5" xfId="0" applyNumberFormat="1" applyFont="1" applyBorder="1" applyAlignment="1">
      <alignment horizontal="left" wrapText="1" indent="1"/>
    </xf>
    <xf numFmtId="38" fontId="6" fillId="0" borderId="6" xfId="0" applyNumberFormat="1" applyFont="1" applyBorder="1" applyAlignment="1">
      <alignment horizontal="left" wrapText="1" indent="1"/>
    </xf>
    <xf numFmtId="38" fontId="4" fillId="0" borderId="4" xfId="0" applyNumberFormat="1" applyFont="1" applyBorder="1" applyAlignment="1">
      <alignment horizontal="left" wrapText="1" indent="1"/>
    </xf>
    <xf numFmtId="38" fontId="4" fillId="0" borderId="5" xfId="0" applyNumberFormat="1" applyFont="1" applyBorder="1" applyAlignment="1">
      <alignment horizontal="left" wrapText="1" indent="1"/>
    </xf>
    <xf numFmtId="38" fontId="4" fillId="0" borderId="6" xfId="0" applyNumberFormat="1" applyFont="1" applyBorder="1" applyAlignment="1">
      <alignment horizontal="left" wrapText="1" indent="1"/>
    </xf>
    <xf numFmtId="164" fontId="2" fillId="0" borderId="8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316.89999999999998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4834544"/>
        <c:axId val="244835104"/>
      </c:barChart>
      <c:catAx>
        <c:axId val="2448345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5104"/>
        <c:crosses val="autoZero"/>
        <c:auto val="0"/>
        <c:lblAlgn val="ctr"/>
        <c:lblOffset val="100"/>
        <c:tickLblSkip val="1"/>
        <c:noMultiLvlLbl val="0"/>
      </c:catAx>
      <c:valAx>
        <c:axId val="244835104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45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Ianuarie-aprilie 2023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General</c:formatCode>
                <c:ptCount val="7"/>
                <c:pt idx="0">
                  <c:v>7.8</c:v>
                </c:pt>
                <c:pt idx="1">
                  <c:v>5.2</c:v>
                </c:pt>
                <c:pt idx="2" formatCode="0.0">
                  <c:v>74</c:v>
                </c:pt>
                <c:pt idx="3">
                  <c:v>1.6</c:v>
                </c:pt>
                <c:pt idx="4">
                  <c:v>0.1</c:v>
                </c:pt>
                <c:pt idx="5">
                  <c:v>10.5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Ianuarie-aprilie 2022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0.0</c:formatCode>
                <c:ptCount val="7"/>
                <c:pt idx="0">
                  <c:v>5.3</c:v>
                </c:pt>
                <c:pt idx="1">
                  <c:v>4.4000000000000004</c:v>
                </c:pt>
                <c:pt idx="2">
                  <c:v>75.5</c:v>
                </c:pt>
                <c:pt idx="3">
                  <c:v>1.5</c:v>
                </c:pt>
                <c:pt idx="4">
                  <c:v>0.1</c:v>
                </c:pt>
                <c:pt idx="5">
                  <c:v>12.8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Ianuarie-aprilie 2021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0.0</c:formatCode>
                <c:ptCount val="7"/>
                <c:pt idx="0">
                  <c:v>1.7</c:v>
                </c:pt>
                <c:pt idx="1">
                  <c:v>4.4000000000000004</c:v>
                </c:pt>
                <c:pt idx="2">
                  <c:v>86.5</c:v>
                </c:pt>
                <c:pt idx="3">
                  <c:v>2.5</c:v>
                </c:pt>
                <c:pt idx="4">
                  <c:v>0.2</c:v>
                </c:pt>
                <c:pt idx="5">
                  <c:v>4.2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Ianuarie-aprilie 2020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0.0</c:formatCode>
                <c:ptCount val="7"/>
                <c:pt idx="0">
                  <c:v>1.7</c:v>
                </c:pt>
                <c:pt idx="1">
                  <c:v>4.3</c:v>
                </c:pt>
                <c:pt idx="2">
                  <c:v>85</c:v>
                </c:pt>
                <c:pt idx="3">
                  <c:v>2.5</c:v>
                </c:pt>
                <c:pt idx="4">
                  <c:v>0.2</c:v>
                </c:pt>
                <c:pt idx="5">
                  <c:v>5.9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Ianuarie-aprilie 2019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0.0</c:formatCode>
                <c:ptCount val="7"/>
                <c:pt idx="0">
                  <c:v>2.1</c:v>
                </c:pt>
                <c:pt idx="1">
                  <c:v>4.7</c:v>
                </c:pt>
                <c:pt idx="2">
                  <c:v>82</c:v>
                </c:pt>
                <c:pt idx="3">
                  <c:v>2.5</c:v>
                </c:pt>
                <c:pt idx="4">
                  <c:v>0.2</c:v>
                </c:pt>
                <c:pt idx="5">
                  <c:v>7.8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Ianuarie-aprilie 2018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0.0</c:formatCode>
                <c:ptCount val="7"/>
                <c:pt idx="0">
                  <c:v>2.6</c:v>
                </c:pt>
                <c:pt idx="1">
                  <c:v>5.5</c:v>
                </c:pt>
                <c:pt idx="2">
                  <c:v>81.7</c:v>
                </c:pt>
                <c:pt idx="3">
                  <c:v>2.6</c:v>
                </c:pt>
                <c:pt idx="4">
                  <c:v>0.3</c:v>
                </c:pt>
                <c:pt idx="5">
                  <c:v>6.7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075968"/>
        <c:axId val="248076528"/>
      </c:barChart>
      <c:catAx>
        <c:axId val="2480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6528"/>
        <c:crossesAt val="0"/>
        <c:auto val="1"/>
        <c:lblAlgn val="ctr"/>
        <c:lblOffset val="100"/>
        <c:noMultiLvlLbl val="0"/>
      </c:catAx>
      <c:valAx>
        <c:axId val="248076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59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25203252572743"/>
          <c:y val="0.91909764444001463"/>
          <c:w val="0.81692138384379753"/>
          <c:h val="7.928402936974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10'!$B$23:$G$23</c:f>
              <c:numCache>
                <c:formatCode>0.0</c:formatCode>
                <c:ptCount val="6"/>
                <c:pt idx="0">
                  <c:v>49.1</c:v>
                </c:pt>
                <c:pt idx="1">
                  <c:v>47.7</c:v>
                </c:pt>
                <c:pt idx="2">
                  <c:v>47.1</c:v>
                </c:pt>
                <c:pt idx="3">
                  <c:v>47.6</c:v>
                </c:pt>
                <c:pt idx="4">
                  <c:v>44.2</c:v>
                </c:pt>
                <c:pt idx="5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10'!$B$24:$G$24</c:f>
              <c:numCache>
                <c:formatCode>0.0</c:formatCode>
                <c:ptCount val="6"/>
                <c:pt idx="0">
                  <c:v>23.9</c:v>
                </c:pt>
                <c:pt idx="1">
                  <c:v>26.5</c:v>
                </c:pt>
                <c:pt idx="2">
                  <c:v>25</c:v>
                </c:pt>
                <c:pt idx="3">
                  <c:v>23.2</c:v>
                </c:pt>
                <c:pt idx="4">
                  <c:v>29.8</c:v>
                </c:pt>
                <c:pt idx="5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10'!$B$25:$G$25</c:f>
              <c:numCache>
                <c:formatCode>0.0</c:formatCode>
                <c:ptCount val="6"/>
                <c:pt idx="0">
                  <c:v>27</c:v>
                </c:pt>
                <c:pt idx="1">
                  <c:v>25.8</c:v>
                </c:pt>
                <c:pt idx="2">
                  <c:v>27.9</c:v>
                </c:pt>
                <c:pt idx="3">
                  <c:v>29.2</c:v>
                </c:pt>
                <c:pt idx="4">
                  <c:v>26</c:v>
                </c:pt>
                <c:pt idx="5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552080"/>
        <c:axId val="248552640"/>
      </c:barChart>
      <c:catAx>
        <c:axId val="2485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640"/>
        <c:crosses val="autoZero"/>
        <c:auto val="0"/>
        <c:lblAlgn val="ctr"/>
        <c:lblOffset val="100"/>
        <c:noMultiLvlLbl val="0"/>
      </c:catAx>
      <c:valAx>
        <c:axId val="248552640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08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Ianuarie-aprilie 2018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Grecia</c:v>
                </c:pt>
                <c:pt idx="11">
                  <c:v>India</c:v>
                </c:pt>
                <c:pt idx="12">
                  <c:v>Bulgaria</c:v>
                </c:pt>
                <c:pt idx="13">
                  <c:v>Cehia</c:v>
                </c:pt>
                <c:pt idx="14">
                  <c:v>Kazahstan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Netherlands</c:v>
                </c:pt>
                <c:pt idx="19">
                  <c:v>Belarus</c:v>
                </c:pt>
                <c:pt idx="20">
                  <c:v>Slovacia</c:v>
                </c:pt>
                <c:pt idx="21">
                  <c:v>Japonia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11'!$B$25:$B$48</c:f>
              <c:numCache>
                <c:formatCode>#,##0.0</c:formatCode>
                <c:ptCount val="24"/>
                <c:pt idx="0">
                  <c:v>13.443085341870905</c:v>
                </c:pt>
                <c:pt idx="1">
                  <c:v>8.6676468854653361</c:v>
                </c:pt>
                <c:pt idx="2">
                  <c:v>10.563831737436507</c:v>
                </c:pt>
                <c:pt idx="3">
                  <c:v>6.10736538357851</c:v>
                </c:pt>
                <c:pt idx="4">
                  <c:v>8.6904326258698017</c:v>
                </c:pt>
                <c:pt idx="5">
                  <c:v>13.593945025156692</c:v>
                </c:pt>
                <c:pt idx="6">
                  <c:v>6.7940011856620286</c:v>
                </c:pt>
                <c:pt idx="7">
                  <c:v>3.4888644042258878</c:v>
                </c:pt>
                <c:pt idx="8">
                  <c:v>3.2339623800403077</c:v>
                </c:pt>
                <c:pt idx="9">
                  <c:v>2.3109180745475055</c:v>
                </c:pt>
                <c:pt idx="10">
                  <c:v>0.37571619774825454</c:v>
                </c:pt>
                <c:pt idx="11">
                  <c:v>0.55920583215453812</c:v>
                </c:pt>
                <c:pt idx="12">
                  <c:v>1.0717018971793297</c:v>
                </c:pt>
                <c:pt idx="13">
                  <c:v>1.502278490766962</c:v>
                </c:pt>
                <c:pt idx="14">
                  <c:v>3.8290650971228572E-2</c:v>
                </c:pt>
                <c:pt idx="15">
                  <c:v>1.4460993636157458</c:v>
                </c:pt>
                <c:pt idx="16">
                  <c:v>1.4999677417995152</c:v>
                </c:pt>
                <c:pt idx="17">
                  <c:v>1.8977411480840287</c:v>
                </c:pt>
                <c:pt idx="18">
                  <c:v>1.1556419878961119</c:v>
                </c:pt>
                <c:pt idx="19">
                  <c:v>1.5255725301026077</c:v>
                </c:pt>
                <c:pt idx="20">
                  <c:v>0.54296944836308669</c:v>
                </c:pt>
                <c:pt idx="21">
                  <c:v>0.91760584635987119</c:v>
                </c:pt>
                <c:pt idx="22">
                  <c:v>1.08312199271948</c:v>
                </c:pt>
                <c:pt idx="23">
                  <c:v>0.77113755634193937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Ianuarie-aprilie 2019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Grecia</c:v>
                </c:pt>
                <c:pt idx="11">
                  <c:v>India</c:v>
                </c:pt>
                <c:pt idx="12">
                  <c:v>Bulgaria</c:v>
                </c:pt>
                <c:pt idx="13">
                  <c:v>Cehia</c:v>
                </c:pt>
                <c:pt idx="14">
                  <c:v>Kazahstan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Netherlands</c:v>
                </c:pt>
                <c:pt idx="19">
                  <c:v>Belarus</c:v>
                </c:pt>
                <c:pt idx="20">
                  <c:v>Slovacia</c:v>
                </c:pt>
                <c:pt idx="21">
                  <c:v>Japonia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11'!$C$25:$C$48</c:f>
              <c:numCache>
                <c:formatCode>#,##0.0</c:formatCode>
                <c:ptCount val="24"/>
                <c:pt idx="0">
                  <c:v>13.584160146220455</c:v>
                </c:pt>
                <c:pt idx="1">
                  <c:v>9.2933137043964038</c:v>
                </c:pt>
                <c:pt idx="2">
                  <c:v>9.7028101444999688</c:v>
                </c:pt>
                <c:pt idx="3">
                  <c:v>6.4369899351958404</c:v>
                </c:pt>
                <c:pt idx="4">
                  <c:v>8.3196564920277236</c:v>
                </c:pt>
                <c:pt idx="5">
                  <c:v>14.683872785015387</c:v>
                </c:pt>
                <c:pt idx="6">
                  <c:v>6.7809747250839338</c:v>
                </c:pt>
                <c:pt idx="7">
                  <c:v>3.2726521193240439</c:v>
                </c:pt>
                <c:pt idx="8">
                  <c:v>2.9428698982621513</c:v>
                </c:pt>
                <c:pt idx="9">
                  <c:v>2.0006236430361324</c:v>
                </c:pt>
                <c:pt idx="10">
                  <c:v>0.35958304537696401</c:v>
                </c:pt>
                <c:pt idx="11">
                  <c:v>0.61820503096842372</c:v>
                </c:pt>
                <c:pt idx="12">
                  <c:v>0.79532079656297505</c:v>
                </c:pt>
                <c:pt idx="13">
                  <c:v>1.8428797383055651</c:v>
                </c:pt>
                <c:pt idx="14">
                  <c:v>0.12409111010182845</c:v>
                </c:pt>
                <c:pt idx="15">
                  <c:v>1.3197233974142888</c:v>
                </c:pt>
                <c:pt idx="16">
                  <c:v>1.5140712208611529</c:v>
                </c:pt>
                <c:pt idx="17">
                  <c:v>1.5787931363325156</c:v>
                </c:pt>
                <c:pt idx="18">
                  <c:v>1.0051708695053962</c:v>
                </c:pt>
                <c:pt idx="19">
                  <c:v>2.1314784558989972</c:v>
                </c:pt>
                <c:pt idx="20">
                  <c:v>0.58668671253634597</c:v>
                </c:pt>
                <c:pt idx="21">
                  <c:v>0.80898249140507805</c:v>
                </c:pt>
                <c:pt idx="22">
                  <c:v>1.039314417365764</c:v>
                </c:pt>
                <c:pt idx="23">
                  <c:v>0.7187079623373126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Ianuarie-aprilie 2020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Grecia</c:v>
                </c:pt>
                <c:pt idx="11">
                  <c:v>India</c:v>
                </c:pt>
                <c:pt idx="12">
                  <c:v>Bulgaria</c:v>
                </c:pt>
                <c:pt idx="13">
                  <c:v>Cehia</c:v>
                </c:pt>
                <c:pt idx="14">
                  <c:v>Kazahstan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Netherlands</c:v>
                </c:pt>
                <c:pt idx="19">
                  <c:v>Belarus</c:v>
                </c:pt>
                <c:pt idx="20">
                  <c:v>Slovacia</c:v>
                </c:pt>
                <c:pt idx="21">
                  <c:v>Japonia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11'!$D$25:$D$48</c:f>
              <c:numCache>
                <c:formatCode>#,##0.0</c:formatCode>
                <c:ptCount val="24"/>
                <c:pt idx="0">
                  <c:v>12.433587181960377</c:v>
                </c:pt>
                <c:pt idx="1">
                  <c:v>9.0169008424374741</c:v>
                </c:pt>
                <c:pt idx="2">
                  <c:v>10.20291746990312</c:v>
                </c:pt>
                <c:pt idx="3">
                  <c:v>6.7862470483058672</c:v>
                </c:pt>
                <c:pt idx="4">
                  <c:v>8.4408400002324502</c:v>
                </c:pt>
                <c:pt idx="5">
                  <c:v>13.379002838445075</c:v>
                </c:pt>
                <c:pt idx="6">
                  <c:v>6.0380021242999309</c:v>
                </c:pt>
                <c:pt idx="7">
                  <c:v>3.8761589996052672</c:v>
                </c:pt>
                <c:pt idx="8">
                  <c:v>3.1644282480155952</c:v>
                </c:pt>
                <c:pt idx="9">
                  <c:v>2.3049425047601781</c:v>
                </c:pt>
                <c:pt idx="10">
                  <c:v>0.46903703136847735</c:v>
                </c:pt>
                <c:pt idx="11">
                  <c:v>0.7229032883200186</c:v>
                </c:pt>
                <c:pt idx="12">
                  <c:v>1.0840263959692931</c:v>
                </c:pt>
                <c:pt idx="13">
                  <c:v>1.5809597986150368</c:v>
                </c:pt>
                <c:pt idx="14">
                  <c:v>0.22512923431070317</c:v>
                </c:pt>
                <c:pt idx="15">
                  <c:v>1.3600166843326962</c:v>
                </c:pt>
                <c:pt idx="16">
                  <c:v>1.6316450878971462</c:v>
                </c:pt>
                <c:pt idx="17">
                  <c:v>1.2027297884727577</c:v>
                </c:pt>
                <c:pt idx="18">
                  <c:v>1.0675762230107795</c:v>
                </c:pt>
                <c:pt idx="19">
                  <c:v>1.8801660053379565</c:v>
                </c:pt>
                <c:pt idx="20">
                  <c:v>0.46344768161615191</c:v>
                </c:pt>
                <c:pt idx="21">
                  <c:v>0.98487676422448489</c:v>
                </c:pt>
                <c:pt idx="22">
                  <c:v>1.1288075039370391</c:v>
                </c:pt>
                <c:pt idx="23">
                  <c:v>0.73229919529687371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Ianuarie-aprilie 2021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Grecia</c:v>
                </c:pt>
                <c:pt idx="11">
                  <c:v>India</c:v>
                </c:pt>
                <c:pt idx="12">
                  <c:v>Bulgaria</c:v>
                </c:pt>
                <c:pt idx="13">
                  <c:v>Cehia</c:v>
                </c:pt>
                <c:pt idx="14">
                  <c:v>Kazahstan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Netherlands</c:v>
                </c:pt>
                <c:pt idx="19">
                  <c:v>Belarus</c:v>
                </c:pt>
                <c:pt idx="20">
                  <c:v>Slovacia</c:v>
                </c:pt>
                <c:pt idx="21">
                  <c:v>Japonia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11'!$E$25:$E$48</c:f>
              <c:numCache>
                <c:formatCode>#,##0.0</c:formatCode>
                <c:ptCount val="24"/>
                <c:pt idx="0">
                  <c:v>12.304869275151367</c:v>
                </c:pt>
                <c:pt idx="1">
                  <c:v>8.7239687602373905</c:v>
                </c:pt>
                <c:pt idx="2">
                  <c:v>11.227700725927573</c:v>
                </c:pt>
                <c:pt idx="3">
                  <c:v>7.4059398552752027</c:v>
                </c:pt>
                <c:pt idx="4">
                  <c:v>8.5317708164756798</c:v>
                </c:pt>
                <c:pt idx="5">
                  <c:v>12.195430058809029</c:v>
                </c:pt>
                <c:pt idx="6">
                  <c:v>6.6035132174790405</c:v>
                </c:pt>
                <c:pt idx="7">
                  <c:v>3.9372569180802897</c:v>
                </c:pt>
                <c:pt idx="8">
                  <c:v>3.0216247017868345</c:v>
                </c:pt>
                <c:pt idx="9">
                  <c:v>2.0805751290302728</c:v>
                </c:pt>
                <c:pt idx="10">
                  <c:v>0.4370872679480915</c:v>
                </c:pt>
                <c:pt idx="11">
                  <c:v>0.73250768589306658</c:v>
                </c:pt>
                <c:pt idx="12">
                  <c:v>1.131861533313117</c:v>
                </c:pt>
                <c:pt idx="13">
                  <c:v>1.7089638044173752</c:v>
                </c:pt>
                <c:pt idx="14">
                  <c:v>0.20703734808917895</c:v>
                </c:pt>
                <c:pt idx="15">
                  <c:v>1.5082365958525139</c:v>
                </c:pt>
                <c:pt idx="16">
                  <c:v>1.47622877999307</c:v>
                </c:pt>
                <c:pt idx="17">
                  <c:v>1.4560517598987504</c:v>
                </c:pt>
                <c:pt idx="18">
                  <c:v>1.0577618975540786</c:v>
                </c:pt>
                <c:pt idx="19">
                  <c:v>1.8440157779226887</c:v>
                </c:pt>
                <c:pt idx="20">
                  <c:v>0.50485988919484726</c:v>
                </c:pt>
                <c:pt idx="21">
                  <c:v>0.97841413391237464</c:v>
                </c:pt>
                <c:pt idx="22">
                  <c:v>0.97330264005013689</c:v>
                </c:pt>
                <c:pt idx="23">
                  <c:v>0.74220020658671571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Ianuarie-aprilie 2022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Grecia</c:v>
                </c:pt>
                <c:pt idx="11">
                  <c:v>India</c:v>
                </c:pt>
                <c:pt idx="12">
                  <c:v>Bulgaria</c:v>
                </c:pt>
                <c:pt idx="13">
                  <c:v>Cehia</c:v>
                </c:pt>
                <c:pt idx="14">
                  <c:v>Kazahstan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Netherlands</c:v>
                </c:pt>
                <c:pt idx="19">
                  <c:v>Belarus</c:v>
                </c:pt>
                <c:pt idx="20">
                  <c:v>Slovacia</c:v>
                </c:pt>
                <c:pt idx="21">
                  <c:v>Japonia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11'!$F$25:$F$48</c:f>
              <c:numCache>
                <c:formatCode>#,##0.0</c:formatCode>
                <c:ptCount val="24"/>
                <c:pt idx="0">
                  <c:v>13.711124400308808</c:v>
                </c:pt>
                <c:pt idx="1">
                  <c:v>8.1540332304417245</c:v>
                </c:pt>
                <c:pt idx="2">
                  <c:v>8.921888494388206</c:v>
                </c:pt>
                <c:pt idx="3">
                  <c:v>6.8041544810442609</c:v>
                </c:pt>
                <c:pt idx="4">
                  <c:v>6.7631034697259729</c:v>
                </c:pt>
                <c:pt idx="5">
                  <c:v>19.312916830844859</c:v>
                </c:pt>
                <c:pt idx="6">
                  <c:v>5.3345328956208462</c:v>
                </c:pt>
                <c:pt idx="7">
                  <c:v>3.3342917492173179</c:v>
                </c:pt>
                <c:pt idx="8">
                  <c:v>2.7272239706056642</c:v>
                </c:pt>
                <c:pt idx="9">
                  <c:v>2.316669643343817</c:v>
                </c:pt>
                <c:pt idx="10">
                  <c:v>0.43459234195597168</c:v>
                </c:pt>
                <c:pt idx="11">
                  <c:v>1.7504764326209801</c:v>
                </c:pt>
                <c:pt idx="12">
                  <c:v>1.2835150331864547</c:v>
                </c:pt>
                <c:pt idx="13">
                  <c:v>1.4383259456499442</c:v>
                </c:pt>
                <c:pt idx="14">
                  <c:v>0.21180162692270599</c:v>
                </c:pt>
                <c:pt idx="15">
                  <c:v>1.8484315124147364</c:v>
                </c:pt>
                <c:pt idx="16">
                  <c:v>1.3938629318045688</c:v>
                </c:pt>
                <c:pt idx="17">
                  <c:v>0.99872185015890902</c:v>
                </c:pt>
                <c:pt idx="18">
                  <c:v>1.0282918932954319</c:v>
                </c:pt>
                <c:pt idx="19">
                  <c:v>1.351161691272474</c:v>
                </c:pt>
                <c:pt idx="20">
                  <c:v>0.57290841559219274</c:v>
                </c:pt>
                <c:pt idx="21">
                  <c:v>0.55964860124588056</c:v>
                </c:pt>
                <c:pt idx="22">
                  <c:v>0.81973602233985299</c:v>
                </c:pt>
                <c:pt idx="23">
                  <c:v>0.59156961650728312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Ianuarie-aprilie 2023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Grecia</c:v>
                </c:pt>
                <c:pt idx="11">
                  <c:v>India</c:v>
                </c:pt>
                <c:pt idx="12">
                  <c:v>Bulgaria</c:v>
                </c:pt>
                <c:pt idx="13">
                  <c:v>Cehia</c:v>
                </c:pt>
                <c:pt idx="14">
                  <c:v>Kazahstan</c:v>
                </c:pt>
                <c:pt idx="15">
                  <c:v>S.U.A.</c:v>
                </c:pt>
                <c:pt idx="16">
                  <c:v>Spania</c:v>
                </c:pt>
                <c:pt idx="17">
                  <c:v>Austria</c:v>
                </c:pt>
                <c:pt idx="18">
                  <c:v>Netherlands</c:v>
                </c:pt>
                <c:pt idx="19">
                  <c:v>Belarus</c:v>
                </c:pt>
                <c:pt idx="20">
                  <c:v>Slovacia</c:v>
                </c:pt>
                <c:pt idx="21">
                  <c:v>Japonia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11'!$G$25:$G$48</c:f>
              <c:numCache>
                <c:formatCode>0.0</c:formatCode>
                <c:ptCount val="24"/>
                <c:pt idx="0">
                  <c:v>15.660868176406417</c:v>
                </c:pt>
                <c:pt idx="1">
                  <c:v>13.498137233385188</c:v>
                </c:pt>
                <c:pt idx="2">
                  <c:v>9.821091899548847</c:v>
                </c:pt>
                <c:pt idx="3">
                  <c:v>8.2686853832118672</c:v>
                </c:pt>
                <c:pt idx="4">
                  <c:v>6.5393385424893005</c:v>
                </c:pt>
                <c:pt idx="5">
                  <c:v>5.4410631688316196</c:v>
                </c:pt>
                <c:pt idx="6">
                  <c:v>4.9607626340680966</c:v>
                </c:pt>
                <c:pt idx="7">
                  <c:v>3.218580339224947</c:v>
                </c:pt>
                <c:pt idx="8">
                  <c:v>2.7570436437650589</c:v>
                </c:pt>
                <c:pt idx="9">
                  <c:v>2.2870263333052261</c:v>
                </c:pt>
                <c:pt idx="10">
                  <c:v>2.1407741683189294</c:v>
                </c:pt>
                <c:pt idx="11">
                  <c:v>2.13142011009485</c:v>
                </c:pt>
                <c:pt idx="12">
                  <c:v>1.852509307146091</c:v>
                </c:pt>
                <c:pt idx="13">
                  <c:v>1.4842020351453802</c:v>
                </c:pt>
                <c:pt idx="14">
                  <c:v>1.4317973045859849</c:v>
                </c:pt>
                <c:pt idx="15">
                  <c:v>1.3895794572299294</c:v>
                </c:pt>
                <c:pt idx="16">
                  <c:v>1.3502818455998316</c:v>
                </c:pt>
                <c:pt idx="17">
                  <c:v>1.0536537314107386</c:v>
                </c:pt>
                <c:pt idx="18">
                  <c:v>0.98401463514804366</c:v>
                </c:pt>
                <c:pt idx="19">
                  <c:v>0.95732513550078835</c:v>
                </c:pt>
                <c:pt idx="20">
                  <c:v>0.949975685559586</c:v>
                </c:pt>
                <c:pt idx="21">
                  <c:v>0.93647377836104906</c:v>
                </c:pt>
                <c:pt idx="22">
                  <c:v>0.84129650166956893</c:v>
                </c:pt>
                <c:pt idx="23">
                  <c:v>0.72299085479565139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629776"/>
        <c:axId val="248630336"/>
      </c:barChart>
      <c:catAx>
        <c:axId val="24862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30336"/>
        <c:crosses val="autoZero"/>
        <c:auto val="1"/>
        <c:lblAlgn val="ctr"/>
        <c:lblOffset val="100"/>
        <c:noMultiLvlLbl val="0"/>
      </c:catAx>
      <c:valAx>
        <c:axId val="2486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297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4.3316992307925566E-2"/>
          <c:y val="0.91210125931727049"/>
          <c:w val="0.95668300769207448"/>
          <c:h val="6.2501814932707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</a:rPr>
              <a:t>Ianuarie - aprilie 2022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027033506057647"/>
          <c:y val="1.486778476712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EF1-414D-94DA-30AF092260C4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EF1-414D-94DA-30AF092260C4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EF1-414D-94DA-30AF092260C4}"/>
              </c:ext>
            </c:extLst>
          </c:dPt>
          <c:dPt>
            <c:idx val="1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78A-4588-BE1A-3F21F157C1F5}"/>
              </c:ext>
            </c:extLst>
          </c:dPt>
          <c:dPt>
            <c:idx val="12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4E6-4E28-8EB4-641B9F745DCF}"/>
              </c:ext>
            </c:extLst>
          </c:dPt>
          <c:dPt>
            <c:idx val="13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8174-4E57-ABA6-9DA1669FF746}"/>
              </c:ext>
            </c:extLst>
          </c:dPt>
          <c:dLbls>
            <c:dLbl>
              <c:idx val="0"/>
              <c:layout>
                <c:manualLayout>
                  <c:x val="-7.6502486369531622E-2"/>
                  <c:y val="1.9631489882569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71260149858318"/>
                      <c:h val="0.155988313960754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4.5277127244340361E-2"/>
                  <c:y val="-0.10757486613410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3317720530836"/>
                      <c:h val="0.200298467223319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-2.0296397376557439E-2"/>
                  <c:y val="-0.195891613457622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2083079778962"/>
                      <c:h val="0.171318911692355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1.4051522248243445E-2"/>
                  <c:y val="-0.180236275161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6604215456675"/>
                      <c:h val="0.1505211848518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4.6838407494145202E-2"/>
                  <c:y val="-0.161092549601004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81120802522635"/>
                      <c:h val="0.17527340332458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4.2154689680183419E-2"/>
                  <c:y val="-5.58249680108530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1022638563622"/>
                      <c:h val="0.148093363329583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-1.249024199843872E-2"/>
                  <c:y val="4.30810441281823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9.679937548790013E-2"/>
                  <c:y val="6.98769802245324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0.17465181606397565"/>
                  <c:y val="-3.69637361260255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75487900078061"/>
                      <c:h val="0.15975815523059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0EF1-414D-94DA-30AF092260C4}"/>
                </c:ext>
              </c:extLst>
            </c:dLbl>
            <c:dLbl>
              <c:idx val="9"/>
              <c:layout>
                <c:manualLayout>
                  <c:x val="-0.18211436685168453"/>
                  <c:y val="-0.164420422199087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43403590944575"/>
                      <c:h val="0.178629459629954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EF1-414D-94DA-30AF092260C4}"/>
                </c:ext>
              </c:extLst>
            </c:dLbl>
            <c:dLbl>
              <c:idx val="10"/>
              <c:layout>
                <c:manualLayout>
                  <c:x val="-0.14525671995918543"/>
                  <c:y val="-0.334474180957984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4246682279467"/>
                      <c:h val="0.199412316056715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0EF1-414D-94DA-30AF092260C4}"/>
                </c:ext>
              </c:extLst>
            </c:dLbl>
            <c:dLbl>
              <c:idx val="11"/>
              <c:layout>
                <c:manualLayout>
                  <c:x val="-9.7669758493303088E-2"/>
                  <c:y val="-0.47959552124634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16561864193209"/>
                      <c:h val="0.166013623297087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78A-4588-BE1A-3F21F157C1F5}"/>
                </c:ext>
              </c:extLst>
            </c:dLbl>
            <c:dLbl>
              <c:idx val="12"/>
              <c:layout>
                <c:manualLayout>
                  <c:x val="-6.2451209992193599E-3"/>
                  <c:y val="-0.637764215788756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44977164739655"/>
                      <c:h val="0.20142041825449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94E6-4E28-8EB4-641B9F745DCF}"/>
                </c:ext>
              </c:extLst>
            </c:dLbl>
            <c:dLbl>
              <c:idx val="13"/>
              <c:layout>
                <c:manualLayout>
                  <c:x val="0.26073392465286099"/>
                  <c:y val="-0.243284858308636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19437939110068"/>
                      <c:h val="0.120893013373328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174-4E57-ABA6-9DA1669FF7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12'!$A$28:$A$41</c:f>
              <c:strCache>
                <c:ptCount val="14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Produse medicinale şi farmaceutice</c:v>
                </c:pt>
                <c:pt idx="5">
                  <c:v>Fire, tesături, articole textile </c:v>
                </c:pt>
                <c:pt idx="6">
                  <c:v>Legume şi fructe</c:v>
                </c:pt>
                <c:pt idx="7">
                  <c:v>Îngrăşăminte minerale sau chimice</c:v>
                </c:pt>
                <c:pt idx="8">
                  <c:v>Maşini şi aparate industriale </c:v>
                </c:pt>
                <c:pt idx="9">
                  <c:v>Maşini şi aparate specializate </c:v>
                </c:pt>
                <c:pt idx="10">
                  <c:v>Aparate şi echipamente de telecomunicaţii </c:v>
                </c:pt>
                <c:pt idx="11">
                  <c:v>Îmbrăcăminte şi accesorii</c:v>
                </c:pt>
                <c:pt idx="12">
                  <c:v>Cereale şi preparate pe bază de cereale</c:v>
                </c:pt>
                <c:pt idx="13">
                  <c:v>Alte mărfuri</c:v>
                </c:pt>
              </c:strCache>
            </c:strRef>
          </c:cat>
          <c:val>
            <c:numRef>
              <c:f>'Figura 12'!$B$28:$B$41</c:f>
              <c:numCache>
                <c:formatCode>0.0</c:formatCode>
                <c:ptCount val="14"/>
                <c:pt idx="0">
                  <c:v>11.4</c:v>
                </c:pt>
                <c:pt idx="1">
                  <c:v>13.3</c:v>
                </c:pt>
                <c:pt idx="2">
                  <c:v>6</c:v>
                </c:pt>
                <c:pt idx="3">
                  <c:v>5.2</c:v>
                </c:pt>
                <c:pt idx="4">
                  <c:v>3.8</c:v>
                </c:pt>
                <c:pt idx="5">
                  <c:v>3.8</c:v>
                </c:pt>
                <c:pt idx="6">
                  <c:v>2.7</c:v>
                </c:pt>
                <c:pt idx="7">
                  <c:v>2.4</c:v>
                </c:pt>
                <c:pt idx="8">
                  <c:v>2.6</c:v>
                </c:pt>
                <c:pt idx="9">
                  <c:v>3.5</c:v>
                </c:pt>
                <c:pt idx="10">
                  <c:v>1.9</c:v>
                </c:pt>
                <c:pt idx="11">
                  <c:v>2.1</c:v>
                </c:pt>
                <c:pt idx="12">
                  <c:v>2.1</c:v>
                </c:pt>
                <c:pt idx="13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aprilie </a:t>
            </a: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536135760807676"/>
          <c:y val="1.2968496240022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1">
                      <a:shade val="3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3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3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0.18853754391812141"/>
                  <c:y val="-1.32332725271511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04629976808454"/>
                      <c:h val="0.156387062988083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0.12345692899498674"/>
                  <c:y val="-0.2253951247296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5116582649386"/>
                      <c:h val="0.17831589123731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3.5273229735171989E-2"/>
                  <c:y val="-0.275681067725771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02794095182542"/>
                      <c:h val="0.167022113438166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6.488800011109723E-2"/>
                  <c:y val="-0.270626919435657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3956588759739"/>
                      <c:h val="0.125543408806214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0.11229151911566597"/>
                  <c:y val="-0.214185851402005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765251565776"/>
                      <c:h val="0.164538859061010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0.1191095557499757"/>
                  <c:y val="-8.2240746299674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0.1093424433056979"/>
                  <c:y val="-3.5190769775478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12117929703231"/>
                      <c:h val="0.15939887495277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4.906803316252135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1.8634198502964876E-2"/>
                  <c:y val="-3.73780989986222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07263494237131"/>
                      <c:h val="0.15939887495277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6.9351886569734358E-2"/>
                  <c:y val="-5.5200314036991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12181810607009"/>
                      <c:h val="0.204326629259319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0806329764335011"/>
                  <c:y val="-0.220091902001985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9671429960144"/>
                      <c:h val="0.199089908482847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8.6708466997180905E-2"/>
                  <c:y val="-0.381478282956565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08157313669121"/>
                      <c:h val="0.193575480484294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1.8039689483259038E-2"/>
                  <c:y val="-0.513866816114177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74315710536182"/>
                      <c:h val="0.19458963523987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17484786623894238"/>
                  <c:y val="-0.193590566575072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12'!$A$44:$A$57</c:f>
              <c:strCache>
                <c:ptCount val="14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Produse medicinale şi farmaceutice</c:v>
                </c:pt>
                <c:pt idx="5">
                  <c:v>Fire, tesături, articole textile </c:v>
                </c:pt>
                <c:pt idx="6">
                  <c:v>Legume şi fructe</c:v>
                </c:pt>
                <c:pt idx="7">
                  <c:v>Îngrăşăminte minerale sau chimice</c:v>
                </c:pt>
                <c:pt idx="8">
                  <c:v>Maşini şi aparate industriale </c:v>
                </c:pt>
                <c:pt idx="9">
                  <c:v>Maşini şi aparate specializate </c:v>
                </c:pt>
                <c:pt idx="10">
                  <c:v>Aparate şi echipamente de telecomunicaţii </c:v>
                </c:pt>
                <c:pt idx="11">
                  <c:v>Îmbrăcăminte şi accesorii</c:v>
                </c:pt>
                <c:pt idx="12">
                  <c:v>Cereale şi preparate pe bază de cereale</c:v>
                </c:pt>
                <c:pt idx="13">
                  <c:v>Alte mărfuri</c:v>
                </c:pt>
              </c:strCache>
            </c:strRef>
          </c:cat>
          <c:val>
            <c:numRef>
              <c:f>'Figura 12'!$B$44:$B$57</c:f>
              <c:numCache>
                <c:formatCode>0.0</c:formatCode>
                <c:ptCount val="14"/>
                <c:pt idx="0">
                  <c:v>16.5</c:v>
                </c:pt>
                <c:pt idx="1">
                  <c:v>10.3</c:v>
                </c:pt>
                <c:pt idx="2">
                  <c:v>6.8</c:v>
                </c:pt>
                <c:pt idx="3">
                  <c:v>6</c:v>
                </c:pt>
                <c:pt idx="4">
                  <c:v>3.4</c:v>
                </c:pt>
                <c:pt idx="5">
                  <c:v>3.3</c:v>
                </c:pt>
                <c:pt idx="6">
                  <c:v>2.9</c:v>
                </c:pt>
                <c:pt idx="7">
                  <c:v>2.6</c:v>
                </c:pt>
                <c:pt idx="8">
                  <c:v>2.4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</c:v>
                </c:pt>
                <c:pt idx="13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9016032"/>
        <c:axId val="249016592"/>
      </c:barChart>
      <c:catAx>
        <c:axId val="2490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016592"/>
        <c:scaling>
          <c:orientation val="minMax"/>
          <c:min val="-5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0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7522988197903835E-3"/>
                  <c:y val="5.3499409412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9.9610405842126878E-3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7.1656757191066065E-3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8.6920563500991616E-3"/>
                  <c:y val="1.1468128020747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210955773385473E-2"/>
                      <c:h val="3.78645623292684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8.587926509186352E-3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14'!$B$28:$B$33</c:f>
              <c:numCache>
                <c:formatCode>0.0</c:formatCode>
                <c:ptCount val="6"/>
                <c:pt idx="0">
                  <c:v>877.6</c:v>
                </c:pt>
                <c:pt idx="1">
                  <c:v>948.5</c:v>
                </c:pt>
                <c:pt idx="2">
                  <c:v>824.9</c:v>
                </c:pt>
                <c:pt idx="3">
                  <c:v>903</c:v>
                </c:pt>
                <c:pt idx="4">
                  <c:v>1459</c:v>
                </c:pt>
                <c:pt idx="5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14'!$C$28:$C$33</c:f>
              <c:numCache>
                <c:formatCode>0.0</c:formatCode>
                <c:ptCount val="6"/>
                <c:pt idx="0">
                  <c:v>1770.6</c:v>
                </c:pt>
                <c:pt idx="1">
                  <c:v>1881.2</c:v>
                </c:pt>
                <c:pt idx="2">
                  <c:v>1650.7</c:v>
                </c:pt>
                <c:pt idx="3">
                  <c:v>2113.1</c:v>
                </c:pt>
                <c:pt idx="4">
                  <c:v>2809.5</c:v>
                </c:pt>
                <c:pt idx="5">
                  <c:v>2997.5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48762544"/>
        <c:axId val="248763104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0007677611727E-2"/>
                  <c:y val="3.0116301411005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490300822299E-2"/>
                  <c:y val="-3.1530406372926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1598651691381217E-2"/>
                  <c:y val="3.1556374814165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9693871373269594E-2"/>
                  <c:y val="-3.5311859082614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7191636759690755E-2"/>
                  <c:y val="3.613476563813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2.4261253057653509E-3"/>
                  <c:y val="-6.4796458639727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14'!$D$28:$D$33</c:f>
              <c:numCache>
                <c:formatCode>0.0</c:formatCode>
                <c:ptCount val="6"/>
                <c:pt idx="0">
                  <c:v>-893</c:v>
                </c:pt>
                <c:pt idx="1">
                  <c:v>-932.7</c:v>
                </c:pt>
                <c:pt idx="2">
                  <c:v>-825.8</c:v>
                </c:pt>
                <c:pt idx="3">
                  <c:v>-1210.0999999999999</c:v>
                </c:pt>
                <c:pt idx="4">
                  <c:v>-1350.5</c:v>
                </c:pt>
                <c:pt idx="5">
                  <c:v>-1608.5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62544"/>
        <c:axId val="248763104"/>
      </c:lineChart>
      <c:catAx>
        <c:axId val="24876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3104"/>
        <c:crosses val="autoZero"/>
        <c:auto val="1"/>
        <c:lblAlgn val="ctr"/>
        <c:lblOffset val="100"/>
        <c:noMultiLvlLbl val="0"/>
      </c:catAx>
      <c:valAx>
        <c:axId val="24876310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2544"/>
        <c:crosses val="autoZero"/>
        <c:crossBetween val="between"/>
        <c:majorUnit val="5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443222211951362E-2"/>
                  <c:y val="-2.8264641306757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A467-4F44-B57D-57C60A5D0C66}"/>
                </c:ext>
              </c:extLst>
            </c:dLbl>
            <c:dLbl>
              <c:idx val="1"/>
              <c:layout>
                <c:manualLayout>
                  <c:x val="-3.6457225130743419E-2"/>
                  <c:y val="-2.530469794817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7-4F44-B57D-57C60A5D0C66}"/>
                </c:ext>
              </c:extLst>
            </c:dLbl>
            <c:dLbl>
              <c:idx val="2"/>
              <c:layout>
                <c:manualLayout>
                  <c:x val="-6.885436012067302E-3"/>
                  <c:y val="1.49899518690947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7-4F44-B57D-57C60A5D0C66}"/>
                </c:ext>
              </c:extLst>
            </c:dLbl>
            <c:dLbl>
              <c:idx val="3"/>
              <c:layout>
                <c:manualLayout>
                  <c:x val="-1.6988125870039585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7-4F44-B57D-57C60A5D0C66}"/>
                </c:ext>
              </c:extLst>
            </c:dLbl>
            <c:dLbl>
              <c:idx val="4"/>
              <c:layout>
                <c:manualLayout>
                  <c:x val="-1.0186544651580191E-2"/>
                  <c:y val="2.181438491850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7-4F44-B57D-57C60A5D0C66}"/>
                </c:ext>
              </c:extLst>
            </c:dLbl>
            <c:dLbl>
              <c:idx val="5"/>
              <c:layout>
                <c:manualLayout>
                  <c:x val="-2.1906626666330531E-2"/>
                  <c:y val="2.896665164810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7-4F44-B57D-57C60A5D0C66}"/>
                </c:ext>
              </c:extLst>
            </c:dLbl>
            <c:dLbl>
              <c:idx val="6"/>
              <c:layout>
                <c:manualLayout>
                  <c:x val="-1.8928999102650092E-2"/>
                  <c:y val="-2.768249336680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7-4F44-B57D-57C60A5D0C66}"/>
                </c:ext>
              </c:extLst>
            </c:dLbl>
            <c:dLbl>
              <c:idx val="7"/>
              <c:layout>
                <c:manualLayout>
                  <c:x val="-7.2465445903276667E-3"/>
                  <c:y val="1.248170954107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7-4F44-B57D-57C60A5D0C66}"/>
                </c:ext>
              </c:extLst>
            </c:dLbl>
            <c:dLbl>
              <c:idx val="8"/>
              <c:layout>
                <c:manualLayout>
                  <c:x val="-4.4687657916739405E-2"/>
                  <c:y val="-2.0645511954057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7-4F44-B57D-57C60A5D0C66}"/>
                </c:ext>
              </c:extLst>
            </c:dLbl>
            <c:dLbl>
              <c:idx val="9"/>
              <c:layout>
                <c:manualLayout>
                  <c:x val="-3.498856108564026E-2"/>
                  <c:y val="2.612142147081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7-4F44-B57D-57C60A5D0C66}"/>
                </c:ext>
              </c:extLst>
            </c:dLbl>
            <c:dLbl>
              <c:idx val="10"/>
              <c:layout>
                <c:manualLayout>
                  <c:x val="-1.7704798639764478E-2"/>
                  <c:y val="-1.7988228310698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1.8774622174355458E-2"/>
                  <c:y val="2.73735227541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2.23417783354493E-2"/>
                  <c:y val="-2.500770736991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1.4220270307518445E-2"/>
                  <c:y val="3.155871183676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2.6059378650240862E-2"/>
                  <c:y val="-2.523632774785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0977544576017353E-2"/>
                  <c:y val="2.780289083582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2.3586567703530924E-2"/>
                  <c:y val="-2.8763626768876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9.8505131432666607E-3"/>
                  <c:y val="-2.442160669970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9806465598779351E-2"/>
                  <c:y val="2.826007860128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3958691277942649E-2"/>
                  <c:y val="-2.674705171390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2.3712580217761039E-2"/>
                  <c:y val="2.9805545423988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592084697278002E-2"/>
                      <c:h val="4.2169824139829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0179531234208441E-2"/>
                  <c:y val="-2.3376887153411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01612338479032E-2"/>
                      <c:h val="3.70391984380699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134608611496605E-2"/>
                  <c:y val="-2.760210831956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067285929982217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1.788660314776883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2.9111202231278933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2.0570176530156473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5-47A2-BA65-A68496B03D77}"/>
                </c:ext>
              </c:extLst>
            </c:dLbl>
            <c:dLbl>
              <c:idx val="27"/>
              <c:layout>
                <c:manualLayout>
                  <c:x val="-3.5531227490960516E-4"/>
                  <c:y val="-2.033598661202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48-4289-A3E3-B060B2DBC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2'!$B$25:$AC$25</c:f>
              <c:numCache>
                <c:formatCode>#,##0.0</c:formatCode>
                <c:ptCount val="28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 formatCode="0.0">
                  <c:v>110.41268252711565</c:v>
                </c:pt>
                <c:pt idx="22" formatCode="0.0">
                  <c:v>101.07685140675132</c:v>
                </c:pt>
                <c:pt idx="23" formatCode="0.0">
                  <c:v>98.231011775552389</c:v>
                </c:pt>
                <c:pt idx="24" formatCode="0.0">
                  <c:v>94.738709353020752</c:v>
                </c:pt>
                <c:pt idx="25" formatCode="0.0">
                  <c:v>107.53426152887265</c:v>
                </c:pt>
                <c:pt idx="26" formatCode="0.0">
                  <c:v>108.12127054761088</c:v>
                </c:pt>
                <c:pt idx="27" formatCode="0.0">
                  <c:v>82.324999768246713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418201695077237E-2"/>
                  <c:y val="2.75698495434549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A467-4F44-B57D-57C60A5D0C66}"/>
                </c:ext>
              </c:extLst>
            </c:dLbl>
            <c:dLbl>
              <c:idx val="1"/>
              <c:layout>
                <c:manualLayout>
                  <c:x val="-1.2682096184884722E-2"/>
                  <c:y val="2.4119519120055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67-4F44-B57D-57C60A5D0C66}"/>
                </c:ext>
              </c:extLst>
            </c:dLbl>
            <c:dLbl>
              <c:idx val="2"/>
              <c:layout>
                <c:manualLayout>
                  <c:x val="-4.0328182029540839E-2"/>
                  <c:y val="-2.399593783747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67-4F44-B57D-57C60A5D0C66}"/>
                </c:ext>
              </c:extLst>
            </c:dLbl>
            <c:dLbl>
              <c:idx val="3"/>
              <c:layout>
                <c:manualLayout>
                  <c:x val="-2.1732731647604933E-2"/>
                  <c:y val="-2.5019488367768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67-4F44-B57D-57C60A5D0C66}"/>
                </c:ext>
              </c:extLst>
            </c:dLbl>
            <c:dLbl>
              <c:idx val="4"/>
              <c:layout>
                <c:manualLayout>
                  <c:x val="-1.6865015672400608E-2"/>
                  <c:y val="-2.6931565434429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67-4F44-B57D-57C60A5D0C66}"/>
                </c:ext>
              </c:extLst>
            </c:dLbl>
            <c:dLbl>
              <c:idx val="5"/>
              <c:layout>
                <c:manualLayout>
                  <c:x val="-2.2986613254440045E-2"/>
                  <c:y val="-2.982542713495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67-4F44-B57D-57C60A5D0C66}"/>
                </c:ext>
              </c:extLst>
            </c:dLbl>
            <c:dLbl>
              <c:idx val="6"/>
              <c:layout>
                <c:manualLayout>
                  <c:x val="-2.9936572980886141E-2"/>
                  <c:y val="-3.3102333597946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67-4F44-B57D-57C60A5D0C66}"/>
                </c:ext>
              </c:extLst>
            </c:dLbl>
            <c:dLbl>
              <c:idx val="7"/>
              <c:layout>
                <c:manualLayout>
                  <c:x val="-2.5682853211020699E-2"/>
                  <c:y val="-2.862614395422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67-4F44-B57D-57C60A5D0C66}"/>
                </c:ext>
              </c:extLst>
            </c:dLbl>
            <c:dLbl>
              <c:idx val="8"/>
              <c:layout>
                <c:manualLayout>
                  <c:x val="-2.2505251020697559E-2"/>
                  <c:y val="-2.9384382507742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A467-4F44-B57D-57C60A5D0C66}"/>
                </c:ext>
              </c:extLst>
            </c:dLbl>
            <c:dLbl>
              <c:idx val="9"/>
              <c:layout>
                <c:manualLayout>
                  <c:x val="-2.0040392496295488E-2"/>
                  <c:y val="-2.75368848648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67-4F44-B57D-57C60A5D0C66}"/>
                </c:ext>
              </c:extLst>
            </c:dLbl>
            <c:dLbl>
              <c:idx val="10"/>
              <c:layout>
                <c:manualLayout>
                  <c:x val="-3.0093992043293306E-2"/>
                  <c:y val="3.0410864854427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8975214154240054E-2"/>
                      <c:h val="4.43785534982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3.6944477622910907E-2"/>
                  <c:y val="-3.5240404213778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9082589880465699E-2"/>
                  <c:y val="-2.452974032196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2.4691761837821614E-2"/>
                  <c:y val="3.1101575518318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9.7441715196486239E-3"/>
                  <c:y val="1.925121757600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4.7228168824287861E-2"/>
                  <c:y val="-2.149742181409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2.9013497000156308E-2"/>
                  <c:y val="-2.853526143019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6.6476749104334206E-3"/>
                  <c:y val="-9.8784927088473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7839499934153503E-2"/>
                  <c:y val="3.13132656783024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6284534603932247E-2"/>
                      <c:h val="5.3560185085856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7.3126664929956354E-3"/>
                  <c:y val="-6.47514428543843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1.8060560399611774E-2"/>
                  <c:y val="-2.737039341471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2.5880612648039879E-2"/>
                  <c:y val="2.99557310104629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9778112005662211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222867415785407E-2"/>
                  <c:y val="3.415992619451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4134608611496376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5058174612654281E-2"/>
                  <c:y val="-3.12351691733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2.4907982456924466E-2"/>
                  <c:y val="2.689380448697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2.551845267967795E-2"/>
                  <c:y val="3.052700837463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D45-47A2-BA65-A68496B03D77}"/>
                </c:ext>
              </c:extLst>
            </c:dLbl>
            <c:dLbl>
              <c:idx val="27"/>
              <c:layout>
                <c:manualLayout>
                  <c:x val="-1.1095625515118342E-2"/>
                  <c:y val="2.6893947520865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4.43053201456084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748-4289-A3E3-B060B2DBC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2'!$B$26:$AC$26</c:f>
              <c:numCache>
                <c:formatCode>#,##0.0</c:formatCode>
                <c:ptCount val="28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 formatCode="0.0">
                  <c:v>148.19932435921535</c:v>
                </c:pt>
                <c:pt idx="14" formatCode="0.0">
                  <c:v>152.66039185472528</c:v>
                </c:pt>
                <c:pt idx="15" formatCode="0.0">
                  <c:v>181.61058088529293</c:v>
                </c:pt>
                <c:pt idx="16" formatCode="0.0">
                  <c:v>206.23310011413275</c:v>
                </c:pt>
                <c:pt idx="17" formatCode="0.0">
                  <c:v>183.60436215205132</c:v>
                </c:pt>
                <c:pt idx="18" formatCode="0.0">
                  <c:v>140.50476839414773</c:v>
                </c:pt>
                <c:pt idx="19" formatCode="0.0">
                  <c:v>139.40559010693906</c:v>
                </c:pt>
                <c:pt idx="20" formatCode="0.0">
                  <c:v>108.10328031438013</c:v>
                </c:pt>
                <c:pt idx="21">
                  <c:v>99.926501964829413</c:v>
                </c:pt>
                <c:pt idx="22">
                  <c:v>97.777746747100537</c:v>
                </c:pt>
                <c:pt idx="23">
                  <c:v>107.54360528556772</c:v>
                </c:pt>
                <c:pt idx="24" formatCode="0.0">
                  <c:v>100.22420542342689</c:v>
                </c:pt>
                <c:pt idx="25" formatCode="0.0">
                  <c:v>105.8191402559811</c:v>
                </c:pt>
                <c:pt idx="26" formatCode="0.0">
                  <c:v>97.253907562166816</c:v>
                </c:pt>
                <c:pt idx="27" formatCode="0.0">
                  <c:v>79.961390333440789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8464"/>
        <c:axId val="244839024"/>
      </c:lineChart>
      <c:catAx>
        <c:axId val="244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9024"/>
        <c:crossesAt val="30"/>
        <c:auto val="0"/>
        <c:lblAlgn val="ctr"/>
        <c:lblOffset val="100"/>
        <c:noMultiLvlLbl val="0"/>
      </c:catAx>
      <c:valAx>
        <c:axId val="244839024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846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Ianuarie-aprilie 2023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3'!$B$24:$B$30</c:f>
              <c:numCache>
                <c:formatCode>0.0</c:formatCode>
                <c:ptCount val="7"/>
                <c:pt idx="0">
                  <c:v>15</c:v>
                </c:pt>
                <c:pt idx="1">
                  <c:v>2.9</c:v>
                </c:pt>
                <c:pt idx="2">
                  <c:v>79.900000000000006</c:v>
                </c:pt>
                <c:pt idx="3">
                  <c:v>1.2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Ianuarie-aprilie 2022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3'!$C$24:$C$30</c:f>
              <c:numCache>
                <c:formatCode>0.0</c:formatCode>
                <c:ptCount val="7"/>
                <c:pt idx="0">
                  <c:v>15.4</c:v>
                </c:pt>
                <c:pt idx="1">
                  <c:v>9.6</c:v>
                </c:pt>
                <c:pt idx="2">
                  <c:v>74.3</c:v>
                </c:pt>
                <c:pt idx="3">
                  <c:v>0.7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Ianuarie-aprilie 2021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3'!$D$24:$D$30</c:f>
              <c:numCache>
                <c:formatCode>0.0</c:formatCode>
                <c:ptCount val="7"/>
                <c:pt idx="0">
                  <c:v>4.9000000000000004</c:v>
                </c:pt>
                <c:pt idx="1">
                  <c:v>0.8</c:v>
                </c:pt>
                <c:pt idx="2">
                  <c:v>93.1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Ianuarie-aprilie 2020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3'!$E$24:$E$30</c:f>
              <c:numCache>
                <c:formatCode>0.0</c:formatCode>
                <c:ptCount val="7"/>
                <c:pt idx="0">
                  <c:v>10</c:v>
                </c:pt>
                <c:pt idx="1">
                  <c:v>5.0999999999999996</c:v>
                </c:pt>
                <c:pt idx="2">
                  <c:v>83.6</c:v>
                </c:pt>
                <c:pt idx="3">
                  <c:v>1.3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Ianuarie-aprilie 2019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3'!$F$24:$F$30</c:f>
              <c:numCache>
                <c:formatCode>0.0</c:formatCode>
                <c:ptCount val="7"/>
                <c:pt idx="0">
                  <c:v>7.6</c:v>
                </c:pt>
                <c:pt idx="1">
                  <c:v>5.0999999999999996</c:v>
                </c:pt>
                <c:pt idx="2">
                  <c:v>85.7</c:v>
                </c:pt>
                <c:pt idx="3">
                  <c:v>1.5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Ianuarie-aprilie 2018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3'!$G$24:$G$30</c:f>
              <c:numCache>
                <c:formatCode>0.0</c:formatCode>
                <c:ptCount val="7"/>
                <c:pt idx="0">
                  <c:v>7.7</c:v>
                </c:pt>
                <c:pt idx="1">
                  <c:v>3.4</c:v>
                </c:pt>
                <c:pt idx="2">
                  <c:v>87.1</c:v>
                </c:pt>
                <c:pt idx="3">
                  <c:v>1.7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861504"/>
        <c:axId val="245862064"/>
      </c:barChart>
      <c:catAx>
        <c:axId val="2458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2064"/>
        <c:crossesAt val="0"/>
        <c:auto val="1"/>
        <c:lblAlgn val="ctr"/>
        <c:lblOffset val="100"/>
        <c:noMultiLvlLbl val="0"/>
      </c:catAx>
      <c:valAx>
        <c:axId val="245862064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150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65200764527429"/>
          <c:y val="0.90657774010543302"/>
          <c:w val="0.84434799235472568"/>
          <c:h val="6.698222212308446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4'!$B$22:$G$22</c:f>
              <c:numCache>
                <c:formatCode>0.0</c:formatCode>
                <c:ptCount val="6"/>
                <c:pt idx="0">
                  <c:v>64.2</c:v>
                </c:pt>
                <c:pt idx="1">
                  <c:v>61.7</c:v>
                </c:pt>
                <c:pt idx="2">
                  <c:v>64.2</c:v>
                </c:pt>
                <c:pt idx="3">
                  <c:v>64.400000000000006</c:v>
                </c:pt>
                <c:pt idx="4">
                  <c:v>66.599999999999994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4'!$B$23:$G$23</c:f>
              <c:numCache>
                <c:formatCode>0.0</c:formatCode>
                <c:ptCount val="6"/>
                <c:pt idx="0">
                  <c:v>16.3</c:v>
                </c:pt>
                <c:pt idx="1">
                  <c:v>14.7</c:v>
                </c:pt>
                <c:pt idx="2">
                  <c:v>15.6</c:v>
                </c:pt>
                <c:pt idx="3">
                  <c:v>16</c:v>
                </c:pt>
                <c:pt idx="4">
                  <c:v>12.2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Ianuarie-aprilie 2018</c:v>
                </c:pt>
                <c:pt idx="1">
                  <c:v>Ianuarie-aprilie 2019</c:v>
                </c:pt>
                <c:pt idx="2">
                  <c:v>Ianuarie-aprilie 2020</c:v>
                </c:pt>
                <c:pt idx="3">
                  <c:v>Ianuarie-aprilie 2021</c:v>
                </c:pt>
                <c:pt idx="4">
                  <c:v>Ianuarie-aprilie 2022</c:v>
                </c:pt>
                <c:pt idx="5">
                  <c:v>Ianuarie-aprilie 2023</c:v>
                </c:pt>
              </c:strCache>
            </c:strRef>
          </c:cat>
          <c:val>
            <c:numRef>
              <c:f>'Figura 4'!$B$24:$G$24</c:f>
              <c:numCache>
                <c:formatCode>0.0</c:formatCode>
                <c:ptCount val="6"/>
                <c:pt idx="0">
                  <c:v>19.5</c:v>
                </c:pt>
                <c:pt idx="1">
                  <c:v>23.6</c:v>
                </c:pt>
                <c:pt idx="2">
                  <c:v>20.2</c:v>
                </c:pt>
                <c:pt idx="3">
                  <c:v>19.600000000000001</c:v>
                </c:pt>
                <c:pt idx="4">
                  <c:v>21.2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5984"/>
        <c:axId val="245866544"/>
      </c:barChart>
      <c:catAx>
        <c:axId val="245865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6544"/>
        <c:crosses val="autoZero"/>
        <c:auto val="1"/>
        <c:lblAlgn val="ctr"/>
        <c:lblOffset val="100"/>
        <c:noMultiLvlLbl val="0"/>
      </c:catAx>
      <c:valAx>
        <c:axId val="245866544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5984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5'!$B$25</c:f>
              <c:strCache>
                <c:ptCount val="1"/>
                <c:pt idx="0">
                  <c:v>Ianuarie-aprilie 2018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Cipru</c:v>
                </c:pt>
                <c:pt idx="11">
                  <c:v>S.U.A.</c:v>
                </c:pt>
                <c:pt idx="12">
                  <c:v>Liban</c:v>
                </c:pt>
                <c:pt idx="13">
                  <c:v>Franța</c:v>
                </c:pt>
                <c:pt idx="14">
                  <c:v>Bulgaria</c:v>
                </c:pt>
                <c:pt idx="15">
                  <c:v>Ungaria</c:v>
                </c:pt>
                <c:pt idx="16">
                  <c:v>Kazahstan</c:v>
                </c:pt>
                <c:pt idx="17">
                  <c:v>Regatul Unit</c:v>
                </c:pt>
                <c:pt idx="18">
                  <c:v>Elveția</c:v>
                </c:pt>
                <c:pt idx="19">
                  <c:v>Grecia</c:v>
                </c:pt>
                <c:pt idx="20">
                  <c:v>Netherlands</c:v>
                </c:pt>
                <c:pt idx="21">
                  <c:v>Lituania</c:v>
                </c:pt>
                <c:pt idx="22">
                  <c:v>Emiratele Arabe Unite</c:v>
                </c:pt>
              </c:strCache>
            </c:strRef>
          </c:cat>
          <c:val>
            <c:numRef>
              <c:f>'Figura 5'!$B$26:$B$48</c:f>
              <c:numCache>
                <c:formatCode>#,##0.0</c:formatCode>
                <c:ptCount val="23"/>
                <c:pt idx="0">
                  <c:v>25.137816476393294</c:v>
                </c:pt>
                <c:pt idx="1">
                  <c:v>2.8174615027892669</c:v>
                </c:pt>
                <c:pt idx="2">
                  <c:v>11.840569287208211</c:v>
                </c:pt>
                <c:pt idx="3">
                  <c:v>8.8324343873143558</c:v>
                </c:pt>
                <c:pt idx="4">
                  <c:v>8.468804088258727</c:v>
                </c:pt>
                <c:pt idx="5">
                  <c:v>4.3285795182523739</c:v>
                </c:pt>
                <c:pt idx="6">
                  <c:v>1.5207454571574266</c:v>
                </c:pt>
                <c:pt idx="7">
                  <c:v>3.3814275349234051</c:v>
                </c:pt>
                <c:pt idx="8">
                  <c:v>4.0174742958787464</c:v>
                </c:pt>
                <c:pt idx="9">
                  <c:v>1.3794570298532809</c:v>
                </c:pt>
                <c:pt idx="10">
                  <c:v>0.15024839526659889</c:v>
                </c:pt>
                <c:pt idx="11">
                  <c:v>0.74420020360557271</c:v>
                </c:pt>
                <c:pt idx="12">
                  <c:v>0.47422746701006924</c:v>
                </c:pt>
                <c:pt idx="13">
                  <c:v>1.9365805085356447</c:v>
                </c:pt>
                <c:pt idx="14">
                  <c:v>2.1160425450851084</c:v>
                </c:pt>
                <c:pt idx="15">
                  <c:v>0.3014380929226711</c:v>
                </c:pt>
                <c:pt idx="16">
                  <c:v>0.5390887807416006</c:v>
                </c:pt>
                <c:pt idx="17">
                  <c:v>3.5657198535724035</c:v>
                </c:pt>
                <c:pt idx="18">
                  <c:v>2.1160425450851084</c:v>
                </c:pt>
                <c:pt idx="19">
                  <c:v>1.4714392418945057</c:v>
                </c:pt>
                <c:pt idx="20">
                  <c:v>1.4670929517137143</c:v>
                </c:pt>
                <c:pt idx="21">
                  <c:v>0.39257716004051302</c:v>
                </c:pt>
                <c:pt idx="22">
                  <c:v>0.8281365444994826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5'!$C$25</c:f>
              <c:strCache>
                <c:ptCount val="1"/>
                <c:pt idx="0">
                  <c:v>Ianuarie-aprilie 2019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Cipru</c:v>
                </c:pt>
                <c:pt idx="11">
                  <c:v>S.U.A.</c:v>
                </c:pt>
                <c:pt idx="12">
                  <c:v>Liban</c:v>
                </c:pt>
                <c:pt idx="13">
                  <c:v>Franța</c:v>
                </c:pt>
                <c:pt idx="14">
                  <c:v>Bulgaria</c:v>
                </c:pt>
                <c:pt idx="15">
                  <c:v>Ungaria</c:v>
                </c:pt>
                <c:pt idx="16">
                  <c:v>Kazahstan</c:v>
                </c:pt>
                <c:pt idx="17">
                  <c:v>Regatul Unit</c:v>
                </c:pt>
                <c:pt idx="18">
                  <c:v>Elveția</c:v>
                </c:pt>
                <c:pt idx="19">
                  <c:v>Grecia</c:v>
                </c:pt>
                <c:pt idx="20">
                  <c:v>Netherlands</c:v>
                </c:pt>
                <c:pt idx="21">
                  <c:v>Lituania</c:v>
                </c:pt>
                <c:pt idx="22">
                  <c:v>Emiratele Arabe Unite</c:v>
                </c:pt>
              </c:strCache>
            </c:strRef>
          </c:cat>
          <c:val>
            <c:numRef>
              <c:f>'Figura 5'!$C$26:$C$48</c:f>
              <c:numCache>
                <c:formatCode>#,##0.0</c:formatCode>
                <c:ptCount val="23"/>
                <c:pt idx="0">
                  <c:v>27.217374827710799</c:v>
                </c:pt>
                <c:pt idx="1">
                  <c:v>2.4609946512425678</c:v>
                </c:pt>
                <c:pt idx="2">
                  <c:v>10.377086890544167</c:v>
                </c:pt>
                <c:pt idx="3">
                  <c:v>8.7926847870017291</c:v>
                </c:pt>
                <c:pt idx="4">
                  <c:v>8.5007578460067723</c:v>
                </c:pt>
                <c:pt idx="5">
                  <c:v>10.09627876279756</c:v>
                </c:pt>
                <c:pt idx="6">
                  <c:v>1.6979195983577597</c:v>
                </c:pt>
                <c:pt idx="7">
                  <c:v>3.6188681507954228</c:v>
                </c:pt>
                <c:pt idx="8">
                  <c:v>3.0820846888814977</c:v>
                </c:pt>
                <c:pt idx="9">
                  <c:v>1.2542241585886027</c:v>
                </c:pt>
                <c:pt idx="10">
                  <c:v>0.45262226501485242</c:v>
                </c:pt>
                <c:pt idx="11">
                  <c:v>0.75114996687757474</c:v>
                </c:pt>
                <c:pt idx="12">
                  <c:v>0.29492483273991582</c:v>
                </c:pt>
                <c:pt idx="13">
                  <c:v>1.367900717473286</c:v>
                </c:pt>
                <c:pt idx="14">
                  <c:v>1.4586073037752261</c:v>
                </c:pt>
                <c:pt idx="15">
                  <c:v>0.24984248948516585</c:v>
                </c:pt>
                <c:pt idx="16">
                  <c:v>0.26842756562981634</c:v>
                </c:pt>
                <c:pt idx="17">
                  <c:v>1.7678691064503311</c:v>
                </c:pt>
                <c:pt idx="18">
                  <c:v>2.9305426355497151</c:v>
                </c:pt>
                <c:pt idx="19">
                  <c:v>0.91232337296267774</c:v>
                </c:pt>
                <c:pt idx="20">
                  <c:v>1.4454518975144497</c:v>
                </c:pt>
                <c:pt idx="21">
                  <c:v>0.30983091585877259</c:v>
                </c:pt>
                <c:pt idx="22">
                  <c:v>0.10935855671776161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5'!$D$25</c:f>
              <c:strCache>
                <c:ptCount val="1"/>
                <c:pt idx="0">
                  <c:v>Ianuarie-aprilie 2020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Cipru</c:v>
                </c:pt>
                <c:pt idx="11">
                  <c:v>S.U.A.</c:v>
                </c:pt>
                <c:pt idx="12">
                  <c:v>Liban</c:v>
                </c:pt>
                <c:pt idx="13">
                  <c:v>Franța</c:v>
                </c:pt>
                <c:pt idx="14">
                  <c:v>Bulgaria</c:v>
                </c:pt>
                <c:pt idx="15">
                  <c:v>Ungaria</c:v>
                </c:pt>
                <c:pt idx="16">
                  <c:v>Kazahstan</c:v>
                </c:pt>
                <c:pt idx="17">
                  <c:v>Regatul Unit</c:v>
                </c:pt>
                <c:pt idx="18">
                  <c:v>Elveția</c:v>
                </c:pt>
                <c:pt idx="19">
                  <c:v>Grecia</c:v>
                </c:pt>
                <c:pt idx="20">
                  <c:v>Netherlands</c:v>
                </c:pt>
                <c:pt idx="21">
                  <c:v>Lituania</c:v>
                </c:pt>
                <c:pt idx="22">
                  <c:v>Emiratele Arabe Unite</c:v>
                </c:pt>
              </c:strCache>
            </c:strRef>
          </c:cat>
          <c:val>
            <c:numRef>
              <c:f>'Figura 5'!$D$26:$D$48</c:f>
              <c:numCache>
                <c:formatCode>#,##0.0</c:formatCode>
                <c:ptCount val="23"/>
                <c:pt idx="0">
                  <c:v>24.602727449878913</c:v>
                </c:pt>
                <c:pt idx="1">
                  <c:v>2.4446566204892677</c:v>
                </c:pt>
                <c:pt idx="2">
                  <c:v>8.6601146099271613</c:v>
                </c:pt>
                <c:pt idx="3">
                  <c:v>8.8001398634677486</c:v>
                </c:pt>
                <c:pt idx="4">
                  <c:v>9.4753837456492906</c:v>
                </c:pt>
                <c:pt idx="5">
                  <c:v>6.311288815332408</c:v>
                </c:pt>
                <c:pt idx="6">
                  <c:v>3.299665727813375</c:v>
                </c:pt>
                <c:pt idx="7">
                  <c:v>4.2547787201147793</c:v>
                </c:pt>
                <c:pt idx="8">
                  <c:v>2.9562072383874995</c:v>
                </c:pt>
                <c:pt idx="9">
                  <c:v>2.2491266838342319</c:v>
                </c:pt>
                <c:pt idx="10">
                  <c:v>0.85843332289538277</c:v>
                </c:pt>
                <c:pt idx="11">
                  <c:v>0.94287239852544158</c:v>
                </c:pt>
                <c:pt idx="12">
                  <c:v>0.78787015224996271</c:v>
                </c:pt>
                <c:pt idx="13">
                  <c:v>1.7424626647931558</c:v>
                </c:pt>
                <c:pt idx="14">
                  <c:v>1.8433223029586154</c:v>
                </c:pt>
                <c:pt idx="15">
                  <c:v>0.58823010246197149</c:v>
                </c:pt>
                <c:pt idx="16">
                  <c:v>0.43422051818006629</c:v>
                </c:pt>
                <c:pt idx="17">
                  <c:v>1.5227838818538586</c:v>
                </c:pt>
                <c:pt idx="18">
                  <c:v>3.8555771900858176</c:v>
                </c:pt>
                <c:pt idx="19">
                  <c:v>1.9689431900572978</c:v>
                </c:pt>
                <c:pt idx="20">
                  <c:v>1.5187900476741927</c:v>
                </c:pt>
                <c:pt idx="21">
                  <c:v>0.28123655191981289</c:v>
                </c:pt>
                <c:pt idx="22">
                  <c:v>1.8400192409475404E-2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5'!$E$25</c:f>
              <c:strCache>
                <c:ptCount val="1"/>
                <c:pt idx="0">
                  <c:v>Ianuarie-aprilie 2021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Cipru</c:v>
                </c:pt>
                <c:pt idx="11">
                  <c:v>S.U.A.</c:v>
                </c:pt>
                <c:pt idx="12">
                  <c:v>Liban</c:v>
                </c:pt>
                <c:pt idx="13">
                  <c:v>Franța</c:v>
                </c:pt>
                <c:pt idx="14">
                  <c:v>Bulgaria</c:v>
                </c:pt>
                <c:pt idx="15">
                  <c:v>Ungaria</c:v>
                </c:pt>
                <c:pt idx="16">
                  <c:v>Kazahstan</c:v>
                </c:pt>
                <c:pt idx="17">
                  <c:v>Regatul Unit</c:v>
                </c:pt>
                <c:pt idx="18">
                  <c:v>Elveția</c:v>
                </c:pt>
                <c:pt idx="19">
                  <c:v>Grecia</c:v>
                </c:pt>
                <c:pt idx="20">
                  <c:v>Netherlands</c:v>
                </c:pt>
                <c:pt idx="21">
                  <c:v>Lituania</c:v>
                </c:pt>
                <c:pt idx="22">
                  <c:v>Emiratele Arabe Unite</c:v>
                </c:pt>
              </c:strCache>
            </c:strRef>
          </c:cat>
          <c:val>
            <c:numRef>
              <c:f>'Figura 5'!$E$26:$E$48</c:f>
              <c:numCache>
                <c:formatCode>#,##0.0</c:formatCode>
                <c:ptCount val="23"/>
                <c:pt idx="0">
                  <c:v>27.441211704557023</c:v>
                </c:pt>
                <c:pt idx="1">
                  <c:v>3.0310844811305069</c:v>
                </c:pt>
                <c:pt idx="2">
                  <c:v>6.4233315432532647</c:v>
                </c:pt>
                <c:pt idx="3">
                  <c:v>10.487318383093729</c:v>
                </c:pt>
                <c:pt idx="4">
                  <c:v>9.4958236564301064</c:v>
                </c:pt>
                <c:pt idx="5">
                  <c:v>9.7468488021122131</c:v>
                </c:pt>
                <c:pt idx="6">
                  <c:v>3.0679896429061873</c:v>
                </c:pt>
                <c:pt idx="7">
                  <c:v>4.014870879766578</c:v>
                </c:pt>
                <c:pt idx="8">
                  <c:v>2.5121505480712778</c:v>
                </c:pt>
                <c:pt idx="9">
                  <c:v>1.8230952412112593</c:v>
                </c:pt>
                <c:pt idx="10">
                  <c:v>0.2511873714720369</c:v>
                </c:pt>
                <c:pt idx="11">
                  <c:v>0.82041227616004553</c:v>
                </c:pt>
                <c:pt idx="12">
                  <c:v>1.0222594237398002</c:v>
                </c:pt>
                <c:pt idx="13">
                  <c:v>1.3828619116346763</c:v>
                </c:pt>
                <c:pt idx="14">
                  <c:v>1.4530915744919037</c:v>
                </c:pt>
                <c:pt idx="15">
                  <c:v>1.5732612445019487</c:v>
                </c:pt>
                <c:pt idx="16">
                  <c:v>0.41911559908332413</c:v>
                </c:pt>
                <c:pt idx="17">
                  <c:v>1.6016437676642976</c:v>
                </c:pt>
                <c:pt idx="18">
                  <c:v>1.3690436085720261</c:v>
                </c:pt>
                <c:pt idx="19">
                  <c:v>1.0613871150503822</c:v>
                </c:pt>
                <c:pt idx="20">
                  <c:v>1.4593744409408582</c:v>
                </c:pt>
                <c:pt idx="21">
                  <c:v>0.30421622459799763</c:v>
                </c:pt>
                <c:pt idx="22">
                  <c:v>3.1701907632027369E-2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5'!$F$25</c:f>
              <c:strCache>
                <c:ptCount val="1"/>
                <c:pt idx="0">
                  <c:v>Ianuarie-aprilie 2022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Cipru</c:v>
                </c:pt>
                <c:pt idx="11">
                  <c:v>S.U.A.</c:v>
                </c:pt>
                <c:pt idx="12">
                  <c:v>Liban</c:v>
                </c:pt>
                <c:pt idx="13">
                  <c:v>Franța</c:v>
                </c:pt>
                <c:pt idx="14">
                  <c:v>Bulgaria</c:v>
                </c:pt>
                <c:pt idx="15">
                  <c:v>Ungaria</c:v>
                </c:pt>
                <c:pt idx="16">
                  <c:v>Kazahstan</c:v>
                </c:pt>
                <c:pt idx="17">
                  <c:v>Regatul Unit</c:v>
                </c:pt>
                <c:pt idx="18">
                  <c:v>Elveția</c:v>
                </c:pt>
                <c:pt idx="19">
                  <c:v>Grecia</c:v>
                </c:pt>
                <c:pt idx="20">
                  <c:v>Netherlands</c:v>
                </c:pt>
                <c:pt idx="21">
                  <c:v>Lituania</c:v>
                </c:pt>
                <c:pt idx="22">
                  <c:v>Emiratele Arabe Unite</c:v>
                </c:pt>
              </c:strCache>
            </c:strRef>
          </c:cat>
          <c:val>
            <c:numRef>
              <c:f>'Figura 5'!$F$26:$F$48</c:f>
              <c:numCache>
                <c:formatCode>#,##0.0</c:formatCode>
                <c:ptCount val="23"/>
                <c:pt idx="0">
                  <c:v>31.515511120325947</c:v>
                </c:pt>
                <c:pt idx="1">
                  <c:v>5.3791526364349762</c:v>
                </c:pt>
                <c:pt idx="2">
                  <c:v>9.9658264036255613</c:v>
                </c:pt>
                <c:pt idx="3">
                  <c:v>6.0676330260312721</c:v>
                </c:pt>
                <c:pt idx="4">
                  <c:v>4.8216798210276082</c:v>
                </c:pt>
                <c:pt idx="5">
                  <c:v>10.108641089697782</c:v>
                </c:pt>
                <c:pt idx="6">
                  <c:v>2.1566789868049581</c:v>
                </c:pt>
                <c:pt idx="7">
                  <c:v>2.9372161694133472</c:v>
                </c:pt>
                <c:pt idx="8">
                  <c:v>1.4707749426135013</c:v>
                </c:pt>
                <c:pt idx="9">
                  <c:v>0.90251502619049295</c:v>
                </c:pt>
                <c:pt idx="10">
                  <c:v>0.62083523109002736</c:v>
                </c:pt>
                <c:pt idx="11">
                  <c:v>0.94786290836492215</c:v>
                </c:pt>
                <c:pt idx="12">
                  <c:v>0.89061829399076264</c:v>
                </c:pt>
                <c:pt idx="13">
                  <c:v>1.1276767027662071</c:v>
                </c:pt>
                <c:pt idx="14">
                  <c:v>4.3236383091078787</c:v>
                </c:pt>
                <c:pt idx="15">
                  <c:v>1.2553009449979622</c:v>
                </c:pt>
                <c:pt idx="16">
                  <c:v>0.2251739570025402</c:v>
                </c:pt>
                <c:pt idx="17">
                  <c:v>1.9237242604821343</c:v>
                </c:pt>
                <c:pt idx="18">
                  <c:v>2.8434703430687271</c:v>
                </c:pt>
                <c:pt idx="19">
                  <c:v>1.1674844578709898</c:v>
                </c:pt>
                <c:pt idx="20">
                  <c:v>1.7862432186831159</c:v>
                </c:pt>
                <c:pt idx="21">
                  <c:v>0.23846844536851661</c:v>
                </c:pt>
                <c:pt idx="22">
                  <c:v>8.3849080605796489E-2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5'!$G$25</c:f>
              <c:strCache>
                <c:ptCount val="1"/>
                <c:pt idx="0">
                  <c:v>Ianuarie-aprilie 2023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Cipru</c:v>
                </c:pt>
                <c:pt idx="11">
                  <c:v>S.U.A.</c:v>
                </c:pt>
                <c:pt idx="12">
                  <c:v>Liban</c:v>
                </c:pt>
                <c:pt idx="13">
                  <c:v>Franța</c:v>
                </c:pt>
                <c:pt idx="14">
                  <c:v>Bulgaria</c:v>
                </c:pt>
                <c:pt idx="15">
                  <c:v>Ungaria</c:v>
                </c:pt>
                <c:pt idx="16">
                  <c:v>Kazahstan</c:v>
                </c:pt>
                <c:pt idx="17">
                  <c:v>Regatul Unit</c:v>
                </c:pt>
                <c:pt idx="18">
                  <c:v>Elveția</c:v>
                </c:pt>
                <c:pt idx="19">
                  <c:v>Grecia</c:v>
                </c:pt>
                <c:pt idx="20">
                  <c:v>Netherlands</c:v>
                </c:pt>
                <c:pt idx="21">
                  <c:v>Lituania</c:v>
                </c:pt>
                <c:pt idx="22">
                  <c:v>Emiratele Arabe Unite</c:v>
                </c:pt>
              </c:strCache>
            </c:strRef>
          </c:cat>
          <c:val>
            <c:numRef>
              <c:f>'Figura 5'!$G$26:$G$48</c:f>
              <c:numCache>
                <c:formatCode>0.0</c:formatCode>
                <c:ptCount val="23"/>
                <c:pt idx="0">
                  <c:v>32.929068405277903</c:v>
                </c:pt>
                <c:pt idx="1">
                  <c:v>16.655332401703976</c:v>
                </c:pt>
                <c:pt idx="2">
                  <c:v>6.149610750356846</c:v>
                </c:pt>
                <c:pt idx="3">
                  <c:v>5.3913770895337683</c:v>
                </c:pt>
                <c:pt idx="4">
                  <c:v>4.057602951300125</c:v>
                </c:pt>
                <c:pt idx="5">
                  <c:v>3.9822026923575184</c:v>
                </c:pt>
                <c:pt idx="6">
                  <c:v>3.7298149287226496</c:v>
                </c:pt>
                <c:pt idx="7">
                  <c:v>2.6062784752301851</c:v>
                </c:pt>
                <c:pt idx="8">
                  <c:v>2.3696114799547754</c:v>
                </c:pt>
                <c:pt idx="9">
                  <c:v>2.064715753793902</c:v>
                </c:pt>
                <c:pt idx="10">
                  <c:v>1.5621540914075038</c:v>
                </c:pt>
                <c:pt idx="11">
                  <c:v>1.3158940953591867</c:v>
                </c:pt>
                <c:pt idx="12">
                  <c:v>1.3102980797308093</c:v>
                </c:pt>
                <c:pt idx="13">
                  <c:v>1.2843136021898627</c:v>
                </c:pt>
                <c:pt idx="14">
                  <c:v>1.28271270779918</c:v>
                </c:pt>
                <c:pt idx="15">
                  <c:v>1.2451823237978616</c:v>
                </c:pt>
                <c:pt idx="16">
                  <c:v>1.1496109075542418</c:v>
                </c:pt>
                <c:pt idx="17">
                  <c:v>1.0384340173598636</c:v>
                </c:pt>
                <c:pt idx="18">
                  <c:v>0.9983240251741814</c:v>
                </c:pt>
                <c:pt idx="19">
                  <c:v>0.92212938555262991</c:v>
                </c:pt>
                <c:pt idx="20">
                  <c:v>0.8886443395636725</c:v>
                </c:pt>
                <c:pt idx="21">
                  <c:v>0.55725075443698446</c:v>
                </c:pt>
                <c:pt idx="22">
                  <c:v>0.50503615025684845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762464"/>
        <c:axId val="245763024"/>
      </c:barChart>
      <c:catAx>
        <c:axId val="2457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3024"/>
        <c:crosses val="autoZero"/>
        <c:auto val="1"/>
        <c:lblAlgn val="ctr"/>
        <c:lblOffset val="100"/>
        <c:noMultiLvlLbl val="0"/>
      </c:catAx>
      <c:valAx>
        <c:axId val="245763024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2464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4762786842380433E-2"/>
          <c:y val="0.88790620370161455"/>
          <c:w val="0.95263393962547138"/>
          <c:h val="6.5102151175826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</a:rPr>
              <a:t>Ianuarie - aprilie </a:t>
            </a:r>
            <a:r>
              <a:rPr lang="en-US" sz="800" b="1" baseline="0">
                <a:solidFill>
                  <a:sysClr val="windowText" lastClr="000000"/>
                </a:solidFill>
              </a:rPr>
              <a:t>202</a:t>
            </a:r>
            <a:r>
              <a:rPr lang="ro-RO" sz="800" b="1" baseline="0">
                <a:solidFill>
                  <a:sysClr val="windowText" lastClr="000000"/>
                </a:solidFill>
              </a:rPr>
              <a:t>2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3412267931882589"/>
          <c:y val="3.66584067016402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50134653080686"/>
          <c:y val="0.15936408764121876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6'!$B$28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8AF-449D-A134-DC727067AB63}"/>
              </c:ext>
            </c:extLst>
          </c:dPt>
          <c:dPt>
            <c:idx val="12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4F9-42DB-8F03-9093B739ED79}"/>
              </c:ext>
            </c:extLst>
          </c:dPt>
          <c:dLbls>
            <c:dLbl>
              <c:idx val="0"/>
              <c:layout>
                <c:manualLayout>
                  <c:x val="-5.8917669852771776E-2"/>
                  <c:y val="4.6768189945799794E-2"/>
                </c:manualLayout>
              </c:layout>
              <c:tx>
                <c:rich>
                  <a:bodyPr/>
                  <a:lstStyle/>
                  <a:p>
                    <a:fld id="{078A6092-7B01-4BD4-AEE6-80774763BD60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</a:t>
                    </a:r>
                    <a:fld id="{13A7F1F6-5B81-4C8D-B7B3-FAEA77C00CE7}" type="VALUE">
                      <a:rPr lang="en-US" baseline="0"/>
                      <a:pPr/>
                      <a:t>[VALOARE]</a:t>
                    </a:fld>
                    <a:fld id="{AAB3D8C6-23AC-4BC9-9264-821A48E254AC}" type="SERIESNAME">
                      <a:rPr lang="en-US" baseline="0"/>
                      <a:pPr/>
                      <a:t>[NUME SERIE]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63065297200284"/>
                      <c:h val="0.153456787430657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5.945678821198553E-3"/>
                  <c:y val="4.2083976877697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3111955423825"/>
                      <c:h val="0.171723922321344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1.5106581591924916E-2"/>
                  <c:y val="-1.228946013064563E-3"/>
                </c:manualLayout>
              </c:layout>
              <c:tx>
                <c:rich>
                  <a:bodyPr/>
                  <a:lstStyle/>
                  <a:p>
                    <a:fld id="{A692929A-5A75-491B-A4B4-63A7165882A8}" type="CATEGORYNAME">
                      <a:rPr lang="en-US"/>
                      <a:pPr/>
                      <a:t>[NUME CATEGORIE]</a:t>
                    </a:fld>
                    <a:endParaRPr lang="en-US"/>
                  </a:p>
                  <a:p>
                    <a:r>
                      <a:rPr lang="en-US"/>
                      <a:t> 17,3%</a:t>
                    </a:r>
                  </a:p>
                  <a:p>
                    <a:r>
                      <a:rPr lang="en-US" baseline="0"/>
                      <a:t>
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43821348344689"/>
                      <c:h val="0.199234435925178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2.8242030953668184E-2"/>
                  <c:y val="-9.3264913906287536E-2"/>
                </c:manualLayout>
              </c:layout>
              <c:tx>
                <c:rich>
                  <a:bodyPr/>
                  <a:lstStyle/>
                  <a:p>
                    <a:fld id="{B6BA53A3-9FE7-4887-84F1-A57FB7197C11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</a:t>
                    </a:r>
                    <a:fld id="{98DDB834-FB27-4986-826C-9ADA93039E41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48203846264358"/>
                      <c:h val="0.150426067254059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0.11253850972719237"/>
                  <c:y val="-4.3719971887522635E-2"/>
                </c:manualLayout>
              </c:layout>
              <c:tx>
                <c:rich>
                  <a:bodyPr/>
                  <a:lstStyle/>
                  <a:p>
                    <a:fld id="{A04E0A2F-5474-4393-B0D9-A4B7B939EDF5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</a:t>
                    </a:r>
                    <a:fld id="{44E847EE-0CC9-41E1-AF6E-F8CA03941288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30707370478369"/>
                      <c:h val="0.170887387810307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0.20056166276205922"/>
                  <c:y val="1.028661108763072E-2"/>
                </c:manualLayout>
              </c:layout>
              <c:tx>
                <c:rich>
                  <a:bodyPr/>
                  <a:lstStyle/>
                  <a:p>
                    <a:fld id="{A29A42AD-99BB-46C3-9603-538975577962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</a:t>
                    </a:r>
                    <a:fld id="{C4B902EA-E837-4799-8CE1-3EB35DB2447D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40918223230092"/>
                      <c:h val="0.17921679215825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6"/>
              <c:layout>
                <c:manualLayout>
                  <c:x val="0.10370795574492181"/>
                  <c:y val="3.9247382302997437E-2"/>
                </c:manualLayout>
              </c:layout>
              <c:tx>
                <c:rich>
                  <a:bodyPr/>
                  <a:lstStyle/>
                  <a:p>
                    <a:fld id="{7939CD32-C50E-4E81-A886-11C711858199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</a:t>
                    </a:r>
                    <a:fld id="{3AC6FB78-07F6-49E5-9CFF-5AECF4471D17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12006604630717"/>
                      <c:h val="0.163753681663687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7"/>
              <c:layout>
                <c:manualLayout>
                  <c:x val="5.5115438002557318E-2"/>
                  <c:y val="8.5364953771292454E-2"/>
                </c:manualLayout>
              </c:layout>
              <c:tx>
                <c:rich>
                  <a:bodyPr/>
                  <a:lstStyle/>
                  <a:p>
                    <a:fld id="{D9F5DF4C-9F8E-4A93-81B3-004184F5D6CF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13,8%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896191530792"/>
                      <c:h val="0.170382755900707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2.3892791708501747E-2"/>
                  <c:y val="0.11817184306806357"/>
                </c:manualLayout>
              </c:layout>
              <c:tx>
                <c:rich>
                  <a:bodyPr/>
                  <a:lstStyle/>
                  <a:p>
                    <a:fld id="{B5E6206E-BEB3-44E5-9460-91AD6648FE0F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</a:t>
                    </a:r>
                    <a:fld id="{BD874DA5-35FD-4165-9983-BF3E73982337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54007252049963"/>
                      <c:h val="0.15239105456364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-1.7269020193806887E-2"/>
                  <c:y val="4.0641007681737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10"/>
              <c:layout>
                <c:manualLayout>
                  <c:x val="-2.6989057766393004E-4"/>
                  <c:y val="-7.31644324966081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1"/>
              <c:layout>
                <c:manualLayout>
                  <c:x val="0.10848805866753057"/>
                  <c:y val="-0.13855833864016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AF-449D-A134-DC727067AB63}"/>
                </c:ext>
              </c:extLst>
            </c:dLbl>
            <c:dLbl>
              <c:idx val="12"/>
              <c:layout>
                <c:manualLayout>
                  <c:x val="0.19974156253918782"/>
                  <c:y val="-3.6366243309713296E-2"/>
                </c:manualLayout>
              </c:layout>
              <c:tx>
                <c:rich>
                  <a:bodyPr/>
                  <a:lstStyle/>
                  <a:p>
                    <a:fld id="{CADC81DF-92F6-4EA5-A335-8868DF40E48E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</a:t>
                    </a:r>
                    <a:fld id="{516DEADA-94A4-4FEA-9868-E023ACB3A37A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37597996636009"/>
                      <c:h val="8.91725622800282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84F9-42DB-8F03-9093B739ED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6'!$A$29:$A$41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Îmbrăcăminte şi accesorii</c:v>
                </c:pt>
                <c:pt idx="6">
                  <c:v>Băuturi alcoolice şi nealcoolice</c:v>
                </c:pt>
                <c:pt idx="7">
                  <c:v>Seminţe şi fructe oleaginoase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Vehicule rutiere </c:v>
                </c:pt>
                <c:pt idx="11">
                  <c:v>Fire, tesături, articole textile </c:v>
                </c:pt>
                <c:pt idx="12">
                  <c:v>Alte mărfuri</c:v>
                </c:pt>
              </c:strCache>
            </c:strRef>
          </c:cat>
          <c:val>
            <c:numRef>
              <c:f>'Figura 6'!$B$29:$B$41</c:f>
              <c:numCache>
                <c:formatCode>0.0</c:formatCode>
                <c:ptCount val="13"/>
                <c:pt idx="0">
                  <c:v>12.2</c:v>
                </c:pt>
                <c:pt idx="1">
                  <c:v>3.9</c:v>
                </c:pt>
                <c:pt idx="2">
                  <c:v>17.3</c:v>
                </c:pt>
                <c:pt idx="3">
                  <c:v>9.5</c:v>
                </c:pt>
                <c:pt idx="4">
                  <c:v>8.4</c:v>
                </c:pt>
                <c:pt idx="5">
                  <c:v>6.6</c:v>
                </c:pt>
                <c:pt idx="6">
                  <c:v>3.2</c:v>
                </c:pt>
                <c:pt idx="7">
                  <c:v>12.1</c:v>
                </c:pt>
                <c:pt idx="8">
                  <c:v>3.5</c:v>
                </c:pt>
                <c:pt idx="9">
                  <c:v>2</c:v>
                </c:pt>
                <c:pt idx="10">
                  <c:v>2.2000000000000002</c:v>
                </c:pt>
                <c:pt idx="11">
                  <c:v>2.1</c:v>
                </c:pt>
                <c:pt idx="12" formatCode="#,##0.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aprilie 2023</a:t>
            </a:r>
            <a:endPara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533691146077082"/>
          <c:y val="9.07543631203092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6'!$B$43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7.435099274323588E-2"/>
                  <c:y val="4.465764063000684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EB7474A-5080-4588-8AAD-F5517318FB01}" type="CATEGORYNAME">
                      <a:rPr lang="en-US"/>
                      <a:pPr>
                        <a:defRPr sz="8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[NUME CATEGORIE]</a:t>
                    </a:fld>
                    <a:endParaRPr lang="en-US"/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20B37CC-EE83-4DB9-B05E-D451A9591732}" type="VALUE">
                      <a:rPr lang="en-US" baseline="0"/>
                      <a:pPr>
                        <a:defRPr sz="8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682325163386422"/>
                      <c:h val="0.171268015428991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4.4352559438113594E-2"/>
                  <c:y val="-7.8589876276694448E-2"/>
                </c:manualLayout>
              </c:layout>
              <c:tx>
                <c:rich>
                  <a:bodyPr/>
                  <a:lstStyle/>
                  <a:p>
                    <a:fld id="{49D671E3-94DF-4DA3-8AC4-883C52E46F04}" type="CATEGORYNAME">
                      <a:rPr lang="en-US"/>
                      <a:pPr/>
                      <a:t>[NUME CATEGORIE]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F0DAF2AD-1A31-4A98-9027-CC23D79C9F9E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0784612146095"/>
                      <c:h val="0.178079226415214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2.4244212858140723E-2"/>
                  <c:y val="-0.1435805963440809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BFF1D45-2FC3-474D-8C74-9654DA90AA63}" type="CATEGORYNAME">
                      <a:rPr lang="en-US"/>
                      <a:pPr>
                        <a:defRPr sz="8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[NUME CATEGORIE]</a:t>
                    </a:fld>
                    <a:endParaRPr lang="en-US"/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85141323-4C5C-40BD-A63D-71D9E3989DD7}" type="VALUE">
                      <a:rPr lang="en-US" baseline="0"/>
                      <a:pPr>
                        <a:defRPr sz="8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510906194275074"/>
                      <c:h val="0.218029782417116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6.3795320943431391E-2"/>
                  <c:y val="-0.12573388153760534"/>
                </c:manualLayout>
              </c:layout>
              <c:tx>
                <c:rich>
                  <a:bodyPr/>
                  <a:lstStyle/>
                  <a:p>
                    <a:fld id="{62170C0B-DC77-47B4-ACEE-E2F057E5C256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 </a:t>
                    </a:r>
                  </a:p>
                  <a:p>
                    <a:fld id="{FF1114C1-C8D1-43D8-A327-715A2D31F08D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54084848309091"/>
                      <c:h val="0.1791741552482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20819266911716483"/>
                  <c:y val="-3.2678935024647728E-2"/>
                </c:manualLayout>
              </c:layout>
              <c:tx>
                <c:rich>
                  <a:bodyPr/>
                  <a:lstStyle/>
                  <a:p>
                    <a:fld id="{69E85555-3FF4-4F2D-AC4E-1309210822FB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 </a:t>
                    </a:r>
                    <a:fld id="{4AEEAB1E-C304-42BF-9C52-4495F5C5775C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56669904155749"/>
                      <c:h val="0.1594319506603982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6728647406209105"/>
                  <c:y val="5.0355692711441413E-2"/>
                </c:manualLayout>
              </c:layout>
              <c:tx>
                <c:rich>
                  <a:bodyPr/>
                  <a:lstStyle/>
                  <a:p>
                    <a:fld id="{B907A384-0225-49BF-85B8-93B33D6B1DAA}" type="CATEGORYNAME">
                      <a:rPr lang="en-US"/>
                      <a:pPr/>
                      <a:t>[NUME CATEGORIE]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E130E29A-A2D1-49F0-B11D-72D226E9AB9F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3947376120583"/>
                      <c:h val="0.151926167314553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6666497505259614"/>
                  <c:y val="9.3993742778343964E-2"/>
                </c:manualLayout>
              </c:layout>
              <c:tx>
                <c:rich>
                  <a:bodyPr/>
                  <a:lstStyle/>
                  <a:p>
                    <a:fld id="{D535517A-0A98-4FBB-B5C2-7B26A3CFAE18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 </a:t>
                    </a:r>
                    <a:fld id="{81D88EB6-0288-41C2-966D-52F729670910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71289270789085"/>
                      <c:h val="0.166587799665441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6.4790640637670843E-2"/>
                  <c:y val="0.11605302053514112"/>
                </c:manualLayout>
              </c:layout>
              <c:tx>
                <c:rich>
                  <a:bodyPr/>
                  <a:lstStyle/>
                  <a:p>
                    <a:fld id="{C094BE2D-F3A7-41BA-B51E-DC47FCE0ED24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 </a:t>
                    </a:r>
                    <a:fld id="{142B71CE-9C07-4CCB-B80C-D38BF7266305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18801044906701"/>
                      <c:h val="0.15567426762959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1980663601047964E-2"/>
                  <c:y val="7.4825458517142091E-2"/>
                </c:manualLayout>
              </c:layout>
              <c:tx>
                <c:rich>
                  <a:bodyPr/>
                  <a:lstStyle/>
                  <a:p>
                    <a:fld id="{E442F332-D661-4F9C-A78C-B1F6C19D5090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 </a:t>
                    </a:r>
                    <a:fld id="{28F078F4-E920-466A-86FD-E60E04111968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86858478008307"/>
                      <c:h val="0.136952940055126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1.519259085259379E-3"/>
                  <c:y val="-1.3475368444943142E-3"/>
                </c:manualLayout>
              </c:layout>
              <c:tx>
                <c:rich>
                  <a:bodyPr/>
                  <a:lstStyle/>
                  <a:p>
                    <a:fld id="{4A652F1E-8CF9-4A96-B28F-F172738262D3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 </a:t>
                    </a:r>
                    <a:fld id="{E1B1CBA5-5078-4E2A-9B4C-5FD7F31FA64A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81760790520752"/>
                      <c:h val="0.16315101637487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4.4851589870542663E-2"/>
                  <c:y val="-9.1214201619881127E-2"/>
                </c:manualLayout>
              </c:layout>
              <c:tx>
                <c:rich>
                  <a:bodyPr/>
                  <a:lstStyle/>
                  <a:p>
                    <a:fld id="{7C3892F9-4389-4572-80A3-63252CC590EC}" type="CATEGORYNAME">
                      <a:rPr lang="en-US"/>
                      <a:pPr/>
                      <a:t>[NUME CATEGORIE]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AE45E1C9-7865-4AE1-B3D3-56180128F238}" type="PERCENTAGE">
                      <a:rPr lang="en-US" baseline="0"/>
                      <a:pPr/>
                      <a:t>[PROCENT]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34120232626121"/>
                      <c:h val="0.194426546189823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0.13252235857962011"/>
                  <c:y val="-0.17664704463893108"/>
                </c:manualLayout>
              </c:layout>
              <c:tx>
                <c:rich>
                  <a:bodyPr/>
                  <a:lstStyle/>
                  <a:p>
                    <a:fld id="{B14A3017-4382-463D-8A77-703BC985E26E}" type="CATEGORYNAME">
                      <a:rPr lang="en-US"/>
                      <a:pPr/>
                      <a:t>[NUME CATEGORIE]</a:t>
                    </a:fld>
                    <a:endParaRPr lang="en-US" baseline="0"/>
                  </a:p>
                  <a:p>
                    <a:fld id="{24D2EFC8-2F88-48AB-BF95-C8ADA92DA68E}" type="PERCENTAGE">
                      <a:rPr lang="en-US" baseline="0"/>
                      <a:pPr/>
                      <a:t>[PROCENT]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7428057800771227"/>
                  <c:y val="-5.6715876243739964E-2"/>
                </c:manualLayout>
              </c:layout>
              <c:tx>
                <c:rich>
                  <a:bodyPr/>
                  <a:lstStyle/>
                  <a:p>
                    <a:fld id="{6E1A776B-7667-4757-9810-A0680BF75055}" type="CATEGORYNAME">
                      <a:rPr lang="en-US"/>
                      <a:pPr/>
                      <a:t>[NUME CATEGORIE]</a:t>
                    </a:fld>
                    <a:r>
                      <a:rPr lang="en-US" baseline="0"/>
                      <a:t>
</a:t>
                    </a:r>
                    <a:fld id="{286F0E89-D63B-44BD-96F4-0817822B18C2}" type="VALUE">
                      <a:rPr lang="en-US" baseline="0"/>
                      <a:pPr/>
                      <a:t>[VALOARE]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6'!$A$44:$A$56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Îmbrăcăminte şi accesorii</c:v>
                </c:pt>
                <c:pt idx="6">
                  <c:v>Băuturi alcoolice şi nealcoolice</c:v>
                </c:pt>
                <c:pt idx="7">
                  <c:v>Seminţe şi fructe oleaginoase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Vehicule rutiere </c:v>
                </c:pt>
                <c:pt idx="11">
                  <c:v>Fire, tesături, articole textile </c:v>
                </c:pt>
                <c:pt idx="12">
                  <c:v>Alte mărfuri</c:v>
                </c:pt>
              </c:strCache>
            </c:strRef>
          </c:cat>
          <c:val>
            <c:numRef>
              <c:f>'Figura 6'!$B$44:$B$56</c:f>
              <c:numCache>
                <c:formatCode>0.0</c:formatCode>
                <c:ptCount val="13"/>
                <c:pt idx="0">
                  <c:v>15</c:v>
                </c:pt>
                <c:pt idx="1">
                  <c:v>12.5</c:v>
                </c:pt>
                <c:pt idx="2">
                  <c:v>10.5</c:v>
                </c:pt>
                <c:pt idx="3">
                  <c:v>8.5</c:v>
                </c:pt>
                <c:pt idx="4">
                  <c:v>8</c:v>
                </c:pt>
                <c:pt idx="5">
                  <c:v>6.8</c:v>
                </c:pt>
                <c:pt idx="6">
                  <c:v>4.5999999999999996</c:v>
                </c:pt>
                <c:pt idx="7">
                  <c:v>4.3</c:v>
                </c:pt>
                <c:pt idx="8">
                  <c:v>3.5</c:v>
                </c:pt>
                <c:pt idx="9">
                  <c:v>2.8</c:v>
                </c:pt>
                <c:pt idx="10">
                  <c:v>2.2999999999999998</c:v>
                </c:pt>
                <c:pt idx="11">
                  <c:v>2</c:v>
                </c:pt>
                <c:pt idx="12" formatCode="#,##0.0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7836624"/>
        <c:axId val="247837184"/>
      </c:barChart>
      <c:catAx>
        <c:axId val="247836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7184"/>
        <c:crosses val="autoZero"/>
        <c:auto val="0"/>
        <c:lblAlgn val="ctr"/>
        <c:lblOffset val="100"/>
        <c:tickLblSkip val="1"/>
        <c:noMultiLvlLbl val="0"/>
      </c:catAx>
      <c:valAx>
        <c:axId val="247837184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66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6-4474-912E-EE374058F04A}"/>
                </c:ext>
              </c:extLst>
            </c:dLbl>
            <c:dLbl>
              <c:idx val="1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6-4474-912E-EE374058F04A}"/>
                </c:ext>
              </c:extLst>
            </c:dLbl>
            <c:dLbl>
              <c:idx val="2"/>
              <c:layout>
                <c:manualLayout>
                  <c:x val="-2.7600746048223046E-2"/>
                  <c:y val="3.565825039258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6-4474-912E-EE374058F04A}"/>
                </c:ext>
              </c:extLst>
            </c:dLbl>
            <c:dLbl>
              <c:idx val="3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6-4474-912E-EE374058F04A}"/>
                </c:ext>
              </c:extLst>
            </c:dLbl>
            <c:dLbl>
              <c:idx val="4"/>
              <c:layout>
                <c:manualLayout>
                  <c:x val="-3.1744157714715712E-2"/>
                  <c:y val="-3.242178309376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6-4474-912E-EE374058F04A}"/>
                </c:ext>
              </c:extLst>
            </c:dLbl>
            <c:dLbl>
              <c:idx val="5"/>
              <c:layout>
                <c:manualLayout>
                  <c:x val="-2.7229845388010401E-2"/>
                  <c:y val="-3.465831058048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B6-4474-912E-EE374058F04A}"/>
                </c:ext>
              </c:extLst>
            </c:dLbl>
            <c:dLbl>
              <c:idx val="6"/>
              <c:layout>
                <c:manualLayout>
                  <c:x val="-2.138142250432562E-2"/>
                  <c:y val="3.58542030301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B6-4474-912E-EE374058F04A}"/>
                </c:ext>
              </c:extLst>
            </c:dLbl>
            <c:dLbl>
              <c:idx val="7"/>
              <c:layout>
                <c:manualLayout>
                  <c:x val="-1.866639660396148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B6-4474-912E-EE374058F04A}"/>
                </c:ext>
              </c:extLst>
            </c:dLbl>
            <c:dLbl>
              <c:idx val="8"/>
              <c:layout>
                <c:manualLayout>
                  <c:x val="-2.9729051201149798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B6-4474-912E-EE374058F04A}"/>
                </c:ext>
              </c:extLst>
            </c:dLbl>
            <c:dLbl>
              <c:idx val="9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B6-4474-912E-EE374058F04A}"/>
                </c:ext>
              </c:extLst>
            </c:dLbl>
            <c:dLbl>
              <c:idx val="10"/>
              <c:layout>
                <c:manualLayout>
                  <c:x val="-2.7665337367494162E-2"/>
                  <c:y val="-2.98126720142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1.8706219862052127E-2"/>
                  <c:y val="-2.80369581037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962635699476472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4.0782640542025329E-2"/>
                  <c:y val="-2.972905871602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2.6432142515675553E-2"/>
                  <c:y val="2.780680779816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1.8748214612708296E-2"/>
                  <c:y val="-2.431043822259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2.6679928816183522E-2"/>
                  <c:y val="3.866508035084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87652789382035E-2"/>
                      <c:h val="6.5993633762126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7499355280314478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7315802622204654E-2"/>
                  <c:y val="3.214991163322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7737155845873067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066550764755691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843994865605302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4304770364339121E-2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7.0701444340610159E-3"/>
                  <c:y val="-6.9380228823436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2.0148150028407117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576356713127444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2.5189790438028988E-2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5-4BB1-AA39-4F2259CD6BED}"/>
                </c:ext>
              </c:extLst>
            </c:dLbl>
            <c:dLbl>
              <c:idx val="27"/>
              <c:layout>
                <c:manualLayout>
                  <c:x val="-2.0109837594739482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321494994148508E-2"/>
                      <c:h val="8.7709152937442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A9-42EF-9314-3F5807FA0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8'!$B$25:$AC$25</c:f>
              <c:numCache>
                <c:formatCode>#,##0.0</c:formatCode>
                <c:ptCount val="28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 formatCode="0.0">
                  <c:v>88.988673647198652</c:v>
                </c:pt>
                <c:pt idx="22" formatCode="0.0">
                  <c:v>114.26056736134905</c:v>
                </c:pt>
                <c:pt idx="23" formatCode="0.0">
                  <c:v>101.80484196839581</c:v>
                </c:pt>
                <c:pt idx="24" formatCode="0.0">
                  <c:v>83.923113131090105</c:v>
                </c:pt>
                <c:pt idx="25" formatCode="0.0">
                  <c:v>102.61098940878497</c:v>
                </c:pt>
                <c:pt idx="26" formatCode="0.0">
                  <c:v>109.13292087461024</c:v>
                </c:pt>
                <c:pt idx="27" formatCode="0.0">
                  <c:v>84.084330140709312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109583568934912E-2"/>
                  <c:y val="-3.0394887311844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B6-4474-912E-EE374058F04A}"/>
                </c:ext>
              </c:extLst>
            </c:dLbl>
            <c:dLbl>
              <c:idx val="1"/>
              <c:layout>
                <c:manualLayout>
                  <c:x val="-1.7371108354220996E-2"/>
                  <c:y val="3.66982014762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B6-4474-912E-EE374058F04A}"/>
                </c:ext>
              </c:extLst>
            </c:dLbl>
            <c:dLbl>
              <c:idx val="2"/>
              <c:layout>
                <c:manualLayout>
                  <c:x val="-6.9016774832406664E-3"/>
                  <c:y val="-5.15119472972899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B6-4474-912E-EE374058F04A}"/>
                </c:ext>
              </c:extLst>
            </c:dLbl>
            <c:dLbl>
              <c:idx val="3"/>
              <c:layout>
                <c:manualLayout>
                  <c:x val="-2.5269654797973405E-2"/>
                  <c:y val="-3.4842636010965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B6-4474-912E-EE374058F04A}"/>
                </c:ext>
              </c:extLst>
            </c:dLbl>
            <c:dLbl>
              <c:idx val="4"/>
              <c:layout>
                <c:manualLayout>
                  <c:x val="-1.2931502533244489E-2"/>
                  <c:y val="-2.8791700636350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B6-4474-912E-EE374058F04A}"/>
                </c:ext>
              </c:extLst>
            </c:dLbl>
            <c:dLbl>
              <c:idx val="5"/>
              <c:layout>
                <c:manualLayout>
                  <c:x val="-1.1558008625127699E-2"/>
                  <c:y val="-2.5116135280502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B6-4474-912E-EE374058F04A}"/>
                </c:ext>
              </c:extLst>
            </c:dLbl>
            <c:dLbl>
              <c:idx val="6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9B6-4474-912E-EE374058F04A}"/>
                </c:ext>
              </c:extLst>
            </c:dLbl>
            <c:dLbl>
              <c:idx val="7"/>
              <c:layout>
                <c:manualLayout>
                  <c:x val="-2.7485218871730339E-2"/>
                  <c:y val="-3.225592440400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B6-4474-912E-EE374058F04A}"/>
                </c:ext>
              </c:extLst>
            </c:dLbl>
            <c:dLbl>
              <c:idx val="8"/>
              <c:layout>
                <c:manualLayout>
                  <c:x val="-2.5129861117536571E-2"/>
                  <c:y val="-3.643590536274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B6-4474-912E-EE374058F04A}"/>
                </c:ext>
              </c:extLst>
            </c:dLbl>
            <c:dLbl>
              <c:idx val="9"/>
              <c:layout>
                <c:manualLayout>
                  <c:x val="-2.2712695578152614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B6-4474-912E-EE374058F04A}"/>
                </c:ext>
              </c:extLst>
            </c:dLbl>
            <c:dLbl>
              <c:idx val="10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6.0340929769208329E-3"/>
                  <c:y val="5.6251744081067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2.0865741654092492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109955556378014E-2"/>
                  <c:y val="-4.017952407789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3.1485206534847071E-2"/>
                  <c:y val="-3.733974972778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3.0345401889393674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2.0413646636984958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2382124991500659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489991781330364E-2"/>
                  <c:y val="-3.7339749727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2429908742846786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1.8404621140122125E-2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0778877720670769E-2"/>
                  <c:y val="3.21495696565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9557969240976E-2"/>
                      <c:h val="5.29643222569366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7438338715298775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5871554539818833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016944709173512E-2"/>
                  <c:y val="-3.299681688106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90039817290751E-2"/>
                      <c:h val="7.03367375971897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2.2766526277238602E-2"/>
                  <c:y val="-4.3854405480381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9916376731978E-2"/>
                      <c:h val="5.73074260919999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9.9263487642912568E-3"/>
                  <c:y val="-3.299664589272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5-4BB1-AA39-4F2259CD6BED}"/>
                </c:ext>
              </c:extLst>
            </c:dLbl>
            <c:dLbl>
              <c:idx val="27"/>
              <c:layout>
                <c:manualLayout>
                  <c:x val="-1.1056543999202087E-3"/>
                  <c:y val="-3.2996474904383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801160338562965E-2"/>
                      <c:h val="6.16505299270632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CA9-42EF-9314-3F5807FA0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8'!$B$26:$AC$26</c:f>
              <c:numCache>
                <c:formatCode>#,##0.0</c:formatCode>
                <c:ptCount val="28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116.13527069403568</c:v>
                </c:pt>
                <c:pt idx="22">
                  <c:v>122.35541764637607</c:v>
                </c:pt>
                <c:pt idx="23">
                  <c:v>115.85939196955289</c:v>
                </c:pt>
                <c:pt idx="24" formatCode="0.0">
                  <c:v>117.96075072735046</c:v>
                </c:pt>
                <c:pt idx="25" formatCode="0.0">
                  <c:v>112.46174232268726</c:v>
                </c:pt>
                <c:pt idx="26" formatCode="0.0">
                  <c:v>109.7430500773655</c:v>
                </c:pt>
                <c:pt idx="27" formatCode="0.0">
                  <c:v>89.624314873050864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840544"/>
        <c:axId val="247841104"/>
      </c:lineChart>
      <c:catAx>
        <c:axId val="2478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1104"/>
        <c:crossesAt val="30"/>
        <c:auto val="1"/>
        <c:lblAlgn val="ctr"/>
        <c:lblOffset val="100"/>
        <c:noMultiLvlLbl val="0"/>
      </c:catAx>
      <c:valAx>
        <c:axId val="247841104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0544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20</xdr:col>
      <xdr:colOff>247649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38100</xdr:rowOff>
    </xdr:from>
    <xdr:to>
      <xdr:col>2</xdr:col>
      <xdr:colOff>38100</xdr:colOff>
      <xdr:row>24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685800</xdr:colOff>
      <xdr:row>2</xdr:row>
      <xdr:rowOff>133350</xdr:rowOff>
    </xdr:from>
    <xdr:to>
      <xdr:col>7</xdr:col>
      <xdr:colOff>47625</xdr:colOff>
      <xdr:row>23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57149</xdr:rowOff>
    </xdr:from>
    <xdr:to>
      <xdr:col>19</xdr:col>
      <xdr:colOff>104775</xdr:colOff>
      <xdr:row>20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7</xdr:col>
      <xdr:colOff>0</xdr:colOff>
      <xdr:row>24</xdr:row>
      <xdr:rowOff>133351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571500"/>
          <a:ext cx="7439025" cy="3333751"/>
          <a:chOff x="30262" y="-337289"/>
          <a:chExt cx="5451695" cy="233260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30262" y="-337289"/>
          <a:ext cx="2732748" cy="23326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65990" y="-323960"/>
          <a:ext cx="2815967" cy="22992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B40" sqref="B40"/>
    </sheetView>
  </sheetViews>
  <sheetFormatPr defaultRowHeight="12" x14ac:dyDescent="0.2"/>
  <cols>
    <col min="1" max="1" width="10.42578125" style="3" customWidth="1"/>
    <col min="2" max="2" width="10.140625" style="3" customWidth="1"/>
    <col min="3" max="3" width="11.28515625" style="3" customWidth="1"/>
    <col min="4" max="4" width="10.140625" style="3" bestFit="1" customWidth="1"/>
    <col min="5" max="5" width="9.28515625" style="3" bestFit="1" customWidth="1"/>
    <col min="6" max="6" width="10.140625" style="3" bestFit="1" customWidth="1"/>
    <col min="7" max="7" width="9.28515625" style="3" bestFit="1" customWidth="1"/>
    <col min="8" max="8" width="10.140625" style="3" bestFit="1" customWidth="1"/>
    <col min="9" max="9" width="9.28515625" style="3" bestFit="1" customWidth="1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12" t="s">
        <v>93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x14ac:dyDescent="0.2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x14ac:dyDescent="0.2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x14ac:dyDescent="0.2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x14ac:dyDescent="0.2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x14ac:dyDescent="0.2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x14ac:dyDescent="0.2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352</v>
      </c>
      <c r="L26" s="33">
        <v>355.8</v>
      </c>
      <c r="M26" s="34">
        <v>349.5</v>
      </c>
    </row>
    <row r="27" spans="1:21" x14ac:dyDescent="0.2">
      <c r="A27" s="29">
        <v>2023</v>
      </c>
      <c r="B27" s="10">
        <v>331.1</v>
      </c>
      <c r="C27" s="10">
        <v>356</v>
      </c>
      <c r="D27" s="35">
        <v>385</v>
      </c>
      <c r="E27" s="35">
        <v>316.89999999999998</v>
      </c>
      <c r="F27" s="35"/>
      <c r="G27" s="35"/>
      <c r="H27" s="35"/>
      <c r="I27" s="35"/>
      <c r="J27" s="35"/>
      <c r="K27" s="35"/>
      <c r="L27" s="35"/>
      <c r="M27" s="36"/>
    </row>
    <row r="31" spans="1:21" ht="15.75" x14ac:dyDescent="0.25">
      <c r="B31" s="42"/>
      <c r="C31" s="42"/>
      <c r="D31" s="42"/>
      <c r="E31" s="42"/>
      <c r="F31" s="42"/>
      <c r="G31" s="42"/>
      <c r="H31" s="42"/>
      <c r="I31" s="46"/>
      <c r="J31" s="43"/>
      <c r="K31" s="42"/>
      <c r="L31" s="42"/>
      <c r="M31" s="42"/>
      <c r="N31" s="42"/>
      <c r="O31" s="46"/>
      <c r="P31" s="42"/>
      <c r="Q31" s="42"/>
      <c r="R31" s="43"/>
      <c r="S31" s="42"/>
      <c r="T31" s="44"/>
      <c r="U31" s="45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2"/>
  <sheetViews>
    <sheetView workbookViewId="0">
      <selection activeCell="B25" sqref="B25:G31"/>
    </sheetView>
  </sheetViews>
  <sheetFormatPr defaultRowHeight="12" x14ac:dyDescent="0.2"/>
  <cols>
    <col min="1" max="1" width="24" style="3" customWidth="1"/>
    <col min="2" max="2" width="14.28515625" style="3" customWidth="1"/>
    <col min="3" max="3" width="14.85546875" style="3" customWidth="1"/>
    <col min="4" max="4" width="14.5703125" style="3" customWidth="1"/>
    <col min="5" max="5" width="14.140625" style="3" customWidth="1"/>
    <col min="6" max="6" width="14.5703125" style="3" customWidth="1"/>
    <col min="7" max="7" width="14.7109375" style="3" customWidth="1"/>
    <col min="8" max="16384" width="9.140625" style="3"/>
  </cols>
  <sheetData>
    <row r="2" spans="1:13" ht="12.75" x14ac:dyDescent="0.2">
      <c r="A2" s="118" t="s">
        <v>115</v>
      </c>
      <c r="B2" s="118"/>
      <c r="C2" s="118"/>
      <c r="D2" s="118"/>
      <c r="E2" s="118"/>
      <c r="F2" s="118"/>
      <c r="G2" s="118"/>
      <c r="H2" s="39"/>
      <c r="I2" s="39"/>
      <c r="J2" s="39"/>
      <c r="K2" s="39"/>
      <c r="L2" s="39"/>
      <c r="M2" s="39"/>
    </row>
    <row r="3" spans="1:13" ht="15" customHeight="1" x14ac:dyDescent="0.2">
      <c r="A3" s="4"/>
      <c r="B3" s="4"/>
      <c r="C3" s="4"/>
      <c r="D3" s="4"/>
      <c r="E3" s="4"/>
      <c r="F3" s="4"/>
      <c r="G3" s="4"/>
    </row>
    <row r="4" spans="1:13" ht="16.5" customHeight="1" x14ac:dyDescent="0.2">
      <c r="A4" s="4"/>
      <c r="B4" s="4"/>
      <c r="C4" s="4"/>
      <c r="D4" s="4"/>
      <c r="E4" s="4"/>
      <c r="F4" s="4"/>
      <c r="G4" s="4"/>
    </row>
    <row r="5" spans="1:13" ht="13.5" customHeight="1" x14ac:dyDescent="0.2">
      <c r="A5" s="4"/>
      <c r="B5" s="4"/>
      <c r="C5" s="4"/>
      <c r="D5" s="4"/>
      <c r="E5" s="4"/>
      <c r="F5" s="4"/>
      <c r="G5" s="4"/>
    </row>
    <row r="6" spans="1:13" ht="14.25" customHeight="1" x14ac:dyDescent="0.2">
      <c r="A6" s="4"/>
      <c r="B6" s="4"/>
      <c r="C6" s="4"/>
      <c r="D6" s="4"/>
      <c r="E6" s="4"/>
      <c r="F6" s="4"/>
      <c r="G6" s="4"/>
    </row>
    <row r="7" spans="1:13" ht="14.25" customHeight="1" x14ac:dyDescent="0.2">
      <c r="A7" s="4"/>
      <c r="B7" s="4"/>
      <c r="C7" s="4"/>
      <c r="D7" s="4"/>
      <c r="E7" s="4"/>
      <c r="F7" s="4"/>
      <c r="G7" s="4"/>
    </row>
    <row r="8" spans="1:13" ht="14.25" customHeight="1" x14ac:dyDescent="0.2">
      <c r="A8" s="4"/>
      <c r="B8" s="4"/>
      <c r="C8" s="4"/>
      <c r="D8" s="4"/>
      <c r="E8" s="4"/>
      <c r="F8" s="4"/>
      <c r="G8" s="4"/>
    </row>
    <row r="9" spans="1:13" ht="15" customHeight="1" x14ac:dyDescent="0.2">
      <c r="A9" s="4"/>
      <c r="B9" s="4"/>
      <c r="C9" s="4"/>
      <c r="D9" s="4"/>
      <c r="E9" s="4"/>
      <c r="F9" s="4"/>
      <c r="G9" s="4"/>
    </row>
    <row r="10" spans="1:13" ht="15" customHeight="1" x14ac:dyDescent="0.2">
      <c r="A10" s="4"/>
      <c r="B10" s="4"/>
      <c r="C10" s="4"/>
      <c r="D10" s="4"/>
      <c r="E10" s="4"/>
      <c r="F10" s="4"/>
      <c r="G10" s="4"/>
    </row>
    <row r="11" spans="1:13" ht="14.25" customHeight="1" x14ac:dyDescent="0.2">
      <c r="A11" s="4"/>
      <c r="B11" s="4"/>
      <c r="C11" s="4"/>
      <c r="D11" s="4"/>
      <c r="E11" s="4"/>
      <c r="F11" s="4"/>
      <c r="G11" s="4"/>
    </row>
    <row r="12" spans="1:13" ht="14.25" customHeight="1" x14ac:dyDescent="0.2">
      <c r="A12" s="4"/>
      <c r="B12" s="4"/>
      <c r="C12" s="4"/>
      <c r="D12" s="4"/>
      <c r="E12" s="4"/>
      <c r="F12" s="4"/>
      <c r="G12" s="4"/>
    </row>
    <row r="13" spans="1:13" ht="1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4.25" customHeight="1" x14ac:dyDescent="0.2">
      <c r="A15" s="4"/>
      <c r="B15" s="4"/>
      <c r="C15" s="4"/>
      <c r="D15" s="4"/>
      <c r="E15" s="4"/>
      <c r="F15" s="4"/>
      <c r="G15" s="4"/>
    </row>
    <row r="16" spans="1:13" ht="15" customHeight="1" x14ac:dyDescent="0.2">
      <c r="A16" s="4"/>
      <c r="B16" s="4"/>
      <c r="C16" s="4"/>
      <c r="D16" s="4"/>
      <c r="E16" s="4"/>
      <c r="F16" s="4"/>
      <c r="G16" s="4"/>
    </row>
    <row r="17" spans="1:7" ht="15.75" customHeight="1" x14ac:dyDescent="0.2">
      <c r="A17" s="4"/>
      <c r="B17" s="4"/>
      <c r="C17" s="4"/>
      <c r="D17" s="4"/>
      <c r="E17" s="4"/>
      <c r="F17" s="4"/>
      <c r="G17" s="4"/>
    </row>
    <row r="18" spans="1:7" ht="15.75" customHeight="1" x14ac:dyDescent="0.2">
      <c r="A18" s="4"/>
      <c r="B18" s="4"/>
      <c r="C18" s="4"/>
      <c r="D18" s="4"/>
      <c r="E18" s="4"/>
      <c r="F18" s="4"/>
      <c r="G18" s="4"/>
    </row>
    <row r="19" spans="1:7" ht="14.25" customHeight="1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ht="27.75" customHeight="1" x14ac:dyDescent="0.2">
      <c r="A24" s="38" t="s">
        <v>25</v>
      </c>
      <c r="B24" s="24" t="s">
        <v>101</v>
      </c>
      <c r="C24" s="24" t="s">
        <v>102</v>
      </c>
      <c r="D24" s="24" t="s">
        <v>103</v>
      </c>
      <c r="E24" s="24" t="s">
        <v>104</v>
      </c>
      <c r="F24" s="24" t="s">
        <v>105</v>
      </c>
      <c r="G24" s="24" t="s">
        <v>106</v>
      </c>
    </row>
    <row r="25" spans="1:7" x14ac:dyDescent="0.2">
      <c r="A25" s="30" t="s">
        <v>26</v>
      </c>
      <c r="B25" s="148">
        <v>7.8</v>
      </c>
      <c r="C25" s="80">
        <v>5.3</v>
      </c>
      <c r="D25" s="80">
        <v>1.7</v>
      </c>
      <c r="E25" s="80">
        <v>1.7</v>
      </c>
      <c r="F25" s="80">
        <v>2.1</v>
      </c>
      <c r="G25" s="78">
        <v>2.6</v>
      </c>
    </row>
    <row r="26" spans="1:7" x14ac:dyDescent="0.2">
      <c r="A26" s="31" t="s">
        <v>27</v>
      </c>
      <c r="B26" s="149">
        <v>5.2</v>
      </c>
      <c r="C26" s="89">
        <v>4.4000000000000004</v>
      </c>
      <c r="D26" s="89">
        <v>4.4000000000000004</v>
      </c>
      <c r="E26" s="89">
        <v>4.3</v>
      </c>
      <c r="F26" s="89">
        <v>4.7</v>
      </c>
      <c r="G26" s="83">
        <v>5.5</v>
      </c>
    </row>
    <row r="27" spans="1:7" x14ac:dyDescent="0.2">
      <c r="A27" s="31" t="s">
        <v>28</v>
      </c>
      <c r="B27" s="150">
        <v>74</v>
      </c>
      <c r="C27" s="89">
        <v>75.5</v>
      </c>
      <c r="D27" s="89">
        <v>86.5</v>
      </c>
      <c r="E27" s="89">
        <v>85</v>
      </c>
      <c r="F27" s="89">
        <v>82</v>
      </c>
      <c r="G27" s="83">
        <v>81.7</v>
      </c>
    </row>
    <row r="28" spans="1:7" x14ac:dyDescent="0.2">
      <c r="A28" s="31" t="s">
        <v>29</v>
      </c>
      <c r="B28" s="149">
        <v>1.6</v>
      </c>
      <c r="C28" s="89">
        <v>1.5</v>
      </c>
      <c r="D28" s="89">
        <v>2.5</v>
      </c>
      <c r="E28" s="89">
        <v>2.5</v>
      </c>
      <c r="F28" s="89">
        <v>2.5</v>
      </c>
      <c r="G28" s="83">
        <v>2.6</v>
      </c>
    </row>
    <row r="29" spans="1:7" x14ac:dyDescent="0.2">
      <c r="A29" s="31" t="s">
        <v>45</v>
      </c>
      <c r="B29" s="149">
        <v>0.1</v>
      </c>
      <c r="C29" s="89">
        <v>0.1</v>
      </c>
      <c r="D29" s="89">
        <v>0.2</v>
      </c>
      <c r="E29" s="89">
        <v>0.2</v>
      </c>
      <c r="F29" s="89">
        <v>0.2</v>
      </c>
      <c r="G29" s="83">
        <v>0.3</v>
      </c>
    </row>
    <row r="30" spans="1:7" x14ac:dyDescent="0.2">
      <c r="A30" s="31" t="s">
        <v>46</v>
      </c>
      <c r="B30" s="149">
        <v>10.5</v>
      </c>
      <c r="C30" s="89">
        <v>12.8</v>
      </c>
      <c r="D30" s="89">
        <v>4.2</v>
      </c>
      <c r="E30" s="89">
        <v>5.9</v>
      </c>
      <c r="F30" s="89">
        <v>7.8</v>
      </c>
      <c r="G30" s="83">
        <v>6.7</v>
      </c>
    </row>
    <row r="31" spans="1:7" x14ac:dyDescent="0.2">
      <c r="A31" s="32" t="s">
        <v>47</v>
      </c>
      <c r="B31" s="151">
        <v>0.8</v>
      </c>
      <c r="C31" s="79">
        <v>0.4</v>
      </c>
      <c r="D31" s="79">
        <v>0.5</v>
      </c>
      <c r="E31" s="79">
        <v>0.4</v>
      </c>
      <c r="F31" s="79">
        <v>0.7</v>
      </c>
      <c r="G31" s="101">
        <v>0.6</v>
      </c>
    </row>
    <row r="36" spans="2:7" ht="15" x14ac:dyDescent="0.2">
      <c r="B36" s="50"/>
      <c r="C36" s="50"/>
      <c r="D36" s="51"/>
      <c r="E36" s="51"/>
      <c r="F36" s="51"/>
      <c r="G36" s="51"/>
    </row>
    <row r="37" spans="2:7" ht="15" x14ac:dyDescent="0.2">
      <c r="B37" s="50"/>
      <c r="C37" s="50"/>
      <c r="D37" s="51"/>
      <c r="E37" s="51"/>
      <c r="F37" s="51"/>
      <c r="G37" s="51"/>
    </row>
    <row r="38" spans="2:7" ht="15" x14ac:dyDescent="0.2">
      <c r="B38" s="50"/>
      <c r="C38" s="50"/>
      <c r="D38" s="51"/>
      <c r="E38" s="51"/>
      <c r="F38" s="51"/>
      <c r="G38" s="51"/>
    </row>
    <row r="39" spans="2:7" ht="15" x14ac:dyDescent="0.2">
      <c r="B39" s="50"/>
      <c r="C39" s="50"/>
      <c r="D39" s="51"/>
      <c r="E39" s="51"/>
      <c r="F39" s="51"/>
      <c r="G39" s="51"/>
    </row>
    <row r="40" spans="2:7" ht="15" x14ac:dyDescent="0.2">
      <c r="B40" s="50"/>
      <c r="C40" s="50"/>
      <c r="D40" s="51"/>
      <c r="E40" s="51"/>
      <c r="F40" s="51"/>
      <c r="G40" s="51"/>
    </row>
    <row r="41" spans="2:7" ht="15" x14ac:dyDescent="0.2">
      <c r="B41" s="50"/>
      <c r="C41" s="50"/>
      <c r="D41" s="51"/>
      <c r="E41" s="51"/>
      <c r="F41" s="51"/>
      <c r="G41" s="51"/>
    </row>
    <row r="42" spans="2:7" ht="15" x14ac:dyDescent="0.2">
      <c r="B42" s="50"/>
      <c r="C42" s="50"/>
      <c r="D42" s="51"/>
      <c r="E42" s="51"/>
      <c r="F42" s="51"/>
      <c r="G42" s="51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32"/>
  <sheetViews>
    <sheetView workbookViewId="0">
      <selection activeCell="K16" sqref="K16"/>
    </sheetView>
  </sheetViews>
  <sheetFormatPr defaultRowHeight="12" x14ac:dyDescent="0.2"/>
  <cols>
    <col min="1" max="1" width="26.42578125" style="3" bestFit="1" customWidth="1"/>
    <col min="2" max="2" width="14.85546875" style="3" customWidth="1"/>
    <col min="3" max="3" width="15.140625" style="3" customWidth="1"/>
    <col min="4" max="4" width="14.85546875" style="3" customWidth="1"/>
    <col min="5" max="6" width="14.5703125" style="3" customWidth="1"/>
    <col min="7" max="7" width="14.85546875" style="3" customWidth="1"/>
    <col min="8" max="16384" width="9.140625" style="3"/>
  </cols>
  <sheetData>
    <row r="2" spans="1:13" ht="12.75" x14ac:dyDescent="0.2">
      <c r="A2" s="127" t="s">
        <v>118</v>
      </c>
      <c r="B2" s="127"/>
      <c r="C2" s="127"/>
      <c r="D2" s="127"/>
      <c r="E2" s="127"/>
      <c r="F2" s="127"/>
      <c r="G2" s="127"/>
    </row>
    <row r="3" spans="1:13" ht="15" customHeight="1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ht="14.25" customHeight="1" x14ac:dyDescent="0.2">
      <c r="A4" s="4"/>
      <c r="B4" s="4"/>
      <c r="C4" s="4"/>
      <c r="D4" s="4"/>
      <c r="E4" s="4"/>
      <c r="F4" s="4"/>
      <c r="G4" s="4"/>
    </row>
    <row r="5" spans="1:13" ht="15.75" customHeight="1" x14ac:dyDescent="0.2">
      <c r="A5" s="4"/>
      <c r="B5" s="4"/>
      <c r="C5" s="4"/>
      <c r="D5" s="4"/>
      <c r="E5" s="4"/>
      <c r="F5" s="4"/>
      <c r="G5" s="4"/>
    </row>
    <row r="6" spans="1:13" ht="14.25" customHeight="1" x14ac:dyDescent="0.2">
      <c r="A6" s="4"/>
      <c r="B6" s="4"/>
      <c r="C6" s="4"/>
      <c r="D6" s="4"/>
      <c r="E6" s="4"/>
      <c r="F6" s="4"/>
      <c r="G6" s="4"/>
    </row>
    <row r="7" spans="1:13" ht="13.5" customHeight="1" x14ac:dyDescent="0.2">
      <c r="A7" s="4"/>
      <c r="B7" s="4"/>
      <c r="C7" s="4"/>
      <c r="D7" s="4"/>
      <c r="E7" s="4"/>
      <c r="F7" s="4"/>
      <c r="G7" s="4"/>
    </row>
    <row r="8" spans="1:13" ht="14.25" customHeight="1" x14ac:dyDescent="0.2">
      <c r="A8" s="4"/>
      <c r="B8" s="4"/>
      <c r="C8" s="4"/>
      <c r="D8" s="4"/>
      <c r="E8" s="4"/>
      <c r="F8" s="4"/>
      <c r="G8" s="4"/>
    </row>
    <row r="9" spans="1:13" ht="14.25" customHeight="1" x14ac:dyDescent="0.2">
      <c r="A9" s="4"/>
      <c r="B9" s="4"/>
      <c r="C9" s="4"/>
      <c r="D9" s="4"/>
      <c r="E9" s="4"/>
      <c r="F9" s="4"/>
      <c r="G9" s="4"/>
    </row>
    <row r="10" spans="1:13" ht="14.25" customHeight="1" x14ac:dyDescent="0.2">
      <c r="A10" s="4"/>
      <c r="B10" s="4"/>
      <c r="C10" s="4"/>
      <c r="D10" s="4"/>
      <c r="E10" s="4"/>
      <c r="F10" s="4"/>
      <c r="G10" s="4"/>
    </row>
    <row r="11" spans="1:13" ht="15" customHeight="1" x14ac:dyDescent="0.2">
      <c r="A11" s="4"/>
      <c r="B11" s="4"/>
      <c r="C11" s="4"/>
      <c r="D11" s="4"/>
      <c r="E11" s="4"/>
      <c r="F11" s="4"/>
      <c r="G11" s="4"/>
    </row>
    <row r="12" spans="1:13" ht="14.25" customHeight="1" x14ac:dyDescent="0.2">
      <c r="A12" s="4"/>
      <c r="B12" s="4"/>
      <c r="C12" s="4"/>
      <c r="D12" s="4"/>
      <c r="E12" s="4"/>
      <c r="F12" s="4"/>
      <c r="G12" s="4"/>
    </row>
    <row r="13" spans="1:13" ht="14.2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4.25" customHeight="1" x14ac:dyDescent="0.2">
      <c r="A15" s="4"/>
      <c r="B15" s="4"/>
      <c r="C15" s="4"/>
      <c r="D15" s="4"/>
      <c r="E15" s="4"/>
      <c r="F15" s="4"/>
      <c r="G15" s="4"/>
    </row>
    <row r="16" spans="1:13" ht="15.75" customHeight="1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9.25" customHeight="1" x14ac:dyDescent="0.2">
      <c r="A22" s="20"/>
      <c r="B22" s="9" t="s">
        <v>106</v>
      </c>
      <c r="C22" s="9" t="s">
        <v>105</v>
      </c>
      <c r="D22" s="9" t="s">
        <v>104</v>
      </c>
      <c r="E22" s="9" t="s">
        <v>103</v>
      </c>
      <c r="F22" s="9" t="s">
        <v>102</v>
      </c>
      <c r="G22" s="9" t="s">
        <v>101</v>
      </c>
    </row>
    <row r="23" spans="1:7" ht="15" customHeight="1" x14ac:dyDescent="0.2">
      <c r="A23" s="16" t="s">
        <v>48</v>
      </c>
      <c r="B23" s="131">
        <v>49.1</v>
      </c>
      <c r="C23" s="132">
        <v>47.7</v>
      </c>
      <c r="D23" s="132">
        <v>47.1</v>
      </c>
      <c r="E23" s="132">
        <v>47.6</v>
      </c>
      <c r="F23" s="132">
        <v>44.2</v>
      </c>
      <c r="G23" s="152">
        <v>48.2</v>
      </c>
    </row>
    <row r="24" spans="1:7" ht="15" customHeight="1" x14ac:dyDescent="0.2">
      <c r="A24" s="17" t="s">
        <v>49</v>
      </c>
      <c r="B24" s="129">
        <v>23.9</v>
      </c>
      <c r="C24" s="153">
        <v>26.5</v>
      </c>
      <c r="D24" s="153">
        <v>25</v>
      </c>
      <c r="E24" s="153">
        <v>23.2</v>
      </c>
      <c r="F24" s="153">
        <v>29.8</v>
      </c>
      <c r="G24" s="154">
        <v>22.2</v>
      </c>
    </row>
    <row r="25" spans="1:7" ht="15.75" customHeight="1" x14ac:dyDescent="0.2">
      <c r="A25" s="18" t="s">
        <v>50</v>
      </c>
      <c r="B25" s="136">
        <v>27</v>
      </c>
      <c r="C25" s="137">
        <v>25.8</v>
      </c>
      <c r="D25" s="137">
        <v>27.9</v>
      </c>
      <c r="E25" s="137">
        <v>29.2</v>
      </c>
      <c r="F25" s="137">
        <v>26</v>
      </c>
      <c r="G25" s="138">
        <v>29.6</v>
      </c>
    </row>
    <row r="26" spans="1:7" x14ac:dyDescent="0.2">
      <c r="G26" s="6"/>
    </row>
    <row r="30" spans="1:7" ht="15.75" x14ac:dyDescent="0.2">
      <c r="B30" s="53"/>
      <c r="C30" s="53"/>
      <c r="D30" s="53"/>
      <c r="E30" s="53"/>
      <c r="F30" s="53"/>
      <c r="G30" s="53"/>
    </row>
    <row r="31" spans="1:7" ht="15.75" x14ac:dyDescent="0.2">
      <c r="B31" s="53"/>
      <c r="C31" s="53"/>
      <c r="D31" s="53"/>
      <c r="E31" s="53"/>
      <c r="F31" s="53"/>
      <c r="G31" s="53"/>
    </row>
    <row r="32" spans="1:7" ht="15.75" x14ac:dyDescent="0.2">
      <c r="B32" s="53"/>
      <c r="C32" s="53"/>
      <c r="D32" s="53"/>
      <c r="E32" s="53"/>
      <c r="F32" s="53"/>
      <c r="G32" s="53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48"/>
  <sheetViews>
    <sheetView workbookViewId="0">
      <selection activeCell="J44" sqref="J44"/>
    </sheetView>
  </sheetViews>
  <sheetFormatPr defaultRowHeight="12" x14ac:dyDescent="0.2"/>
  <cols>
    <col min="1" max="1" width="22.85546875" style="3" customWidth="1"/>
    <col min="2" max="2" width="14.85546875" style="3" customWidth="1"/>
    <col min="3" max="3" width="14.42578125" style="3" customWidth="1"/>
    <col min="4" max="4" width="14.85546875" style="3" customWidth="1"/>
    <col min="5" max="5" width="14.28515625" style="3" customWidth="1"/>
    <col min="6" max="6" width="14.85546875" style="3" customWidth="1"/>
    <col min="7" max="7" width="14.42578125" style="3" customWidth="1"/>
    <col min="8" max="16384" width="9.140625" style="3"/>
  </cols>
  <sheetData>
    <row r="2" spans="1:10" ht="13.5" customHeight="1" x14ac:dyDescent="0.2">
      <c r="A2" s="118" t="s">
        <v>116</v>
      </c>
      <c r="B2" s="118"/>
      <c r="C2" s="118"/>
      <c r="D2" s="118"/>
      <c r="E2" s="118"/>
      <c r="F2" s="118"/>
      <c r="G2" s="118"/>
      <c r="H2" s="39"/>
      <c r="I2" s="39"/>
      <c r="J2" s="39"/>
    </row>
    <row r="3" spans="1:10" ht="21" customHeight="1" x14ac:dyDescent="0.2"/>
    <row r="4" spans="1:10" ht="17.25" customHeight="1" x14ac:dyDescent="0.2"/>
    <row r="5" spans="1:10" ht="17.25" customHeight="1" x14ac:dyDescent="0.2"/>
    <row r="6" spans="1:10" ht="16.5" customHeight="1" x14ac:dyDescent="0.2"/>
    <row r="7" spans="1:10" ht="17.25" customHeight="1" x14ac:dyDescent="0.2"/>
    <row r="8" spans="1:10" ht="18" customHeight="1" x14ac:dyDescent="0.2"/>
    <row r="9" spans="1:10" ht="17.25" customHeight="1" x14ac:dyDescent="0.2"/>
    <row r="10" spans="1:10" ht="16.5" customHeight="1" x14ac:dyDescent="0.2"/>
    <row r="11" spans="1:10" ht="17.25" customHeight="1" x14ac:dyDescent="0.2"/>
    <row r="12" spans="1:10" ht="21" customHeight="1" x14ac:dyDescent="0.2"/>
    <row r="13" spans="1:10" ht="21.75" customHeight="1" x14ac:dyDescent="0.2"/>
    <row r="14" spans="1:10" ht="15" customHeight="1" x14ac:dyDescent="0.2"/>
    <row r="15" spans="1:10" ht="15.75" customHeight="1" x14ac:dyDescent="0.2"/>
    <row r="16" spans="1:10" ht="16.5" customHeight="1" x14ac:dyDescent="0.2"/>
    <row r="17" spans="1:7" ht="15.75" customHeight="1" x14ac:dyDescent="0.2"/>
    <row r="24" spans="1:7" ht="26.25" customHeight="1" x14ac:dyDescent="0.2">
      <c r="A24" s="37"/>
      <c r="B24" s="9" t="s">
        <v>106</v>
      </c>
      <c r="C24" s="9" t="s">
        <v>105</v>
      </c>
      <c r="D24" s="9" t="s">
        <v>104</v>
      </c>
      <c r="E24" s="9" t="s">
        <v>103</v>
      </c>
      <c r="F24" s="9" t="s">
        <v>102</v>
      </c>
      <c r="G24" s="9" t="s">
        <v>101</v>
      </c>
    </row>
    <row r="25" spans="1:7" x14ac:dyDescent="0.2">
      <c r="A25" s="155" t="s">
        <v>33</v>
      </c>
      <c r="B25" s="14">
        <f>IF(OR(238024.83274="",238024.83274="***"),"-",238024.83274/1770611.63183*100)</f>
        <v>13.443085341870905</v>
      </c>
      <c r="C25" s="14">
        <f>IF(255550.20883="","-",255550.20883/1881236.72041*100)</f>
        <v>13.584160146220455</v>
      </c>
      <c r="D25" s="14">
        <f>IF(205243.41173="","-",205243.41173/1650717.59844*100)</f>
        <v>12.433587181960377</v>
      </c>
      <c r="E25" s="14">
        <f>IF(260010.27646="","-",260010.27646/2113068.17363*100)</f>
        <v>12.304869275151367</v>
      </c>
      <c r="F25" s="14">
        <f>IF(385212.62954="","-",385212.62954/2809489.71283*100)</f>
        <v>13.711124400308808</v>
      </c>
      <c r="G25" s="78">
        <f>IF(469433.79485="","-",469433.79485/2997495.34676*100)</f>
        <v>15.660868176406417</v>
      </c>
    </row>
    <row r="26" spans="1:7" x14ac:dyDescent="0.2">
      <c r="A26" s="156" t="s">
        <v>38</v>
      </c>
      <c r="B26" s="15">
        <f>IF(OR(153470.36396="",153470.36396="***"),"-",153470.36396/1770611.63183*100)</f>
        <v>8.6676468854653361</v>
      </c>
      <c r="C26" s="15">
        <f>IF(174829.22995="","-",174829.22995/1881236.72041*100)</f>
        <v>9.2933137043964038</v>
      </c>
      <c r="D26" s="15">
        <f>IF(148843.56904="","-",148843.56904/1650717.59844*100)</f>
        <v>9.0169008424374741</v>
      </c>
      <c r="E26" s="15">
        <f>IF(184343.40735="","-",184343.40735/2113068.17363*100)</f>
        <v>8.7239687602373905</v>
      </c>
      <c r="F26" s="15">
        <f>IF(229086.72479="","-",229086.72479/2809489.71283*100)</f>
        <v>8.1540332304417245</v>
      </c>
      <c r="G26" s="83">
        <f>IF(404606.03547="","-",404606.03547/2997495.34676*100)</f>
        <v>13.498137233385188</v>
      </c>
    </row>
    <row r="27" spans="1:7" x14ac:dyDescent="0.2">
      <c r="A27" s="156" t="s">
        <v>51</v>
      </c>
      <c r="B27" s="15">
        <f>IF(OR(187044.43351="",187044.43351="***"),"-",187044.43351/1770611.63183*100)</f>
        <v>10.563831737436507</v>
      </c>
      <c r="C27" s="15">
        <f>IF(182532.82735="","-",182532.82735/1881236.72041*100)</f>
        <v>9.7028101444999688</v>
      </c>
      <c r="D27" s="15">
        <f>IF(168421.35423="","-",168421.35423/1650717.59844*100)</f>
        <v>10.20291746990312</v>
      </c>
      <c r="E27" s="15">
        <f>IF(237248.97067="","-",237248.97067/2113068.17363*100)</f>
        <v>11.227700725927573</v>
      </c>
      <c r="F27" s="15">
        <f>IF(250659.53944="","-",250659.53944/2809489.71283*100)</f>
        <v>8.921888494388206</v>
      </c>
      <c r="G27" s="83">
        <f>IF(294386.77269="","-",294386.77269/2997495.34676*100)</f>
        <v>9.821091899548847</v>
      </c>
    </row>
    <row r="28" spans="1:7" x14ac:dyDescent="0.2">
      <c r="A28" s="156" t="s">
        <v>35</v>
      </c>
      <c r="B28" s="15">
        <f>IF(OR(108137.72188="",108137.72188="***"),"-",108137.72188/1770611.63183*100)</f>
        <v>6.10736538357851</v>
      </c>
      <c r="C28" s="15">
        <f>IF(121095.01835="","-",121095.01835/1881236.72041*100)</f>
        <v>6.4369899351958404</v>
      </c>
      <c r="D28" s="15">
        <f>IF(112021.7743="","-",112021.7743/1650717.59844*100)</f>
        <v>6.7862470483058672</v>
      </c>
      <c r="E28" s="15">
        <f>IF(156492.55804="","-",156492.55804/2113068.17363*100)</f>
        <v>7.4059398552752027</v>
      </c>
      <c r="F28" s="15">
        <f>IF(191162.02019="","-",191162.02019/2809489.71283*100)</f>
        <v>6.8041544810442609</v>
      </c>
      <c r="G28" s="83">
        <f>IF(247853.4596="","-",247853.4596/2997495.34676*100)</f>
        <v>8.2686853832118672</v>
      </c>
    </row>
    <row r="29" spans="1:7" x14ac:dyDescent="0.2">
      <c r="A29" s="156" t="s">
        <v>34</v>
      </c>
      <c r="B29" s="15">
        <f>IF(OR(153873.81093="",153873.81093="***"),"-",153873.81093/1770611.63183*100)</f>
        <v>8.6904326258698017</v>
      </c>
      <c r="C29" s="15">
        <f>IF(156512.43294="","-",156512.43294/1881236.72041*100)</f>
        <v>8.3196564920277236</v>
      </c>
      <c r="D29" s="15">
        <f>IF(139334.43134="","-",139334.43134/1650717.59844*100)</f>
        <v>8.4408400002324502</v>
      </c>
      <c r="E29" s="15">
        <f>IF(180282.13377="","-",180282.13377/2113068.17363*100)</f>
        <v>8.5317708164756798</v>
      </c>
      <c r="F29" s="15">
        <f>IF(190008.69625="","-",190008.69625/2809489.71283*100)</f>
        <v>6.7631034697259729</v>
      </c>
      <c r="G29" s="83">
        <f>IF(196016.36852="","-",196016.36852/2997495.34676*100)</f>
        <v>6.5393385424893005</v>
      </c>
    </row>
    <row r="30" spans="1:7" x14ac:dyDescent="0.2">
      <c r="A30" s="156" t="s">
        <v>60</v>
      </c>
      <c r="B30" s="15">
        <f>IF(OR(240695.97184="",240695.97184="***"),"-",240695.97184/1770611.63183*100)</f>
        <v>13.593945025156692</v>
      </c>
      <c r="C30" s="15">
        <f>IF(276238.40681="","-",276238.40681/1881236.72041*100)</f>
        <v>14.683872785015387</v>
      </c>
      <c r="D30" s="15">
        <f>IF(220849.55435="","-",220849.55435/1650717.59844*100)</f>
        <v>13.379002838445075</v>
      </c>
      <c r="E30" s="15">
        <f>IF(257697.75121="","-",257697.75121/2113068.17363*100)</f>
        <v>12.195430058809029</v>
      </c>
      <c r="F30" s="15">
        <f>IF(542594.41161="","-",542594.41161/2809489.71283*100)</f>
        <v>19.312916830844859</v>
      </c>
      <c r="G30" s="83">
        <f>IF(163095.6153="","-",163095.6153/2997495.34676*100)</f>
        <v>5.4410631688316196</v>
      </c>
    </row>
    <row r="31" spans="1:7" x14ac:dyDescent="0.2">
      <c r="A31" s="156" t="s">
        <v>36</v>
      </c>
      <c r="B31" s="15">
        <f>IF(OR(120295.37526="",120295.37526="***"),"-",120295.37526/1770611.63183*100)</f>
        <v>6.7940011856620286</v>
      </c>
      <c r="C31" s="15">
        <f>IF(127566.18653="","-",127566.18653/1881236.72041*100)</f>
        <v>6.7809747250839338</v>
      </c>
      <c r="D31" s="15">
        <f>IF(99670.36366="","-",99670.36366/1650717.59844*100)</f>
        <v>6.0380021242999309</v>
      </c>
      <c r="E31" s="15">
        <f>IF(139536.73614="","-",139536.73614/2113068.17363*100)</f>
        <v>6.6035132174790405</v>
      </c>
      <c r="F31" s="15">
        <f>IF(149873.15293="","-",149873.15293/2809489.71283*100)</f>
        <v>5.3345328956208462</v>
      </c>
      <c r="G31" s="83">
        <f>IF(148698.62912="","-",148698.62912/2997495.34676*100)</f>
        <v>4.9607626340680966</v>
      </c>
    </row>
    <row r="32" spans="1:7" x14ac:dyDescent="0.2">
      <c r="A32" s="156" t="s">
        <v>37</v>
      </c>
      <c r="B32" s="15">
        <f>IF(OR(61774.23896="",61774.23896="***"),"-",61774.23896/1770611.63183*100)</f>
        <v>3.4888644042258878</v>
      </c>
      <c r="C32" s="15">
        <f>IF(61566.3334="","-",61566.3334/1881236.72041*100)</f>
        <v>3.2726521193240439</v>
      </c>
      <c r="D32" s="15">
        <f>IF(63984.43875="","-",63984.43875/1650717.59844*100)</f>
        <v>3.8761589996052672</v>
      </c>
      <c r="E32" s="15">
        <f>IF(83196.92285="","-",83196.92285/2113068.17363*100)</f>
        <v>3.9372569180802897</v>
      </c>
      <c r="F32" s="15">
        <f>IF(93676.58369="","-",93676.58369/2809489.71283*100)</f>
        <v>3.3342917492173179</v>
      </c>
      <c r="G32" s="83">
        <f>IF(96476.7959="","-",96476.7959/2997495.34676*100)</f>
        <v>3.218580339224947</v>
      </c>
    </row>
    <row r="33" spans="1:7" x14ac:dyDescent="0.2">
      <c r="A33" s="156" t="s">
        <v>62</v>
      </c>
      <c r="B33" s="15">
        <f>IF(OR(57260.91407="",57260.91407="***"),"-",57260.91407/1770611.63183*100)</f>
        <v>3.2339623800403077</v>
      </c>
      <c r="C33" s="15">
        <f>IF(55362.34916="","-",55362.34916/1881236.72041*100)</f>
        <v>2.9428698982621513</v>
      </c>
      <c r="D33" s="15">
        <f>IF(52235.77398="","-",52235.77398/1650717.59844*100)</f>
        <v>3.1644282480155952</v>
      </c>
      <c r="E33" s="15">
        <f>IF(63848.9899="","-",63848.9899/2113068.17363*100)</f>
        <v>3.0216247017868345</v>
      </c>
      <c r="F33" s="15">
        <f>IF(76621.0769="","-",76621.0769/2809489.71283*100)</f>
        <v>2.7272239706056642</v>
      </c>
      <c r="G33" s="83">
        <f>IF(82642.25493="","-",82642.25493/2997495.34676*100)</f>
        <v>2.7570436437650589</v>
      </c>
    </row>
    <row r="34" spans="1:7" x14ac:dyDescent="0.2">
      <c r="A34" s="156" t="s">
        <v>40</v>
      </c>
      <c r="B34" s="15">
        <f>IF(OR(40917.38423="",40917.38423="***"),"-",40917.38423/1770611.63183*100)</f>
        <v>2.3109180745475055</v>
      </c>
      <c r="C34" s="15">
        <f>IF(37636.46661="","-",37636.46661/1881236.72041*100)</f>
        <v>2.0006236430361324</v>
      </c>
      <c r="D34" s="15">
        <f>IF(38048.09156="","-",38048.09156/1650717.59844*100)</f>
        <v>2.3049425047601781</v>
      </c>
      <c r="E34" s="15">
        <f>IF(43963.97088="","-",43963.97088/2113068.17363*100)</f>
        <v>2.0805751290302728</v>
      </c>
      <c r="F34" s="15">
        <f>IF(65086.59531="","-",65086.59531/2809489.71283*100)</f>
        <v>2.316669643343817</v>
      </c>
      <c r="G34" s="83">
        <f>IF(68553.50792="","-",68553.50792/2997495.34676*100)</f>
        <v>2.2870263333052261</v>
      </c>
    </row>
    <row r="35" spans="1:7" x14ac:dyDescent="0.2">
      <c r="A35" s="156" t="s">
        <v>59</v>
      </c>
      <c r="B35" s="15">
        <f>IF(OR(6652.4747="",6652.4747="***"),"-",6652.4747/1770611.63183*100)</f>
        <v>0.37571619774825454</v>
      </c>
      <c r="C35" s="15">
        <f>IF(6764.60829="","-",6764.60829/1881236.72041*100)</f>
        <v>0.35958304537696401</v>
      </c>
      <c r="D35" s="15">
        <f>IF(7742.47682="","-",7742.47682/1650717.59844*100)</f>
        <v>0.46903703136847735</v>
      </c>
      <c r="E35" s="15">
        <f>IF(9235.95195="","-",9235.95195/2113068.17363*100)</f>
        <v>0.4370872679480915</v>
      </c>
      <c r="F35" s="15">
        <f>IF(12209.82714="","-",12209.82714/2809489.71283*100)</f>
        <v>0.43459234195597168</v>
      </c>
      <c r="G35" s="83">
        <f>IF(64169.60608="","-",64169.60608/2997495.34676*100)</f>
        <v>2.1407741683189294</v>
      </c>
    </row>
    <row r="36" spans="1:7" ht="13.5" customHeight="1" x14ac:dyDescent="0.2">
      <c r="A36" s="156" t="s">
        <v>75</v>
      </c>
      <c r="B36" s="15">
        <f>IF(OR(9901.36351="",9901.36351="***"),"-",9901.36351/1770611.63183*100)</f>
        <v>0.55920583215453812</v>
      </c>
      <c r="C36" s="15">
        <f>IF(11629.90005="","-",11629.90005/1881236.72041*100)</f>
        <v>0.61820503096842372</v>
      </c>
      <c r="D36" s="15">
        <f>IF(11933.0918="","-",11933.0918/1650717.59844*100)</f>
        <v>0.7229032883200186</v>
      </c>
      <c r="E36" s="15">
        <f>IF(15478.38678="","-",15478.38678/2113068.17363*100)</f>
        <v>0.73250768589306658</v>
      </c>
      <c r="F36" s="15">
        <f>IF(49179.4553="","-",49179.4553/2809489.71283*100)</f>
        <v>1.7504764326209801</v>
      </c>
      <c r="G36" s="83">
        <f>IF(63889.21862="","-",63889.21862/2997495.34676*100)</f>
        <v>2.13142011009485</v>
      </c>
    </row>
    <row r="37" spans="1:7" ht="12" customHeight="1" x14ac:dyDescent="0.2">
      <c r="A37" s="156" t="s">
        <v>42</v>
      </c>
      <c r="B37" s="15">
        <f>IF(OR(18975.67845="",18975.67845="***"),"-",18975.67845/1770611.63183*100)</f>
        <v>1.0717018971793297</v>
      </c>
      <c r="C37" s="15">
        <f>IF(14961.86687="","-",14961.86687/1881236.72041*100)</f>
        <v>0.79532079656297505</v>
      </c>
      <c r="D37" s="15">
        <f>IF(17894.21449="","-",17894.21449/1650717.59844*100)</f>
        <v>1.0840263959692931</v>
      </c>
      <c r="E37" s="15">
        <f>IF(23917.00583="","-",23917.00583/2113068.17363*100)</f>
        <v>1.131861533313117</v>
      </c>
      <c r="F37" s="15">
        <f>IF(36060.22282="","-",36060.22282/2809489.71283*100)</f>
        <v>1.2835150331864547</v>
      </c>
      <c r="G37" s="83">
        <f>IF(55528.88028="","-",55528.88028/2997495.34676*100)</f>
        <v>1.852509307146091</v>
      </c>
    </row>
    <row r="38" spans="1:7" ht="11.25" customHeight="1" x14ac:dyDescent="0.2">
      <c r="A38" s="156" t="s">
        <v>63</v>
      </c>
      <c r="B38" s="15">
        <f>IF(OR(26599.5177="",26599.5177="***"),"-",26599.5177/1770611.63183*100)</f>
        <v>1.502278490766962</v>
      </c>
      <c r="C38" s="15">
        <f>IF(34668.93035="","-",34668.93035/1881236.72041*100)</f>
        <v>1.8428797383055651</v>
      </c>
      <c r="D38" s="15">
        <f>IF(26097.18162="","-",26097.18162/1650717.59844*100)</f>
        <v>1.5809597986150368</v>
      </c>
      <c r="E38" s="15">
        <f>IF(36111.57025="","-",36111.57025/2113068.17363*100)</f>
        <v>1.7089638044173752</v>
      </c>
      <c r="F38" s="15">
        <f>IF(40409.61948="","-",40409.61948/2809489.71283*100)</f>
        <v>1.4383259456499442</v>
      </c>
      <c r="G38" s="83">
        <f>IF(44488.88694="","-",44488.88694/2997495.34676*100)</f>
        <v>1.4842020351453802</v>
      </c>
    </row>
    <row r="39" spans="1:7" x14ac:dyDescent="0.2">
      <c r="A39" s="156" t="s">
        <v>90</v>
      </c>
      <c r="B39" s="15">
        <f>IF(OR(677.97872="",677.97872="***"),"-",677.97872/1770611.63183*100)</f>
        <v>3.8290650971228572E-2</v>
      </c>
      <c r="C39" s="15">
        <f>IF(2334.44753="","-",2334.44753/1881236.72041*100)</f>
        <v>0.12409111010182845</v>
      </c>
      <c r="D39" s="15">
        <f>IF(3716.24789="","-",3716.24789/1650717.59844*100)</f>
        <v>0.22512923431070317</v>
      </c>
      <c r="E39" s="15">
        <f>IF(4374.84031="","-",4374.84031/2113068.17363*100)</f>
        <v>0.20703734808917895</v>
      </c>
      <c r="F39" s="15">
        <f>IF(5950.54492="","-",5950.54492/2809489.71283*100)</f>
        <v>0.21180162692270599</v>
      </c>
      <c r="G39" s="83">
        <f>IF(42918.05758="","-",42918.05758/2997495.34676*100)</f>
        <v>1.4317973045859849</v>
      </c>
    </row>
    <row r="40" spans="1:7" x14ac:dyDescent="0.2">
      <c r="A40" s="156" t="s">
        <v>64</v>
      </c>
      <c r="B40" s="15">
        <f>IF(OR(25604.80354="",25604.80354="***"),"-",25604.80354/1770611.63183*100)</f>
        <v>1.4460993636157458</v>
      </c>
      <c r="C40" s="15">
        <f>IF(24827.12116="","-",24827.12116/1881236.72041*100)</f>
        <v>1.3197233974142888</v>
      </c>
      <c r="D40" s="15">
        <f>IF(22450.03475="","-",22450.03475/1650717.59844*100)</f>
        <v>1.3600166843326962</v>
      </c>
      <c r="E40" s="15">
        <f>IF(31870.06749="","-",31870.06749/2113068.17363*100)</f>
        <v>1.5082365958525139</v>
      </c>
      <c r="F40" s="15">
        <f>IF(51931.49319="","-",51931.49319/2809489.71283*100)</f>
        <v>1.8484315124147364</v>
      </c>
      <c r="G40" s="83">
        <f>IF(41652.57957="","-",41652.57957/2997495.34676*100)</f>
        <v>1.3895794572299294</v>
      </c>
    </row>
    <row r="41" spans="1:7" x14ac:dyDescent="0.2">
      <c r="A41" s="156" t="s">
        <v>41</v>
      </c>
      <c r="B41" s="15">
        <f>IF(OR(26558.60331="",26558.60331="***"),"-",26558.60331/1770611.63183*100)</f>
        <v>1.4999677417995152</v>
      </c>
      <c r="C41" s="15">
        <f>IF(28483.26378="","-",28483.26378/1881236.72041*100)</f>
        <v>1.5140712208611529</v>
      </c>
      <c r="D41" s="15">
        <f>IF(26933.85261="","-",26933.85261/1650717.59844*100)</f>
        <v>1.6316450878971462</v>
      </c>
      <c r="E41" s="15">
        <f>IF(31193.72052="","-",31193.72052/2113068.17363*100)</f>
        <v>1.47622877999307</v>
      </c>
      <c r="F41" s="15">
        <f>IF(39160.43568="","-",39160.43568/2809489.71283*100)</f>
        <v>1.3938629318045688</v>
      </c>
      <c r="G41" s="83">
        <f>IF(40474.63549="","-",40474.63549/2997495.34676*100)</f>
        <v>1.3502818455998316</v>
      </c>
    </row>
    <row r="42" spans="1:7" x14ac:dyDescent="0.2">
      <c r="A42" s="156" t="s">
        <v>52</v>
      </c>
      <c r="B42" s="15">
        <f>IF(OR(33601.62551="",33601.62551="***"),"-",33601.62551/1770611.63183*100)</f>
        <v>1.8977411480840287</v>
      </c>
      <c r="C42" s="15">
        <f>IF(29700.83622="","-",29700.83622/1881236.72041*100)</f>
        <v>1.5787931363325156</v>
      </c>
      <c r="D42" s="15">
        <f>IF(19853.67228="","-",19853.67228/1650717.59844*100)</f>
        <v>1.2027297884727577</v>
      </c>
      <c r="E42" s="15">
        <f>IF(30767.36633="","-",30767.36633/2113068.17363*100)</f>
        <v>1.4560517598987504</v>
      </c>
      <c r="F42" s="15">
        <f>IF(28058.98764="","-",28058.98764/2809489.71283*100)</f>
        <v>0.99872185015890902</v>
      </c>
      <c r="G42" s="83">
        <f>IF(31583.22157="","-",31583.22157/2997495.34676*100)</f>
        <v>1.0536537314107386</v>
      </c>
    </row>
    <row r="43" spans="1:7" x14ac:dyDescent="0.2">
      <c r="A43" s="156" t="s">
        <v>80</v>
      </c>
      <c r="B43" s="15">
        <f>IF(OR(20461.93146="",20461.93146="***"),"-",20461.93146/1770611.63183*100)</f>
        <v>1.1556419878961119</v>
      </c>
      <c r="C43" s="15">
        <f>IF(18909.6435="","-",18909.6435/1881236.72041*100)</f>
        <v>1.0051708695053962</v>
      </c>
      <c r="D43" s="15">
        <f>IF(17622.66859="","-",17622.66859/1650717.59844*100)</f>
        <v>1.0675762230107795</v>
      </c>
      <c r="E43" s="15">
        <f>IF(22351.23001="","-",22351.23001/2113068.17363*100)</f>
        <v>1.0577618975540786</v>
      </c>
      <c r="F43" s="15">
        <f>IF(28889.75496="","-",28889.75496/2809489.71283*100)</f>
        <v>1.0282918932954319</v>
      </c>
      <c r="G43" s="83">
        <f>IF(29495.7929="","-",29495.7929/2997495.34676*100)</f>
        <v>0.98401463514804366</v>
      </c>
    </row>
    <row r="44" spans="1:7" ht="12" customHeight="1" x14ac:dyDescent="0.2">
      <c r="A44" s="156" t="s">
        <v>39</v>
      </c>
      <c r="B44" s="15">
        <f>IF(OR(27011.96467="",27011.96467="***"),"-",27011.96467/1770611.63183*100)</f>
        <v>1.5255725301026077</v>
      </c>
      <c r="C44" s="15">
        <f>IF(40098.1554="","-",40098.1554/1881236.72041*100)</f>
        <v>2.1314784558989972</v>
      </c>
      <c r="D44" s="15">
        <f>IF(31036.23113="","-",31036.23113/1650717.59844*100)</f>
        <v>1.8801660053379565</v>
      </c>
      <c r="E44" s="15">
        <f>IF(38965.31052="","-",38965.31052/2113068.17363*100)</f>
        <v>1.8440157779226887</v>
      </c>
      <c r="F44" s="15">
        <f>IF(37960.74872="","-",37960.74872/2809489.71283*100)</f>
        <v>1.351161691272474</v>
      </c>
      <c r="G44" s="83">
        <f>IF(28695.77639="","-",28695.77639/2997495.34676*100)</f>
        <v>0.95732513550078835</v>
      </c>
    </row>
    <row r="45" spans="1:7" x14ac:dyDescent="0.2">
      <c r="A45" s="156" t="s">
        <v>84</v>
      </c>
      <c r="B45" s="15">
        <f>IF(OR(9613.88021="",9613.88021="***"),"-",9613.88021/1770611.63183*100)</f>
        <v>0.54296944836308669</v>
      </c>
      <c r="C45" s="15">
        <f>IF(11036.96587="","-",11036.96587/1881236.72041*100)</f>
        <v>0.58668671253634597</v>
      </c>
      <c r="D45" s="15">
        <f>IF(7650.21244="","-",7650.21244/1650717.59844*100)</f>
        <v>0.46344768161615191</v>
      </c>
      <c r="E45" s="15">
        <f>IF(10668.03364="","-",10668.03364/2113068.17363*100)</f>
        <v>0.50485988919484726</v>
      </c>
      <c r="F45" s="15">
        <f>IF(16095.803="","-",16095.803/2809489.71283*100)</f>
        <v>0.57290841559219274</v>
      </c>
      <c r="G45" s="83">
        <f>IF(28475.47697="","-",28475.47697/2997495.34676*100)</f>
        <v>0.949975685559586</v>
      </c>
    </row>
    <row r="46" spans="1:7" x14ac:dyDescent="0.2">
      <c r="A46" s="156" t="s">
        <v>82</v>
      </c>
      <c r="B46" s="15">
        <f>IF(OR(16247.23585="",16247.23585="***"),"-",16247.23585/1770611.63183*100)</f>
        <v>0.91760584635987119</v>
      </c>
      <c r="C46" s="15">
        <f>IF(15218.87569="","-",15218.87569/1881236.72041*100)</f>
        <v>0.80898249140507805</v>
      </c>
      <c r="D46" s="15">
        <f>IF(16257.53407="","-",16257.53407/1650717.59844*100)</f>
        <v>0.98487676422448489</v>
      </c>
      <c r="E46" s="15">
        <f>IF(20674.55767="","-",20674.55767/2113068.17363*100)</f>
        <v>0.97841413391237464</v>
      </c>
      <c r="F46" s="15">
        <f>IF(15723.26988="","-",15723.26988/2809489.71283*100)</f>
        <v>0.55964860124588056</v>
      </c>
      <c r="G46" s="83">
        <f>IF(28070.75793="","-",28070.75793/2997495.34676*100)</f>
        <v>0.93647377836104906</v>
      </c>
    </row>
    <row r="47" spans="1:7" x14ac:dyDescent="0.2">
      <c r="A47" s="156" t="s">
        <v>43</v>
      </c>
      <c r="B47" s="15">
        <f>IF(OR(19177.88399="",19177.88399="***"),"-",19177.88399/1770611.63183*100)</f>
        <v>1.08312199271948</v>
      </c>
      <c r="C47" s="15">
        <f>IF(19551.96446="","-",19551.96446/1881236.72041*100)</f>
        <v>1.039314417365764</v>
      </c>
      <c r="D47" s="15">
        <f>IF(18633.42412="","-",18633.42412/1650717.59844*100)</f>
        <v>1.1288075039370391</v>
      </c>
      <c r="E47" s="15">
        <f>IF(20566.54832="","-",20566.54832/2113068.17363*100)</f>
        <v>0.97330264005013689</v>
      </c>
      <c r="F47" s="15">
        <f>IF(23030.39922="","-",23030.39922/2809489.71283*100)</f>
        <v>0.81973602233985299</v>
      </c>
      <c r="G47" s="83">
        <f>IF(25217.82349="","-",25217.82349/2997495.34676*100)</f>
        <v>0.84129650166956893</v>
      </c>
    </row>
    <row r="48" spans="1:7" x14ac:dyDescent="0.2">
      <c r="A48" s="157" t="s">
        <v>83</v>
      </c>
      <c r="B48" s="10">
        <f>IF(OR(13653.85127="",13653.85127="***"),"-",13653.85127/1770611.63183*100)</f>
        <v>0.77113755634193937</v>
      </c>
      <c r="C48" s="10">
        <f>IF(13520.5981="","-",13520.5981/1881236.72041*100)</f>
        <v>0.7187079623373126</v>
      </c>
      <c r="D48" s="10">
        <f>IF(12088.19169="","-",12088.19169/1650717.59844*100)</f>
        <v>0.73229919529687371</v>
      </c>
      <c r="E48" s="10">
        <f>IF(15683.19635="","-",15683.19635/2113068.17363*100)</f>
        <v>0.74220020658671571</v>
      </c>
      <c r="F48" s="10">
        <f>IF(16620.08752="","-",16620.08752/2809489.71283*100)</f>
        <v>0.59156961650728312</v>
      </c>
      <c r="G48" s="101">
        <f>IF(21671.61723="","-",21671.61723/2997495.34676*100)</f>
        <v>0.72299085479565139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8"/>
  <sheetViews>
    <sheetView workbookViewId="0">
      <selection activeCell="F36" sqref="F36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ht="12.75" x14ac:dyDescent="0.2">
      <c r="A2" s="112" t="s">
        <v>92</v>
      </c>
      <c r="B2" s="112"/>
      <c r="C2" s="112"/>
      <c r="D2" s="112"/>
      <c r="E2" s="112"/>
      <c r="F2" s="112"/>
      <c r="G2" s="112"/>
    </row>
    <row r="3" spans="1:10" x14ac:dyDescent="0.2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5"/>
    </row>
    <row r="22" spans="1:6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9.75" customHeight="1" x14ac:dyDescent="0.2">
      <c r="A25" s="5"/>
    </row>
    <row r="26" spans="1:6" x14ac:dyDescent="0.2">
      <c r="A26" s="5"/>
    </row>
    <row r="27" spans="1:6" x14ac:dyDescent="0.2">
      <c r="A27" s="98" t="s">
        <v>109</v>
      </c>
      <c r="B27" s="37" t="s">
        <v>44</v>
      </c>
    </row>
    <row r="28" spans="1:6" x14ac:dyDescent="0.2">
      <c r="A28" s="158" t="s">
        <v>86</v>
      </c>
      <c r="B28" s="145">
        <v>11.4</v>
      </c>
    </row>
    <row r="29" spans="1:6" ht="13.5" customHeight="1" x14ac:dyDescent="0.2">
      <c r="A29" s="159" t="s">
        <v>76</v>
      </c>
      <c r="B29" s="146">
        <v>13.3</v>
      </c>
    </row>
    <row r="30" spans="1:6" x14ac:dyDescent="0.2">
      <c r="A30" s="159" t="s">
        <v>70</v>
      </c>
      <c r="B30" s="146">
        <v>6</v>
      </c>
    </row>
    <row r="31" spans="1:6" x14ac:dyDescent="0.2">
      <c r="A31" s="159" t="s">
        <v>81</v>
      </c>
      <c r="B31" s="146">
        <v>5.2</v>
      </c>
    </row>
    <row r="32" spans="1:6" x14ac:dyDescent="0.2">
      <c r="A32" s="159" t="s">
        <v>69</v>
      </c>
      <c r="B32" s="146">
        <v>3.8</v>
      </c>
    </row>
    <row r="33" spans="1:5" x14ac:dyDescent="0.2">
      <c r="A33" s="159" t="s">
        <v>87</v>
      </c>
      <c r="B33" s="146">
        <v>3.8</v>
      </c>
    </row>
    <row r="34" spans="1:5" x14ac:dyDescent="0.2">
      <c r="A34" s="159" t="s">
        <v>66</v>
      </c>
      <c r="B34" s="146">
        <v>2.7</v>
      </c>
    </row>
    <row r="35" spans="1:5" x14ac:dyDescent="0.2">
      <c r="A35" s="159" t="s">
        <v>99</v>
      </c>
      <c r="B35" s="146">
        <v>2.4</v>
      </c>
    </row>
    <row r="36" spans="1:5" x14ac:dyDescent="0.2">
      <c r="A36" s="159" t="s">
        <v>79</v>
      </c>
      <c r="B36" s="146">
        <v>2.6</v>
      </c>
    </row>
    <row r="37" spans="1:5" x14ac:dyDescent="0.2">
      <c r="A37" s="159" t="s">
        <v>77</v>
      </c>
      <c r="B37" s="146">
        <v>3.5</v>
      </c>
    </row>
    <row r="38" spans="1:5" x14ac:dyDescent="0.2">
      <c r="A38" s="159" t="s">
        <v>89</v>
      </c>
      <c r="B38" s="146">
        <v>1.9</v>
      </c>
    </row>
    <row r="39" spans="1:5" x14ac:dyDescent="0.2">
      <c r="A39" s="159" t="s">
        <v>72</v>
      </c>
      <c r="B39" s="146">
        <v>2.1</v>
      </c>
    </row>
    <row r="40" spans="1:5" x14ac:dyDescent="0.2">
      <c r="A40" s="159" t="s">
        <v>65</v>
      </c>
      <c r="B40" s="146">
        <v>2.1</v>
      </c>
    </row>
    <row r="41" spans="1:5" x14ac:dyDescent="0.2">
      <c r="A41" s="160" t="s">
        <v>73</v>
      </c>
      <c r="B41" s="161">
        <v>39.200000000000003</v>
      </c>
    </row>
    <row r="42" spans="1:5" x14ac:dyDescent="0.2">
      <c r="A42" s="60"/>
      <c r="B42" s="33"/>
    </row>
    <row r="43" spans="1:5" ht="11.25" customHeight="1" x14ac:dyDescent="0.2">
      <c r="A43" s="98" t="s">
        <v>110</v>
      </c>
      <c r="B43" s="57" t="s">
        <v>44</v>
      </c>
    </row>
    <row r="44" spans="1:5" ht="15" x14ac:dyDescent="0.2">
      <c r="A44" s="158" t="s">
        <v>86</v>
      </c>
      <c r="B44" s="145">
        <v>16.5</v>
      </c>
      <c r="E44" s="110"/>
    </row>
    <row r="45" spans="1:5" ht="12" customHeight="1" x14ac:dyDescent="0.2">
      <c r="A45" s="159" t="s">
        <v>76</v>
      </c>
      <c r="B45" s="146">
        <v>10.3</v>
      </c>
      <c r="E45" s="110"/>
    </row>
    <row r="46" spans="1:5" ht="12.75" customHeight="1" x14ac:dyDescent="0.2">
      <c r="A46" s="159" t="s">
        <v>70</v>
      </c>
      <c r="B46" s="146">
        <v>6.8</v>
      </c>
      <c r="E46" s="110"/>
    </row>
    <row r="47" spans="1:5" ht="12.75" customHeight="1" x14ac:dyDescent="0.2">
      <c r="A47" s="159" t="s">
        <v>81</v>
      </c>
      <c r="B47" s="146">
        <v>6</v>
      </c>
      <c r="E47" s="110"/>
    </row>
    <row r="48" spans="1:5" ht="12" customHeight="1" x14ac:dyDescent="0.2">
      <c r="A48" s="159" t="s">
        <v>69</v>
      </c>
      <c r="B48" s="146">
        <v>3.4</v>
      </c>
      <c r="E48" s="110"/>
    </row>
    <row r="49" spans="1:5" ht="12" customHeight="1" x14ac:dyDescent="0.2">
      <c r="A49" s="159" t="s">
        <v>87</v>
      </c>
      <c r="B49" s="146">
        <v>3.3</v>
      </c>
      <c r="E49" s="110"/>
    </row>
    <row r="50" spans="1:5" ht="12" customHeight="1" x14ac:dyDescent="0.2">
      <c r="A50" s="159" t="s">
        <v>66</v>
      </c>
      <c r="B50" s="146">
        <v>2.9</v>
      </c>
      <c r="E50" s="110"/>
    </row>
    <row r="51" spans="1:5" ht="12" customHeight="1" x14ac:dyDescent="0.2">
      <c r="A51" s="159" t="s">
        <v>99</v>
      </c>
      <c r="B51" s="146">
        <v>2.6</v>
      </c>
      <c r="E51" s="110"/>
    </row>
    <row r="52" spans="1:5" ht="11.25" customHeight="1" x14ac:dyDescent="0.2">
      <c r="A52" s="159" t="s">
        <v>79</v>
      </c>
      <c r="B52" s="146">
        <v>2.4</v>
      </c>
      <c r="E52" s="110"/>
    </row>
    <row r="53" spans="1:5" ht="13.5" customHeight="1" x14ac:dyDescent="0.2">
      <c r="A53" s="159" t="s">
        <v>77</v>
      </c>
      <c r="B53" s="146">
        <v>2.2999999999999998</v>
      </c>
      <c r="E53" s="110"/>
    </row>
    <row r="54" spans="1:5" ht="12" customHeight="1" x14ac:dyDescent="0.2">
      <c r="A54" s="159" t="s">
        <v>89</v>
      </c>
      <c r="B54" s="146">
        <v>2.2000000000000002</v>
      </c>
      <c r="E54" s="110"/>
    </row>
    <row r="55" spans="1:5" ht="12" customHeight="1" x14ac:dyDescent="0.2">
      <c r="A55" s="159" t="s">
        <v>72</v>
      </c>
      <c r="B55" s="146">
        <v>2.1</v>
      </c>
      <c r="E55" s="110"/>
    </row>
    <row r="56" spans="1:5" ht="10.5" customHeight="1" x14ac:dyDescent="0.2">
      <c r="A56" s="159" t="s">
        <v>65</v>
      </c>
      <c r="B56" s="146">
        <v>2</v>
      </c>
      <c r="E56" s="110"/>
    </row>
    <row r="57" spans="1:5" ht="11.25" customHeight="1" x14ac:dyDescent="0.2">
      <c r="A57" s="160" t="s">
        <v>73</v>
      </c>
      <c r="B57" s="161">
        <v>37.200000000000003</v>
      </c>
      <c r="E57" s="110"/>
    </row>
    <row r="58" spans="1:5" x14ac:dyDescent="0.2">
      <c r="A58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M35" sqref="M35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ht="12.75" x14ac:dyDescent="0.2">
      <c r="A2" s="118" t="s">
        <v>97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x14ac:dyDescent="0.2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x14ac:dyDescent="0.2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x14ac:dyDescent="0.2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x14ac:dyDescent="0.2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-422.8</v>
      </c>
      <c r="I27" s="33">
        <v>-450.6</v>
      </c>
      <c r="J27" s="33">
        <v>-525.29999999999995</v>
      </c>
      <c r="K27" s="33">
        <v>-399.2</v>
      </c>
      <c r="L27" s="33">
        <v>-502.5</v>
      </c>
      <c r="M27" s="34">
        <v>-524.29999999999995</v>
      </c>
    </row>
    <row r="28" spans="1:13" x14ac:dyDescent="0.2">
      <c r="A28" s="29">
        <v>2023</v>
      </c>
      <c r="B28" s="10">
        <v>-402.2</v>
      </c>
      <c r="C28" s="10">
        <v>-396.5</v>
      </c>
      <c r="D28" s="35">
        <v>-436.2</v>
      </c>
      <c r="E28" s="35">
        <v>-373.6</v>
      </c>
      <c r="F28" s="35"/>
      <c r="G28" s="35"/>
      <c r="H28" s="35"/>
      <c r="I28" s="35"/>
      <c r="J28" s="35"/>
      <c r="K28" s="35"/>
      <c r="L28" s="35"/>
      <c r="M28" s="36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4"/>
  <sheetViews>
    <sheetView zoomScaleNormal="100" workbookViewId="0">
      <selection activeCell="J30" sqref="J30"/>
    </sheetView>
  </sheetViews>
  <sheetFormatPr defaultRowHeight="12" x14ac:dyDescent="0.2"/>
  <cols>
    <col min="1" max="1" width="20.85546875" style="3" customWidth="1"/>
    <col min="2" max="2" width="21.5703125" style="3" customWidth="1"/>
    <col min="3" max="3" width="21.42578125" style="3" customWidth="1"/>
    <col min="4" max="4" width="22.140625" style="3" customWidth="1"/>
    <col min="5" max="16384" width="9.140625" style="3"/>
  </cols>
  <sheetData>
    <row r="2" spans="1:13" ht="12.75" x14ac:dyDescent="0.2">
      <c r="A2" s="122" t="s">
        <v>117</v>
      </c>
      <c r="B2" s="122"/>
      <c r="C2" s="122"/>
      <c r="D2" s="122"/>
      <c r="E2" s="122"/>
      <c r="F2" s="122"/>
      <c r="G2" s="39"/>
      <c r="H2" s="39"/>
      <c r="I2" s="39"/>
      <c r="J2" s="39"/>
      <c r="K2" s="39"/>
      <c r="L2" s="39"/>
      <c r="M2" s="39"/>
    </row>
    <row r="3" spans="1:13" x14ac:dyDescent="0.2">
      <c r="A3" s="74"/>
      <c r="B3" s="74"/>
      <c r="C3" s="74"/>
      <c r="D3" s="74"/>
      <c r="E3" s="74"/>
      <c r="F3" s="74"/>
      <c r="G3" s="39"/>
      <c r="H3" s="39"/>
      <c r="I3" s="39"/>
      <c r="J3" s="39"/>
      <c r="K3" s="39"/>
      <c r="L3" s="39"/>
      <c r="M3" s="39"/>
    </row>
    <row r="4" spans="1:13" ht="19.5" customHeight="1" x14ac:dyDescent="0.2">
      <c r="A4" s="4"/>
      <c r="B4" s="4"/>
      <c r="C4" s="4"/>
      <c r="D4" s="4"/>
      <c r="E4" s="4"/>
      <c r="F4" s="4"/>
    </row>
    <row r="5" spans="1:13" ht="17.25" customHeight="1" x14ac:dyDescent="0.2">
      <c r="A5" s="4"/>
      <c r="B5" s="4"/>
      <c r="C5" s="4"/>
      <c r="D5" s="4"/>
      <c r="E5" s="4"/>
      <c r="F5" s="4"/>
    </row>
    <row r="6" spans="1:13" ht="15" customHeight="1" x14ac:dyDescent="0.2">
      <c r="A6" s="4"/>
      <c r="B6" s="4"/>
      <c r="C6" s="4"/>
      <c r="D6" s="4"/>
      <c r="E6" s="4"/>
      <c r="F6" s="4"/>
    </row>
    <row r="7" spans="1:13" ht="16.5" customHeight="1" x14ac:dyDescent="0.2">
      <c r="A7" s="4"/>
      <c r="B7" s="4"/>
      <c r="C7" s="4"/>
      <c r="D7" s="4"/>
      <c r="E7" s="4"/>
      <c r="F7" s="4"/>
    </row>
    <row r="8" spans="1:13" ht="16.5" customHeight="1" x14ac:dyDescent="0.2">
      <c r="A8" s="4"/>
      <c r="B8" s="4"/>
      <c r="C8" s="4"/>
      <c r="D8" s="4"/>
      <c r="E8" s="4"/>
      <c r="F8" s="4"/>
    </row>
    <row r="9" spans="1:13" ht="13.5" customHeight="1" x14ac:dyDescent="0.2">
      <c r="A9" s="4"/>
      <c r="B9" s="4"/>
      <c r="C9" s="4"/>
      <c r="D9" s="4"/>
      <c r="E9" s="4"/>
      <c r="F9" s="4"/>
    </row>
    <row r="10" spans="1:13" ht="14.25" customHeight="1" x14ac:dyDescent="0.2">
      <c r="A10" s="4"/>
      <c r="B10" s="4"/>
      <c r="C10" s="4"/>
      <c r="D10" s="4"/>
      <c r="E10" s="4"/>
      <c r="F10" s="4"/>
    </row>
    <row r="11" spans="1:13" ht="14.25" customHeight="1" x14ac:dyDescent="0.2">
      <c r="A11" s="4"/>
      <c r="B11" s="4"/>
      <c r="C11" s="4"/>
      <c r="D11" s="4"/>
      <c r="E11" s="4"/>
      <c r="F11" s="4"/>
    </row>
    <row r="12" spans="1:13" ht="16.5" customHeight="1" x14ac:dyDescent="0.2">
      <c r="A12" s="4"/>
      <c r="B12" s="4"/>
      <c r="C12" s="4"/>
      <c r="D12" s="4"/>
      <c r="E12" s="4"/>
      <c r="F12" s="4"/>
    </row>
    <row r="13" spans="1:13" ht="15" customHeight="1" x14ac:dyDescent="0.2">
      <c r="A13" s="4"/>
      <c r="B13" s="4"/>
      <c r="C13" s="4"/>
      <c r="D13" s="4"/>
      <c r="E13" s="4"/>
      <c r="F13" s="4"/>
    </row>
    <row r="14" spans="1:13" ht="15" customHeight="1" x14ac:dyDescent="0.2">
      <c r="A14" s="4"/>
      <c r="B14" s="4"/>
      <c r="C14" s="4"/>
      <c r="D14" s="4"/>
      <c r="E14" s="4"/>
      <c r="F14" s="4"/>
    </row>
    <row r="15" spans="1:13" ht="13.5" customHeight="1" x14ac:dyDescent="0.2">
      <c r="A15" s="4"/>
      <c r="B15" s="4"/>
      <c r="C15" s="4"/>
      <c r="D15" s="4"/>
      <c r="E15" s="4"/>
      <c r="F15" s="4"/>
    </row>
    <row r="16" spans="1:13" ht="14.25" customHeight="1" x14ac:dyDescent="0.2">
      <c r="A16" s="4"/>
      <c r="B16" s="4"/>
      <c r="C16" s="4"/>
      <c r="D16" s="4"/>
      <c r="E16" s="4"/>
      <c r="F16" s="4"/>
    </row>
    <row r="17" spans="1:6" ht="16.5" customHeight="1" x14ac:dyDescent="0.2">
      <c r="A17" s="4"/>
      <c r="B17" s="4"/>
      <c r="C17" s="4"/>
      <c r="D17" s="4"/>
      <c r="E17" s="4"/>
      <c r="F17" s="4"/>
    </row>
    <row r="18" spans="1:6" ht="16.5" customHeight="1" x14ac:dyDescent="0.2">
      <c r="A18" s="4"/>
      <c r="B18" s="4"/>
      <c r="C18" s="4"/>
      <c r="D18" s="4"/>
      <c r="E18" s="4"/>
      <c r="F18" s="4"/>
    </row>
    <row r="19" spans="1:6" ht="16.5" customHeight="1" x14ac:dyDescent="0.2">
      <c r="A19" s="4"/>
      <c r="B19" s="4"/>
      <c r="C19" s="4"/>
      <c r="D19" s="4"/>
      <c r="E19" s="4"/>
      <c r="F19" s="4"/>
    </row>
    <row r="20" spans="1:6" ht="15.75" customHeight="1" x14ac:dyDescent="0.2">
      <c r="A20" s="4"/>
      <c r="B20" s="4"/>
      <c r="C20" s="4"/>
      <c r="D20" s="4"/>
      <c r="E20" s="4"/>
      <c r="F20" s="4"/>
    </row>
    <row r="21" spans="1:6" ht="12.75" customHeight="1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7" spans="1:6" x14ac:dyDescent="0.2">
      <c r="A27" s="96" t="s">
        <v>53</v>
      </c>
      <c r="B27" s="21" t="s">
        <v>54</v>
      </c>
      <c r="C27" s="21" t="s">
        <v>55</v>
      </c>
      <c r="D27" s="22" t="s">
        <v>56</v>
      </c>
    </row>
    <row r="28" spans="1:6" ht="15.75" customHeight="1" x14ac:dyDescent="0.2">
      <c r="A28" s="94" t="s">
        <v>106</v>
      </c>
      <c r="B28" s="89">
        <v>877.6</v>
      </c>
      <c r="C28" s="89">
        <v>1770.6</v>
      </c>
      <c r="D28" s="89">
        <v>-893</v>
      </c>
    </row>
    <row r="29" spans="1:6" ht="15" customHeight="1" x14ac:dyDescent="0.2">
      <c r="A29" s="95" t="s">
        <v>105</v>
      </c>
      <c r="B29" s="89">
        <v>948.5</v>
      </c>
      <c r="C29" s="89">
        <v>1881.2</v>
      </c>
      <c r="D29" s="89">
        <v>-932.7</v>
      </c>
    </row>
    <row r="30" spans="1:6" ht="14.25" customHeight="1" x14ac:dyDescent="0.2">
      <c r="A30" s="95" t="s">
        <v>104</v>
      </c>
      <c r="B30" s="89">
        <v>824.9</v>
      </c>
      <c r="C30" s="89">
        <v>1650.7</v>
      </c>
      <c r="D30" s="89">
        <v>-825.8</v>
      </c>
    </row>
    <row r="31" spans="1:6" ht="14.25" customHeight="1" x14ac:dyDescent="0.2">
      <c r="A31" s="95" t="s">
        <v>103</v>
      </c>
      <c r="B31" s="89">
        <v>903</v>
      </c>
      <c r="C31" s="89">
        <v>2113.1</v>
      </c>
      <c r="D31" s="89">
        <v>-1210.0999999999999</v>
      </c>
    </row>
    <row r="32" spans="1:6" ht="13.5" customHeight="1" x14ac:dyDescent="0.2">
      <c r="A32" s="95" t="s">
        <v>102</v>
      </c>
      <c r="B32" s="89">
        <v>1459</v>
      </c>
      <c r="C32" s="89">
        <v>2809.5</v>
      </c>
      <c r="D32" s="89">
        <v>-1350.5</v>
      </c>
    </row>
    <row r="33" spans="1:4" ht="13.5" customHeight="1" x14ac:dyDescent="0.2">
      <c r="A33" s="95" t="s">
        <v>101</v>
      </c>
      <c r="B33" s="89">
        <v>1389</v>
      </c>
      <c r="C33" s="89">
        <v>2997.5</v>
      </c>
      <c r="D33" s="89">
        <v>-1608.5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38"/>
  <sheetViews>
    <sheetView workbookViewId="0">
      <selection activeCell="A25" sqref="A25:A26"/>
    </sheetView>
  </sheetViews>
  <sheetFormatPr defaultRowHeight="12" x14ac:dyDescent="0.2"/>
  <cols>
    <col min="1" max="1" width="17.85546875" style="3" customWidth="1"/>
    <col min="2" max="2" width="5" style="3" customWidth="1"/>
    <col min="3" max="3" width="5.85546875" style="3" customWidth="1"/>
    <col min="4" max="4" width="5.7109375" style="3" customWidth="1"/>
    <col min="5" max="5" width="5.85546875" style="3" customWidth="1"/>
    <col min="6" max="6" width="6.140625" style="3" customWidth="1"/>
    <col min="7" max="8" width="5.5703125" style="3" customWidth="1"/>
    <col min="9" max="9" width="5.42578125" style="3" customWidth="1"/>
    <col min="10" max="10" width="5.7109375" style="3" customWidth="1"/>
    <col min="11" max="11" width="5.5703125" style="3" customWidth="1"/>
    <col min="12" max="12" width="6.140625" style="3" customWidth="1"/>
    <col min="13" max="13" width="6.5703125" style="3" customWidth="1"/>
    <col min="14" max="16" width="6" style="3" customWidth="1"/>
    <col min="17" max="17" width="5.85546875" style="3" customWidth="1"/>
    <col min="18" max="18" width="6.42578125" style="3" customWidth="1"/>
    <col min="19" max="19" width="5.85546875" style="3" customWidth="1"/>
    <col min="20" max="20" width="6.42578125" style="3" customWidth="1"/>
    <col min="21" max="21" width="6" style="3" customWidth="1"/>
    <col min="22" max="22" width="5.85546875" style="3" customWidth="1"/>
    <col min="23" max="23" width="6.85546875" style="3" customWidth="1"/>
    <col min="24" max="24" width="6.140625" style="3" customWidth="1"/>
    <col min="25" max="25" width="7.42578125" style="3" customWidth="1"/>
    <col min="26" max="26" width="6.85546875" style="3" customWidth="1"/>
    <col min="27" max="27" width="6" style="3" customWidth="1"/>
    <col min="28" max="28" width="6.140625" style="3" customWidth="1"/>
    <col min="29" max="29" width="6.5703125" style="3" customWidth="1"/>
    <col min="30" max="30" width="7" style="3" customWidth="1"/>
    <col min="31" max="31" width="6.85546875" style="3" customWidth="1"/>
    <col min="32" max="16384" width="9.140625" style="3"/>
  </cols>
  <sheetData>
    <row r="2" spans="1:19" ht="15.75" customHeight="1" x14ac:dyDescent="0.2">
      <c r="A2" s="118" t="s">
        <v>94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5.75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9" ht="14.25" customHeight="1" x14ac:dyDescent="0.2">
      <c r="A4" s="4"/>
    </row>
    <row r="5" spans="1:19" ht="14.25" customHeight="1" x14ac:dyDescent="0.2">
      <c r="A5" s="4"/>
    </row>
    <row r="6" spans="1:19" ht="15" customHeight="1" x14ac:dyDescent="0.2">
      <c r="A6" s="4"/>
    </row>
    <row r="7" spans="1:19" ht="16.5" customHeight="1" x14ac:dyDescent="0.2">
      <c r="A7" s="4"/>
    </row>
    <row r="8" spans="1:19" ht="15" customHeight="1" x14ac:dyDescent="0.2">
      <c r="A8" s="4"/>
    </row>
    <row r="9" spans="1:19" ht="14.25" customHeight="1" x14ac:dyDescent="0.2">
      <c r="A9" s="4"/>
    </row>
    <row r="10" spans="1:19" ht="13.5" customHeight="1" x14ac:dyDescent="0.2">
      <c r="A10" s="4"/>
    </row>
    <row r="11" spans="1:19" ht="17.25" customHeight="1" x14ac:dyDescent="0.2">
      <c r="A11" s="4"/>
    </row>
    <row r="12" spans="1:19" ht="17.25" customHeight="1" x14ac:dyDescent="0.2">
      <c r="A12" s="4"/>
    </row>
    <row r="13" spans="1:19" ht="16.5" customHeight="1" x14ac:dyDescent="0.2">
      <c r="A13" s="4"/>
    </row>
    <row r="14" spans="1:19" ht="15" customHeight="1" x14ac:dyDescent="0.2">
      <c r="A14" s="4"/>
    </row>
    <row r="15" spans="1:19" ht="15" customHeight="1" x14ac:dyDescent="0.2">
      <c r="A15" s="4"/>
    </row>
    <row r="16" spans="1:19" ht="15.75" customHeight="1" x14ac:dyDescent="0.2">
      <c r="A16" s="4"/>
    </row>
    <row r="17" spans="1:29" ht="22.5" customHeight="1" x14ac:dyDescent="0.2">
      <c r="A17" s="4"/>
    </row>
    <row r="18" spans="1:29" x14ac:dyDescent="0.2">
      <c r="A18" s="4"/>
    </row>
    <row r="19" spans="1:29" x14ac:dyDescent="0.2">
      <c r="A19" s="5"/>
    </row>
    <row r="20" spans="1:29" x14ac:dyDescent="0.2">
      <c r="A20" s="5"/>
    </row>
    <row r="21" spans="1:29" x14ac:dyDescent="0.2">
      <c r="A21" s="5"/>
    </row>
    <row r="22" spans="1:29" ht="19.5" customHeight="1" x14ac:dyDescent="0.2">
      <c r="A22" s="5"/>
    </row>
    <row r="23" spans="1:29" ht="15" customHeight="1" x14ac:dyDescent="0.2">
      <c r="A23" s="113"/>
      <c r="B23" s="115">
        <v>2021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115">
        <v>2022</v>
      </c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7"/>
      <c r="Z23" s="119">
        <v>2023</v>
      </c>
      <c r="AA23" s="120"/>
      <c r="AB23" s="120"/>
      <c r="AC23" s="121"/>
    </row>
    <row r="24" spans="1:29" x14ac:dyDescent="0.2">
      <c r="A24" s="114"/>
      <c r="B24" s="20" t="s">
        <v>13</v>
      </c>
      <c r="C24" s="54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7" t="s">
        <v>19</v>
      </c>
      <c r="K24" s="27" t="s">
        <v>24</v>
      </c>
      <c r="L24" s="27" t="s">
        <v>20</v>
      </c>
      <c r="M24" s="27" t="s">
        <v>21</v>
      </c>
      <c r="N24" s="90" t="s">
        <v>13</v>
      </c>
      <c r="O24" s="90" t="s">
        <v>14</v>
      </c>
      <c r="P24" s="91" t="s">
        <v>15</v>
      </c>
      <c r="Q24" s="82" t="s">
        <v>16</v>
      </c>
      <c r="R24" s="58" t="s">
        <v>17</v>
      </c>
      <c r="S24" s="58" t="s">
        <v>22</v>
      </c>
      <c r="T24" s="58" t="s">
        <v>18</v>
      </c>
      <c r="U24" s="58" t="s">
        <v>23</v>
      </c>
      <c r="V24" s="58" t="s">
        <v>19</v>
      </c>
      <c r="W24" s="58" t="s">
        <v>24</v>
      </c>
      <c r="X24" s="58" t="s">
        <v>20</v>
      </c>
      <c r="Y24" s="58" t="s">
        <v>21</v>
      </c>
      <c r="Z24" s="58" t="s">
        <v>13</v>
      </c>
      <c r="AA24" s="58" t="s">
        <v>14</v>
      </c>
      <c r="AB24" s="58" t="s">
        <v>15</v>
      </c>
      <c r="AC24" s="20" t="s">
        <v>16</v>
      </c>
    </row>
    <row r="25" spans="1:29" ht="28.5" customHeight="1" x14ac:dyDescent="0.2">
      <c r="A25" s="13" t="s">
        <v>57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5">
        <v>101.65548055101389</v>
      </c>
      <c r="O25" s="14">
        <v>101.84864374682041</v>
      </c>
      <c r="P25" s="14">
        <v>117.64360095679429</v>
      </c>
      <c r="Q25" s="56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80">
        <v>110.41268252711565</v>
      </c>
      <c r="X25" s="80">
        <v>101.07685140675132</v>
      </c>
      <c r="Y25" s="78">
        <v>98.231011775552389</v>
      </c>
      <c r="Z25" s="99">
        <v>94.738709353020752</v>
      </c>
      <c r="AA25" s="80">
        <v>107.53426152887265</v>
      </c>
      <c r="AB25" s="80">
        <v>108.12127054761088</v>
      </c>
      <c r="AC25" s="83">
        <v>82.324999768246713</v>
      </c>
    </row>
    <row r="26" spans="1:29" ht="40.5" customHeight="1" x14ac:dyDescent="0.2">
      <c r="A26" s="18" t="s">
        <v>58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79">
        <f>IF(227034.99772="","-",336464.33268/227034.99772*100)</f>
        <v>148.19932435921535</v>
      </c>
      <c r="P26" s="79">
        <f>IF(259287.13538="","-",395828.7569/259287.13538*100)</f>
        <v>152.66039185472528</v>
      </c>
      <c r="Q26" s="79">
        <f>IF(218235.12722="","-",396338.08224/218235.12722*100)</f>
        <v>181.61058088529293</v>
      </c>
      <c r="R26" s="79">
        <f>IF(201697.01673="","-",415966.01044/201697.01673*100)</f>
        <v>206.23310011413275</v>
      </c>
      <c r="S26" s="79">
        <f>IF(226810.79989="","-",416434.52243/226810.79989*100)</f>
        <v>183.60436215205132</v>
      </c>
      <c r="T26" s="79">
        <f>IF(240720.89459="","-",338224.33542/240720.89459*100)</f>
        <v>140.50476839414773</v>
      </c>
      <c r="U26" s="79">
        <f>IF(236300.67911="","-",329416.35614/236300.67911*100)</f>
        <v>139.40559010693906</v>
      </c>
      <c r="V26" s="79">
        <f>IF(294897.29212="","-",318793.64634/294897.29212*100)</f>
        <v>108.10328031438013</v>
      </c>
      <c r="W26" s="10">
        <f>IF(352247.51165="","-",351988.61665/352247.51165*100)</f>
        <v>99.926501964829413</v>
      </c>
      <c r="X26" s="10">
        <f>IF(363865.01311="","-",355779.01102/363865.01311*100)</f>
        <v>97.777746747100537</v>
      </c>
      <c r="Y26" s="12">
        <f>IF(324970.80722="","-",349485.32221/324970.80722*100)</f>
        <v>107.54360528556772</v>
      </c>
      <c r="Z26" s="100">
        <f>IF(330357.20487="","-",331097.88364/330357.20487*100)</f>
        <v>100.22420542342689</v>
      </c>
      <c r="AA26" s="79">
        <f>IF(336464.33268="","-",356043.66411/336464.33268*100)</f>
        <v>105.8191402559811</v>
      </c>
      <c r="AB26" s="79">
        <f>IF(395828.7569="","-",384958.93334/395828.7569*100)</f>
        <v>97.253907562166816</v>
      </c>
      <c r="AC26" s="101">
        <f>IF(396338.08224="","-",316917.44098/396338.08224*100)</f>
        <v>79.961390333440789</v>
      </c>
    </row>
    <row r="29" spans="1:29" ht="15.75" x14ac:dyDescent="0.25">
      <c r="N29" s="65"/>
      <c r="O29" s="85"/>
      <c r="P29" s="61"/>
      <c r="Q29" s="86"/>
      <c r="R29" s="61"/>
      <c r="S29" s="61"/>
      <c r="T29" s="61"/>
      <c r="U29" s="61"/>
      <c r="V29" s="61"/>
      <c r="W29" s="76"/>
      <c r="X29" s="76"/>
      <c r="Y29" s="76"/>
    </row>
    <row r="30" spans="1:29" ht="15.75" x14ac:dyDescent="0.25">
      <c r="N30" s="62"/>
      <c r="O30" s="87"/>
      <c r="P30" s="88"/>
      <c r="Q30" s="88"/>
      <c r="R30" s="88"/>
      <c r="S30" s="88"/>
      <c r="T30" s="88"/>
      <c r="U30" s="88"/>
      <c r="V30" s="88"/>
      <c r="W30" s="65"/>
      <c r="X30" s="65"/>
      <c r="Y30" s="84"/>
    </row>
    <row r="33" spans="14:21" ht="15.75" x14ac:dyDescent="0.25">
      <c r="N33" s="65"/>
      <c r="O33" s="66"/>
      <c r="P33" s="67"/>
      <c r="Q33" s="67"/>
      <c r="R33" s="67"/>
      <c r="S33" s="68"/>
      <c r="T33" s="46"/>
      <c r="U33" s="46"/>
    </row>
    <row r="34" spans="14:21" ht="15.75" x14ac:dyDescent="0.25">
      <c r="N34" s="67"/>
      <c r="O34" s="67"/>
      <c r="P34" s="67"/>
      <c r="Q34" s="67"/>
      <c r="R34" s="67"/>
      <c r="S34" s="68"/>
      <c r="T34" s="46"/>
      <c r="U34" s="46"/>
    </row>
    <row r="35" spans="14:21" ht="15.75" x14ac:dyDescent="0.25">
      <c r="N35" s="69"/>
      <c r="O35" s="69"/>
      <c r="P35" s="67"/>
      <c r="Q35" s="67"/>
      <c r="R35" s="69"/>
      <c r="S35" s="70"/>
      <c r="T35" s="70"/>
      <c r="U35" s="70"/>
    </row>
    <row r="36" spans="14:21" ht="15.75" x14ac:dyDescent="0.25">
      <c r="N36" s="69"/>
      <c r="O36" s="69"/>
      <c r="P36" s="67"/>
      <c r="Q36" s="67"/>
      <c r="R36" s="69"/>
      <c r="S36" s="70"/>
      <c r="T36" s="70"/>
      <c r="U36" s="70"/>
    </row>
    <row r="37" spans="14:21" ht="16.5" x14ac:dyDescent="0.25">
      <c r="N37" s="64"/>
      <c r="O37" s="66"/>
      <c r="P37" s="67"/>
      <c r="Q37" s="67"/>
      <c r="R37" s="67"/>
      <c r="S37" s="71"/>
      <c r="T37" s="46"/>
      <c r="U37" s="42"/>
    </row>
    <row r="38" spans="14:21" ht="15.75" x14ac:dyDescent="0.25">
      <c r="N38" s="67"/>
      <c r="O38" s="67"/>
      <c r="P38" s="67"/>
      <c r="Q38" s="67"/>
      <c r="R38" s="67"/>
      <c r="S38" s="68"/>
      <c r="T38" s="46"/>
      <c r="U38" s="46"/>
    </row>
  </sheetData>
  <mergeCells count="5">
    <mergeCell ref="A23:A24"/>
    <mergeCell ref="B23:M23"/>
    <mergeCell ref="N23:Y23"/>
    <mergeCell ref="A2:S2"/>
    <mergeCell ref="Z23:AC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6FF0-9D19-40BF-BBF5-2C06B16AC70D}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0"/>
  <sheetViews>
    <sheetView workbookViewId="0">
      <selection activeCell="A24" sqref="A24:A30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7109375" style="3" customWidth="1"/>
    <col min="4" max="4" width="14.140625" style="3" customWidth="1"/>
    <col min="5" max="5" width="15" style="3" customWidth="1"/>
    <col min="6" max="7" width="14.28515625" style="3" customWidth="1"/>
    <col min="8" max="8" width="14.85546875" style="3" customWidth="1"/>
    <col min="9" max="16384" width="9.140625" style="3"/>
  </cols>
  <sheetData>
    <row r="2" spans="1:7" ht="12.75" x14ac:dyDescent="0.2">
      <c r="A2" s="122" t="s">
        <v>112</v>
      </c>
      <c r="B2" s="122"/>
      <c r="C2" s="122"/>
      <c r="D2" s="122"/>
      <c r="E2" s="122"/>
      <c r="F2" s="122"/>
      <c r="G2" s="122"/>
    </row>
    <row r="3" spans="1:7" ht="5.25" customHeight="1" x14ac:dyDescent="0.2">
      <c r="A3" s="74"/>
      <c r="B3" s="74"/>
      <c r="C3" s="74"/>
      <c r="D3" s="74"/>
      <c r="E3" s="74"/>
      <c r="F3" s="74"/>
      <c r="G3" s="74"/>
    </row>
    <row r="4" spans="1:7" ht="12.75" customHeight="1" x14ac:dyDescent="0.2">
      <c r="A4" s="74"/>
      <c r="B4" s="74"/>
      <c r="C4" s="74"/>
      <c r="D4" s="74"/>
      <c r="E4" s="74"/>
      <c r="F4" s="74"/>
      <c r="G4" s="74"/>
    </row>
    <row r="5" spans="1:7" x14ac:dyDescent="0.2">
      <c r="A5" s="4"/>
      <c r="B5" s="4"/>
      <c r="C5" s="4"/>
      <c r="D5" s="4"/>
      <c r="E5" s="4"/>
      <c r="F5" s="4"/>
      <c r="G5" s="4"/>
    </row>
    <row r="6" spans="1:7" ht="15" customHeight="1" x14ac:dyDescent="0.2">
      <c r="A6" s="4"/>
      <c r="B6" s="4"/>
      <c r="C6" s="4"/>
      <c r="D6" s="4"/>
      <c r="E6" s="4"/>
      <c r="F6" s="4"/>
      <c r="G6" s="4"/>
    </row>
    <row r="7" spans="1:7" ht="14.25" customHeight="1" x14ac:dyDescent="0.2">
      <c r="A7" s="4"/>
      <c r="B7" s="4"/>
      <c r="C7" s="4"/>
      <c r="D7" s="4"/>
      <c r="E7" s="4"/>
      <c r="F7" s="4"/>
      <c r="G7" s="4"/>
    </row>
    <row r="8" spans="1:7" ht="15.75" customHeight="1" x14ac:dyDescent="0.2">
      <c r="A8" s="4"/>
      <c r="B8" s="4"/>
      <c r="C8" s="4"/>
      <c r="D8" s="4"/>
      <c r="E8" s="4"/>
      <c r="F8" s="4"/>
      <c r="G8" s="4"/>
    </row>
    <row r="9" spans="1:7" ht="15" customHeight="1" x14ac:dyDescent="0.2">
      <c r="A9" s="4"/>
      <c r="B9" s="4"/>
      <c r="C9" s="4"/>
      <c r="D9" s="4"/>
      <c r="E9" s="4"/>
      <c r="F9" s="4"/>
      <c r="G9" s="4"/>
    </row>
    <row r="10" spans="1:7" ht="17.25" customHeight="1" x14ac:dyDescent="0.2">
      <c r="A10" s="4"/>
      <c r="B10" s="4"/>
      <c r="C10" s="4"/>
      <c r="D10" s="4"/>
      <c r="E10" s="4"/>
      <c r="F10" s="4"/>
      <c r="G10" s="4"/>
    </row>
    <row r="11" spans="1:7" ht="14.25" customHeight="1" x14ac:dyDescent="0.2">
      <c r="A11" s="4"/>
      <c r="B11" s="4"/>
      <c r="C11" s="4"/>
      <c r="D11" s="4"/>
      <c r="E11" s="4"/>
      <c r="F11" s="4"/>
      <c r="G11" s="4"/>
    </row>
    <row r="12" spans="1:7" ht="16.5" customHeight="1" x14ac:dyDescent="0.2">
      <c r="A12" s="4"/>
      <c r="B12" s="4"/>
      <c r="C12" s="4"/>
      <c r="D12" s="4"/>
      <c r="E12" s="4"/>
      <c r="F12" s="4"/>
      <c r="G12" s="4"/>
    </row>
    <row r="13" spans="1:7" ht="15" customHeight="1" x14ac:dyDescent="0.2">
      <c r="A13" s="4"/>
      <c r="B13" s="4"/>
      <c r="C13" s="4"/>
      <c r="D13" s="4"/>
      <c r="E13" s="4"/>
      <c r="F13" s="4"/>
      <c r="G13" s="4"/>
    </row>
    <row r="14" spans="1:7" ht="16.5" customHeight="1" x14ac:dyDescent="0.2">
      <c r="A14" s="4"/>
      <c r="B14" s="4"/>
      <c r="C14" s="4"/>
      <c r="D14" s="4"/>
      <c r="E14" s="4"/>
      <c r="F14" s="4"/>
      <c r="G14" s="4"/>
    </row>
    <row r="15" spans="1:7" ht="14.25" customHeight="1" x14ac:dyDescent="0.2">
      <c r="A15" s="4"/>
      <c r="B15" s="4"/>
      <c r="C15" s="4"/>
      <c r="D15" s="4"/>
      <c r="E15" s="4"/>
      <c r="F15" s="4"/>
      <c r="G15" s="4"/>
    </row>
    <row r="16" spans="1:7" ht="15" customHeight="1" x14ac:dyDescent="0.2">
      <c r="A16" s="4"/>
      <c r="B16" s="4"/>
      <c r="C16" s="4"/>
      <c r="D16" s="4"/>
      <c r="E16" s="4"/>
      <c r="F16" s="4"/>
      <c r="G16" s="4"/>
    </row>
    <row r="17" spans="1:7" ht="14.25" customHeight="1" x14ac:dyDescent="0.2">
      <c r="A17" s="4"/>
      <c r="B17" s="4"/>
      <c r="C17" s="4"/>
      <c r="D17" s="4"/>
      <c r="E17" s="4"/>
      <c r="F17" s="4"/>
      <c r="G17" s="4"/>
    </row>
    <row r="18" spans="1:7" ht="16.5" customHeight="1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3" spans="1:7" ht="30" customHeight="1" x14ac:dyDescent="0.2">
      <c r="A23" s="38" t="s">
        <v>25</v>
      </c>
      <c r="B23" s="24" t="s">
        <v>101</v>
      </c>
      <c r="C23" s="24" t="s">
        <v>102</v>
      </c>
      <c r="D23" s="24" t="s">
        <v>103</v>
      </c>
      <c r="E23" s="24" t="s">
        <v>104</v>
      </c>
      <c r="F23" s="24" t="s">
        <v>105</v>
      </c>
      <c r="G23" s="24" t="s">
        <v>106</v>
      </c>
    </row>
    <row r="24" spans="1:7" x14ac:dyDescent="0.2">
      <c r="A24" s="102" t="s">
        <v>26</v>
      </c>
      <c r="B24" s="128">
        <v>15</v>
      </c>
      <c r="C24" s="80">
        <v>15.4</v>
      </c>
      <c r="D24" s="80">
        <v>4.9000000000000004</v>
      </c>
      <c r="E24" s="80">
        <v>10</v>
      </c>
      <c r="F24" s="80">
        <v>7.6</v>
      </c>
      <c r="G24" s="78">
        <v>7.7</v>
      </c>
    </row>
    <row r="25" spans="1:7" x14ac:dyDescent="0.2">
      <c r="A25" s="103" t="s">
        <v>27</v>
      </c>
      <c r="B25" s="129">
        <v>2.9</v>
      </c>
      <c r="C25" s="89">
        <v>9.6</v>
      </c>
      <c r="D25" s="89">
        <v>0.8</v>
      </c>
      <c r="E25" s="89">
        <v>5.0999999999999996</v>
      </c>
      <c r="F25" s="89">
        <v>5.0999999999999996</v>
      </c>
      <c r="G25" s="83">
        <v>3.4</v>
      </c>
    </row>
    <row r="26" spans="1:7" x14ac:dyDescent="0.2">
      <c r="A26" s="103" t="s">
        <v>28</v>
      </c>
      <c r="B26" s="129">
        <v>79.900000000000006</v>
      </c>
      <c r="C26" s="89">
        <v>74.3</v>
      </c>
      <c r="D26" s="89">
        <v>93.1</v>
      </c>
      <c r="E26" s="89">
        <v>83.6</v>
      </c>
      <c r="F26" s="89">
        <v>85.7</v>
      </c>
      <c r="G26" s="83">
        <v>87.1</v>
      </c>
    </row>
    <row r="27" spans="1:7" x14ac:dyDescent="0.2">
      <c r="A27" s="103" t="s">
        <v>29</v>
      </c>
      <c r="B27" s="129">
        <v>1.2</v>
      </c>
      <c r="C27" s="89">
        <v>0.7</v>
      </c>
      <c r="D27" s="89">
        <v>1.1000000000000001</v>
      </c>
      <c r="E27" s="89">
        <v>1.3</v>
      </c>
      <c r="F27" s="89">
        <v>1.5</v>
      </c>
      <c r="G27" s="83">
        <v>1.7</v>
      </c>
    </row>
    <row r="28" spans="1:7" x14ac:dyDescent="0.2">
      <c r="A28" s="103" t="s">
        <v>45</v>
      </c>
      <c r="B28" s="129">
        <v>0</v>
      </c>
      <c r="C28" s="89">
        <v>0</v>
      </c>
      <c r="D28" s="89">
        <v>0.1</v>
      </c>
      <c r="E28" s="89">
        <v>0</v>
      </c>
      <c r="F28" s="89">
        <v>0.1</v>
      </c>
      <c r="G28" s="83">
        <v>0.1</v>
      </c>
    </row>
    <row r="29" spans="1:7" x14ac:dyDescent="0.2">
      <c r="A29" s="31" t="s">
        <v>46</v>
      </c>
      <c r="B29" s="129">
        <v>1</v>
      </c>
      <c r="C29" s="89">
        <v>0</v>
      </c>
      <c r="D29" s="89">
        <v>0</v>
      </c>
      <c r="E29" s="89">
        <v>0</v>
      </c>
      <c r="F29" s="89">
        <v>0</v>
      </c>
      <c r="G29" s="83">
        <v>0</v>
      </c>
    </row>
    <row r="30" spans="1:7" x14ac:dyDescent="0.2">
      <c r="A30" s="141" t="s">
        <v>47</v>
      </c>
      <c r="B30" s="130">
        <v>0</v>
      </c>
      <c r="C30" s="79">
        <v>0</v>
      </c>
      <c r="D30" s="79">
        <v>0</v>
      </c>
      <c r="E30" s="79">
        <v>0</v>
      </c>
      <c r="F30" s="79">
        <v>0</v>
      </c>
      <c r="G30" s="101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2"/>
  <sheetViews>
    <sheetView workbookViewId="0">
      <selection activeCell="C32" sqref="C32"/>
    </sheetView>
  </sheetViews>
  <sheetFormatPr defaultRowHeight="12" x14ac:dyDescent="0.2"/>
  <cols>
    <col min="1" max="1" width="21.140625" style="3" bestFit="1" customWidth="1"/>
    <col min="2" max="2" width="14.7109375" style="3" customWidth="1"/>
    <col min="3" max="5" width="14.85546875" style="3" customWidth="1"/>
    <col min="6" max="6" width="15" style="3" customWidth="1"/>
    <col min="7" max="7" width="15.7109375" style="3" bestFit="1" customWidth="1"/>
    <col min="8" max="16384" width="9.140625" style="3"/>
  </cols>
  <sheetData>
    <row r="2" spans="1:13" ht="12.75" x14ac:dyDescent="0.2">
      <c r="A2" s="122" t="s">
        <v>113</v>
      </c>
      <c r="B2" s="122"/>
      <c r="C2" s="122"/>
      <c r="D2" s="122"/>
      <c r="E2" s="122"/>
      <c r="F2" s="122"/>
      <c r="G2" s="122"/>
      <c r="H2" s="39"/>
      <c r="I2" s="39"/>
      <c r="J2" s="39"/>
      <c r="K2" s="39"/>
      <c r="L2" s="39"/>
      <c r="M2" s="39"/>
    </row>
    <row r="3" spans="1:13" ht="13.5" customHeight="1" x14ac:dyDescent="0.2">
      <c r="A3" s="75"/>
      <c r="B3" s="75"/>
      <c r="C3" s="75"/>
      <c r="D3" s="75"/>
      <c r="E3" s="75"/>
      <c r="F3" s="75"/>
      <c r="G3" s="75"/>
      <c r="H3" s="39"/>
      <c r="I3" s="39"/>
      <c r="J3" s="39"/>
      <c r="K3" s="39"/>
      <c r="L3" s="39"/>
      <c r="M3" s="39"/>
    </row>
    <row r="4" spans="1:13" ht="15" customHeight="1" x14ac:dyDescent="0.2">
      <c r="A4" s="4"/>
      <c r="B4" s="4"/>
      <c r="C4" s="4"/>
      <c r="D4" s="4"/>
      <c r="E4" s="4"/>
      <c r="F4" s="4"/>
      <c r="G4" s="4"/>
    </row>
    <row r="5" spans="1:13" ht="15" customHeight="1" x14ac:dyDescent="0.2">
      <c r="A5" s="4"/>
      <c r="B5" s="4"/>
      <c r="C5" s="4"/>
      <c r="D5" s="4"/>
      <c r="E5" s="4"/>
      <c r="F5" s="4"/>
      <c r="G5" s="4"/>
    </row>
    <row r="6" spans="1:13" ht="15.75" customHeight="1" x14ac:dyDescent="0.2">
      <c r="A6" s="4"/>
      <c r="B6" s="4"/>
      <c r="C6" s="4"/>
      <c r="D6" s="4"/>
      <c r="E6" s="4"/>
      <c r="F6" s="4"/>
      <c r="G6" s="4"/>
    </row>
    <row r="7" spans="1:13" ht="13.5" customHeight="1" x14ac:dyDescent="0.2">
      <c r="A7" s="4"/>
      <c r="B7" s="4"/>
      <c r="C7" s="4"/>
      <c r="D7" s="4"/>
      <c r="E7" s="4"/>
      <c r="F7" s="4"/>
      <c r="G7" s="4"/>
    </row>
    <row r="8" spans="1:13" ht="13.5" customHeight="1" x14ac:dyDescent="0.2">
      <c r="A8" s="4"/>
      <c r="B8" s="4"/>
      <c r="C8" s="4"/>
      <c r="D8" s="4"/>
      <c r="E8" s="4"/>
      <c r="F8" s="4"/>
      <c r="G8" s="4"/>
    </row>
    <row r="9" spans="1:13" ht="13.5" customHeight="1" x14ac:dyDescent="0.2">
      <c r="A9" s="4"/>
      <c r="B9" s="4"/>
      <c r="C9" s="4"/>
      <c r="D9" s="4"/>
      <c r="E9" s="4"/>
      <c r="F9" s="4"/>
      <c r="G9" s="4"/>
    </row>
    <row r="10" spans="1:13" ht="14.25" customHeight="1" x14ac:dyDescent="0.2">
      <c r="A10" s="4"/>
      <c r="B10" s="4"/>
      <c r="C10" s="4"/>
      <c r="D10" s="4"/>
      <c r="E10" s="4"/>
      <c r="F10" s="4"/>
      <c r="G10" s="4"/>
    </row>
    <row r="11" spans="1:13" ht="14.25" customHeight="1" x14ac:dyDescent="0.2">
      <c r="A11" s="4"/>
      <c r="B11" s="4"/>
      <c r="C11" s="4"/>
      <c r="D11" s="4"/>
      <c r="E11" s="4"/>
      <c r="F11" s="4"/>
      <c r="G11" s="4"/>
    </row>
    <row r="12" spans="1:13" ht="14.25" customHeight="1" x14ac:dyDescent="0.2">
      <c r="A12" s="4"/>
      <c r="B12" s="4"/>
      <c r="C12" s="4"/>
      <c r="D12" s="4"/>
      <c r="E12" s="4"/>
      <c r="F12" s="4"/>
      <c r="G12" s="4"/>
    </row>
    <row r="13" spans="1:13" ht="13.5" customHeight="1" x14ac:dyDescent="0.2">
      <c r="A13" s="4"/>
      <c r="B13" s="4"/>
      <c r="C13" s="4"/>
      <c r="D13" s="4"/>
      <c r="E13" s="4"/>
      <c r="F13" s="4"/>
      <c r="G13" s="4"/>
    </row>
    <row r="14" spans="1:13" ht="15" customHeight="1" x14ac:dyDescent="0.2">
      <c r="A14" s="4"/>
      <c r="B14" s="4"/>
      <c r="C14" s="4"/>
      <c r="D14" s="4"/>
      <c r="E14" s="4"/>
      <c r="F14" s="4"/>
      <c r="G14" s="4"/>
    </row>
    <row r="15" spans="1:13" ht="14.25" customHeight="1" x14ac:dyDescent="0.2">
      <c r="A15" s="4"/>
      <c r="B15" s="4"/>
      <c r="C15" s="4"/>
      <c r="D15" s="4"/>
      <c r="E15" s="4"/>
      <c r="F15" s="4"/>
      <c r="G15" s="4"/>
    </row>
    <row r="16" spans="1:13" ht="13.5" customHeight="1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5"/>
    </row>
    <row r="20" spans="1:8" x14ac:dyDescent="0.2">
      <c r="A20" s="5"/>
    </row>
    <row r="21" spans="1:8" ht="30.75" customHeight="1" x14ac:dyDescent="0.2">
      <c r="A21" s="20"/>
      <c r="B21" s="9" t="s">
        <v>106</v>
      </c>
      <c r="C21" s="9" t="s">
        <v>105</v>
      </c>
      <c r="D21" s="9" t="s">
        <v>104</v>
      </c>
      <c r="E21" s="9" t="s">
        <v>103</v>
      </c>
      <c r="F21" s="9" t="s">
        <v>102</v>
      </c>
      <c r="G21" s="9" t="s">
        <v>101</v>
      </c>
    </row>
    <row r="22" spans="1:8" ht="15" customHeight="1" x14ac:dyDescent="0.2">
      <c r="A22" s="16" t="s">
        <v>30</v>
      </c>
      <c r="B22" s="131">
        <v>64.2</v>
      </c>
      <c r="C22" s="132">
        <v>61.7</v>
      </c>
      <c r="D22" s="132">
        <v>64.2</v>
      </c>
      <c r="E22" s="132">
        <v>64.400000000000006</v>
      </c>
      <c r="F22" s="132">
        <v>66.599999999999994</v>
      </c>
      <c r="G22" s="78">
        <v>62</v>
      </c>
      <c r="H22" s="6"/>
    </row>
    <row r="23" spans="1:8" ht="14.25" customHeight="1" x14ac:dyDescent="0.2">
      <c r="A23" s="17" t="s">
        <v>31</v>
      </c>
      <c r="B23" s="133">
        <v>16.3</v>
      </c>
      <c r="C23" s="134">
        <v>14.7</v>
      </c>
      <c r="D23" s="134">
        <v>15.6</v>
      </c>
      <c r="E23" s="134">
        <v>16</v>
      </c>
      <c r="F23" s="134">
        <v>12.2</v>
      </c>
      <c r="G23" s="135">
        <v>25</v>
      </c>
      <c r="H23" s="6"/>
    </row>
    <row r="24" spans="1:8" ht="15" customHeight="1" x14ac:dyDescent="0.2">
      <c r="A24" s="18" t="s">
        <v>32</v>
      </c>
      <c r="B24" s="136">
        <v>19.5</v>
      </c>
      <c r="C24" s="137">
        <v>23.6</v>
      </c>
      <c r="D24" s="137">
        <v>20.2</v>
      </c>
      <c r="E24" s="137">
        <v>19.600000000000001</v>
      </c>
      <c r="F24" s="137">
        <v>21.2</v>
      </c>
      <c r="G24" s="138">
        <v>13</v>
      </c>
      <c r="H24" s="6"/>
    </row>
    <row r="30" spans="1:8" ht="15.75" x14ac:dyDescent="0.2">
      <c r="B30" s="52"/>
      <c r="C30" s="52"/>
      <c r="D30" s="52"/>
      <c r="E30" s="53"/>
      <c r="F30" s="52"/>
      <c r="G30" s="52"/>
    </row>
    <row r="31" spans="1:8" ht="15.75" x14ac:dyDescent="0.2">
      <c r="B31" s="52"/>
      <c r="C31" s="52"/>
      <c r="D31" s="52"/>
      <c r="E31" s="53"/>
      <c r="F31" s="52"/>
      <c r="G31" s="52"/>
    </row>
    <row r="32" spans="1:8" ht="15.75" x14ac:dyDescent="0.2">
      <c r="B32" s="52"/>
      <c r="C32" s="52"/>
      <c r="D32" s="52"/>
      <c r="E32" s="53"/>
      <c r="F32" s="52"/>
      <c r="G3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8"/>
  <sheetViews>
    <sheetView workbookViewId="0">
      <selection activeCell="J15" sqref="J15"/>
    </sheetView>
  </sheetViews>
  <sheetFormatPr defaultRowHeight="12" x14ac:dyDescent="0.2"/>
  <cols>
    <col min="1" max="1" width="21" style="3" customWidth="1"/>
    <col min="2" max="3" width="14.5703125" style="3" customWidth="1"/>
    <col min="4" max="4" width="14.28515625" style="3" customWidth="1"/>
    <col min="5" max="5" width="14.140625" style="3" customWidth="1"/>
    <col min="6" max="6" width="14.28515625" style="3" customWidth="1"/>
    <col min="7" max="7" width="14.42578125" style="3" customWidth="1"/>
    <col min="8" max="16384" width="9.140625" style="3"/>
  </cols>
  <sheetData>
    <row r="2" spans="1:7" ht="12.75" x14ac:dyDescent="0.2">
      <c r="A2" s="122" t="s">
        <v>114</v>
      </c>
      <c r="B2" s="122"/>
      <c r="C2" s="122"/>
      <c r="D2" s="122"/>
      <c r="E2" s="122"/>
      <c r="F2" s="122"/>
      <c r="G2" s="122"/>
    </row>
    <row r="3" spans="1:7" ht="15" customHeight="1" x14ac:dyDescent="0.2">
      <c r="A3" s="74"/>
      <c r="B3" s="74"/>
      <c r="C3" s="74"/>
      <c r="D3" s="74"/>
      <c r="E3" s="74"/>
      <c r="F3" s="74"/>
      <c r="G3" s="74"/>
    </row>
    <row r="4" spans="1:7" ht="15.75" customHeight="1" x14ac:dyDescent="0.2">
      <c r="A4" s="4"/>
      <c r="B4" s="4"/>
      <c r="C4" s="4"/>
      <c r="D4" s="4"/>
      <c r="E4" s="4"/>
      <c r="F4" s="4"/>
      <c r="G4" s="4"/>
    </row>
    <row r="5" spans="1:7" ht="14.25" customHeight="1" x14ac:dyDescent="0.2">
      <c r="A5" s="4"/>
      <c r="B5" s="4"/>
      <c r="C5" s="4"/>
      <c r="D5" s="4"/>
      <c r="E5" s="4"/>
      <c r="F5" s="4"/>
      <c r="G5" s="4"/>
    </row>
    <row r="6" spans="1:7" ht="15" customHeight="1" x14ac:dyDescent="0.2">
      <c r="A6" s="4"/>
      <c r="B6" s="4"/>
      <c r="C6" s="4"/>
      <c r="D6" s="4"/>
      <c r="E6" s="4"/>
      <c r="F6" s="4"/>
      <c r="G6" s="4"/>
    </row>
    <row r="7" spans="1:7" ht="13.5" customHeight="1" x14ac:dyDescent="0.2">
      <c r="A7" s="4"/>
      <c r="B7" s="4"/>
      <c r="C7" s="4"/>
      <c r="D7" s="4"/>
      <c r="E7" s="4"/>
      <c r="F7" s="4"/>
      <c r="G7" s="4"/>
    </row>
    <row r="8" spans="1:7" ht="14.25" customHeight="1" x14ac:dyDescent="0.2">
      <c r="A8" s="4"/>
      <c r="B8" s="4"/>
      <c r="C8" s="4"/>
      <c r="D8" s="4"/>
      <c r="E8" s="4"/>
      <c r="F8" s="4"/>
      <c r="G8" s="4"/>
    </row>
    <row r="9" spans="1:7" ht="14.25" customHeight="1" x14ac:dyDescent="0.2">
      <c r="A9" s="4"/>
      <c r="B9" s="4"/>
      <c r="C9" s="4"/>
      <c r="D9" s="4"/>
      <c r="E9" s="4"/>
      <c r="F9" s="4"/>
      <c r="G9" s="4"/>
    </row>
    <row r="10" spans="1:7" ht="13.5" customHeight="1" x14ac:dyDescent="0.2">
      <c r="A10" s="4"/>
      <c r="B10" s="4"/>
      <c r="C10" s="4"/>
      <c r="D10" s="4"/>
      <c r="E10" s="4"/>
      <c r="F10" s="4"/>
      <c r="G10" s="4"/>
    </row>
    <row r="11" spans="1:7" ht="13.5" customHeight="1" x14ac:dyDescent="0.2">
      <c r="A11" s="4"/>
      <c r="B11" s="4"/>
      <c r="C11" s="4"/>
      <c r="D11" s="4"/>
      <c r="E11" s="4"/>
      <c r="F11" s="4"/>
      <c r="G11" s="4"/>
    </row>
    <row r="12" spans="1:7" ht="13.5" customHeight="1" x14ac:dyDescent="0.2">
      <c r="A12" s="4"/>
      <c r="B12" s="4"/>
      <c r="C12" s="4"/>
      <c r="D12" s="4"/>
      <c r="E12" s="4"/>
      <c r="F12" s="4"/>
      <c r="G12" s="4"/>
    </row>
    <row r="13" spans="1:7" ht="15" customHeight="1" x14ac:dyDescent="0.2">
      <c r="A13" s="4"/>
      <c r="B13" s="4"/>
      <c r="C13" s="4"/>
      <c r="D13" s="4"/>
      <c r="E13" s="4"/>
      <c r="F13" s="4"/>
      <c r="G13" s="4"/>
    </row>
    <row r="14" spans="1:7" ht="15.75" customHeight="1" x14ac:dyDescent="0.2">
      <c r="A14" s="4"/>
      <c r="B14" s="4"/>
      <c r="C14" s="4"/>
      <c r="D14" s="4"/>
      <c r="E14" s="4"/>
      <c r="F14" s="4"/>
      <c r="G14" s="4"/>
    </row>
    <row r="15" spans="1:7" ht="14.25" customHeight="1" x14ac:dyDescent="0.2">
      <c r="A15" s="4"/>
      <c r="B15" s="4"/>
      <c r="C15" s="4"/>
      <c r="D15" s="4"/>
      <c r="E15" s="4"/>
      <c r="F15" s="4"/>
      <c r="G15" s="4"/>
    </row>
    <row r="16" spans="1:7" ht="17.25" customHeight="1" x14ac:dyDescent="0.2">
      <c r="A16" s="4"/>
      <c r="B16" s="4"/>
      <c r="C16" s="4"/>
      <c r="D16" s="4"/>
      <c r="E16" s="4"/>
      <c r="F16" s="4"/>
      <c r="G16" s="4"/>
    </row>
    <row r="17" spans="1:7" ht="14.25" customHeight="1" x14ac:dyDescent="0.2">
      <c r="A17" s="4"/>
      <c r="B17" s="4"/>
      <c r="C17" s="4"/>
      <c r="D17" s="4"/>
      <c r="E17" s="4"/>
      <c r="F17" s="4"/>
      <c r="G17" s="4"/>
    </row>
    <row r="18" spans="1:7" ht="13.5" customHeight="1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5"/>
    </row>
    <row r="23" spans="1:7" x14ac:dyDescent="0.2">
      <c r="A23" s="5"/>
    </row>
    <row r="24" spans="1:7" ht="14.25" customHeight="1" x14ac:dyDescent="0.2">
      <c r="A24" s="5"/>
    </row>
    <row r="25" spans="1:7" ht="27" customHeight="1" x14ac:dyDescent="0.2">
      <c r="A25" s="37"/>
      <c r="B25" s="9" t="s">
        <v>106</v>
      </c>
      <c r="C25" s="9" t="s">
        <v>105</v>
      </c>
      <c r="D25" s="9" t="s">
        <v>104</v>
      </c>
      <c r="E25" s="9" t="s">
        <v>103</v>
      </c>
      <c r="F25" s="9" t="s">
        <v>102</v>
      </c>
      <c r="G25" s="9" t="s">
        <v>101</v>
      </c>
    </row>
    <row r="26" spans="1:7" x14ac:dyDescent="0.2">
      <c r="A26" s="139" t="s">
        <v>33</v>
      </c>
      <c r="B26" s="15">
        <f>IF(OR(220622.30211="",220622.30211="***"),"-",220622.30211/877651.01761*100)</f>
        <v>25.137816476393294</v>
      </c>
      <c r="C26" s="15">
        <f>IF(258147.78313="","-",258147.78313/948466.87002*100)</f>
        <v>27.217374827710799</v>
      </c>
      <c r="D26" s="15">
        <f>IF(202944.70685="","-",202944.70685/824887.0263*100)</f>
        <v>24.602727449878913</v>
      </c>
      <c r="E26" s="15">
        <f>IF(247792.63908="","-",247792.63908/902994.52425*100)</f>
        <v>27.441211704557023</v>
      </c>
      <c r="F26" s="15">
        <f>IF(459807.6441="","-",459807.6441/1458988.37669*100)</f>
        <v>31.515511120325947</v>
      </c>
      <c r="G26" s="78">
        <f>IF(457390.66172="","-",457390.66172/1389017.92207*100)</f>
        <v>32.929068405277903</v>
      </c>
    </row>
    <row r="27" spans="1:7" x14ac:dyDescent="0.2">
      <c r="A27" s="139" t="s">
        <v>38</v>
      </c>
      <c r="B27" s="15">
        <f>IF(OR(24727.47955="",24727.47955="***"),"-",24727.47955/877651.01761*100)</f>
        <v>2.8174615027892669</v>
      </c>
      <c r="C27" s="15">
        <f>IF(23341.71894="","-",23341.71894/948466.87002*100)</f>
        <v>2.4609946512425678</v>
      </c>
      <c r="D27" s="15">
        <f>IF(20165.6553="","-",20165.6553/824887.0263*100)</f>
        <v>2.4446566204892677</v>
      </c>
      <c r="E27" s="15">
        <f>IF(27370.52689="","-",27370.52689/902994.52425*100)</f>
        <v>3.0310844811305069</v>
      </c>
      <c r="F27" s="15">
        <f>IF(78481.21173="","-",78481.21173/1458988.37669*100)</f>
        <v>5.3791526364349762</v>
      </c>
      <c r="G27" s="83">
        <f>IF(231345.55204="","-",231345.55204/1389017.92207*100)</f>
        <v>16.655332401703976</v>
      </c>
    </row>
    <row r="28" spans="1:7" x14ac:dyDescent="0.2">
      <c r="A28" s="139" t="s">
        <v>36</v>
      </c>
      <c r="B28" s="15">
        <f>IF(OR(103918.87684="",103918.87684="***"),"-",103918.87684/877651.01761*100)</f>
        <v>11.840569287208211</v>
      </c>
      <c r="C28" s="15">
        <f>IF(98423.23123="","-",98423.23123/948466.87002*100)</f>
        <v>10.377086890544167</v>
      </c>
      <c r="D28" s="15">
        <f>IF(71436.16188="","-",71436.16188/824887.0263*100)</f>
        <v>8.6601146099271613</v>
      </c>
      <c r="E28" s="15">
        <f>IF(58002.33211="","-",58002.33211/902994.52425*100)</f>
        <v>6.4233315432532647</v>
      </c>
      <c r="F28" s="15">
        <f>IF(145400.24887="","-",145400.24887/1458988.37669*100)</f>
        <v>9.9658264036255613</v>
      </c>
      <c r="G28" s="83">
        <f>IF(85419.19546="","-",85419.19546/1389017.92207*100)</f>
        <v>6.149610750356846</v>
      </c>
    </row>
    <row r="29" spans="1:7" x14ac:dyDescent="0.2">
      <c r="A29" s="139" t="s">
        <v>34</v>
      </c>
      <c r="B29" s="15">
        <f>IF(OR(77517.95028="",77517.95028="***"),"-",77517.95028/877651.01761*100)</f>
        <v>8.8324343873143558</v>
      </c>
      <c r="C29" s="15">
        <f>IF(83395.70219="","-",83395.70219/948466.87002*100)</f>
        <v>8.7926847870017291</v>
      </c>
      <c r="D29" s="15">
        <f>IF(72591.21203="","-",72591.21203/824887.0263*100)</f>
        <v>8.8001398634677486</v>
      </c>
      <c r="E29" s="15">
        <f>IF(94699.91074="","-",94699.91074/902994.52425*100)</f>
        <v>10.487318383093729</v>
      </c>
      <c r="F29" s="15">
        <f>IF(88526.06059="","-",88526.06059/1458988.37669*100)</f>
        <v>6.0676330260312721</v>
      </c>
      <c r="G29" s="83">
        <f>IF(74887.19402="","-",74887.19402/1389017.92207*100)</f>
        <v>5.3913770895337683</v>
      </c>
    </row>
    <row r="30" spans="1:7" x14ac:dyDescent="0.2">
      <c r="A30" s="139" t="s">
        <v>60</v>
      </c>
      <c r="B30" s="15">
        <f>IF(OR(74326.54526="",74326.54526="***"),"-",74326.54526/877651.01761*100)</f>
        <v>8.468804088258727</v>
      </c>
      <c r="C30" s="15">
        <f>IF(80626.87187="","-",80626.87187/948466.87002*100)</f>
        <v>8.5007578460067723</v>
      </c>
      <c r="D30" s="15">
        <f>IF(78161.21121="","-",78161.21121/824887.0263*100)</f>
        <v>9.4753837456492906</v>
      </c>
      <c r="E30" s="15">
        <f>IF(85746.76765="","-",85746.76765/902994.52425*100)</f>
        <v>9.4958236564301064</v>
      </c>
      <c r="F30" s="15">
        <f>IF(70347.74815="","-",70347.74815/1458988.37669*100)</f>
        <v>4.8216798210276082</v>
      </c>
      <c r="G30" s="83">
        <f>IF(56360.8322="","-",56360.8322/1389017.92207*100)</f>
        <v>4.057602951300125</v>
      </c>
    </row>
    <row r="31" spans="1:7" x14ac:dyDescent="0.2">
      <c r="A31" s="139" t="s">
        <v>35</v>
      </c>
      <c r="B31" s="15">
        <f>IF(OR(37989.82219="",37989.82219="***"),"-",37989.82219/877651.01761*100)</f>
        <v>4.3285795182523739</v>
      </c>
      <c r="C31" s="15">
        <f>IF(95759.85917="","-",95759.85917/948466.87002*100)</f>
        <v>10.09627876279756</v>
      </c>
      <c r="D31" s="15">
        <f>IF(52061.00263="","-",52061.00263/824887.0263*100)</f>
        <v>6.311288815332408</v>
      </c>
      <c r="E31" s="15">
        <f>IF(88013.51097="","-",88013.51097/902994.52425*100)</f>
        <v>9.7468488021122131</v>
      </c>
      <c r="F31" s="15">
        <f>IF(147483.89854="","-",147483.89854/1458988.37669*100)</f>
        <v>10.108641089697782</v>
      </c>
      <c r="G31" s="83">
        <f>IF(55313.50909="","-",55313.50909/1389017.92207*100)</f>
        <v>3.9822026923575184</v>
      </c>
    </row>
    <row r="32" spans="1:7" x14ac:dyDescent="0.2">
      <c r="A32" s="139" t="s">
        <v>63</v>
      </c>
      <c r="B32" s="15">
        <f>IF(OR(13346.83798="",13346.83798="***"),"-",13346.83798/877651.01761*100)</f>
        <v>1.5207454571574266</v>
      </c>
      <c r="C32" s="15">
        <f>IF(16104.20487="","-",16104.20487/948466.87002*100)</f>
        <v>1.6979195983577597</v>
      </c>
      <c r="D32" s="15">
        <f>IF(27218.5145="","-",27218.5145/824887.0263*100)</f>
        <v>3.299665727813375</v>
      </c>
      <c r="E32" s="15">
        <f>IF(27703.77848="","-",27703.77848/902994.52425*100)</f>
        <v>3.0679896429061873</v>
      </c>
      <c r="F32" s="15">
        <f>IF(31465.69574="","-",31465.69574/1458988.37669*100)</f>
        <v>2.1566789868049581</v>
      </c>
      <c r="G32" s="83">
        <f>IF(51807.79782="","-",51807.79782/1389017.92207*100)</f>
        <v>3.7298149287226496</v>
      </c>
    </row>
    <row r="33" spans="1:7" x14ac:dyDescent="0.2">
      <c r="A33" s="139" t="s">
        <v>37</v>
      </c>
      <c r="B33" s="15">
        <f>IF(OR(29677.13317="",29677.13317="***"),"-",29677.13317/877651.01761*100)</f>
        <v>3.3814275349234051</v>
      </c>
      <c r="C33" s="15">
        <f>IF(34323.76548="","-",34323.76548/948466.87002*100)</f>
        <v>3.6188681507954228</v>
      </c>
      <c r="D33" s="15">
        <f>IF(35097.11766="","-",35097.11766/824887.0263*100)</f>
        <v>4.2547787201147793</v>
      </c>
      <c r="E33" s="15">
        <f>IF(36254.0642="","-",36254.0642/902994.52425*100)</f>
        <v>4.014870879766578</v>
      </c>
      <c r="F33" s="15">
        <f>IF(42853.64251="","-",42853.64251/1458988.37669*100)</f>
        <v>2.9372161694133472</v>
      </c>
      <c r="G33" s="83">
        <f>IF(36201.67512="","-",36201.67512/1389017.92207*100)</f>
        <v>2.6062784752301851</v>
      </c>
    </row>
    <row r="34" spans="1:7" x14ac:dyDescent="0.2">
      <c r="A34" s="139" t="s">
        <v>39</v>
      </c>
      <c r="B34" s="15">
        <f>IF(OR(35259.40404="",35259.40404="***"),"-",35259.40404/877651.01761*100)</f>
        <v>4.0174742958787464</v>
      </c>
      <c r="C34" s="15">
        <f>IF(29232.55218="","-",29232.55218/948466.87002*100)</f>
        <v>3.0820846888814977</v>
      </c>
      <c r="D34" s="15">
        <f>IF(24385.36998="","-",24385.36998/824887.0263*100)</f>
        <v>2.9562072383874995</v>
      </c>
      <c r="E34" s="15">
        <f>IF(22684.58189="","-",22684.58189/902994.52425*100)</f>
        <v>2.5121505480712778</v>
      </c>
      <c r="F34" s="15">
        <f>IF(21458.43546="","-",21458.43546/1458988.37669*100)</f>
        <v>1.4707749426135013</v>
      </c>
      <c r="G34" s="83">
        <f>IF(32914.32814="","-",32914.32814/1389017.92207*100)</f>
        <v>2.3696114799547754</v>
      </c>
    </row>
    <row r="35" spans="1:7" x14ac:dyDescent="0.2">
      <c r="A35" s="139" t="s">
        <v>41</v>
      </c>
      <c r="B35" s="15">
        <f>IF(OR(12106.81866="",12106.81866="***"),"-",12106.81866/877651.01761*100)</f>
        <v>1.3794570298532809</v>
      </c>
      <c r="C35" s="15">
        <f>IF(11895.90062="","-",11895.90062/948466.87002*100)</f>
        <v>1.2542241585886027</v>
      </c>
      <c r="D35" s="15">
        <f>IF(18552.75422="","-",18552.75422/824887.0263*100)</f>
        <v>2.2491266838342319</v>
      </c>
      <c r="E35" s="15">
        <f>IF(16462.4502="","-",16462.4502/902994.52425*100)</f>
        <v>1.8230952412112593</v>
      </c>
      <c r="F35" s="15">
        <f>IF(13167.58933="","-",13167.58933/1458988.37669*100)</f>
        <v>0.90251502619049295</v>
      </c>
      <c r="G35" s="83">
        <f>IF(28679.27186="","-",28679.27186/1389017.92207*100)</f>
        <v>2.064715753793902</v>
      </c>
    </row>
    <row r="36" spans="1:7" x14ac:dyDescent="0.2">
      <c r="A36" s="139" t="s">
        <v>98</v>
      </c>
      <c r="B36" s="15">
        <f>IF(OR(1318.65657="",1318.65657="***"),"-",1318.65657/877651.01761*100)</f>
        <v>0.15024839526659889</v>
      </c>
      <c r="C36" s="15">
        <f>IF(4292.97223="","-",4292.97223/948466.87002*100)</f>
        <v>0.45262226501485242</v>
      </c>
      <c r="D36" s="15">
        <f>IF(7081.10511="","-",7081.10511/824887.0263*100)</f>
        <v>0.85843332289538277</v>
      </c>
      <c r="E36" s="15">
        <f>IF(2268.20821="","-",2268.20821/902994.52425*100)</f>
        <v>0.2511873714720369</v>
      </c>
      <c r="F36" s="15">
        <f>IF(9057.91386="","-",9057.91386/1458988.37669*100)</f>
        <v>0.62083523109002736</v>
      </c>
      <c r="G36" s="83">
        <f>IF(21698.6003="","-",21698.6003/1389017.92207*100)</f>
        <v>1.5621540914075038</v>
      </c>
    </row>
    <row r="37" spans="1:7" x14ac:dyDescent="0.2">
      <c r="A37" s="139" t="s">
        <v>64</v>
      </c>
      <c r="B37" s="15">
        <f>IF(OR(6531.48066="",6531.48066="***"),"-",6531.48066/877651.01761*100)</f>
        <v>0.74420020360557271</v>
      </c>
      <c r="C37" s="15">
        <f>IF(7124.40858="","-",7124.40858/948466.87002*100)</f>
        <v>0.75114996687757474</v>
      </c>
      <c r="D37" s="15">
        <f>IF(7777.63209="","-",7777.63209/824887.0263*100)</f>
        <v>0.94287239852544158</v>
      </c>
      <c r="E37" s="15">
        <f>IF(7408.27793="","-",7408.27793/902994.52425*100)</f>
        <v>0.82041227616004553</v>
      </c>
      <c r="F37" s="15">
        <f>IF(13829.20966="","-",13829.20966/1458988.37669*100)</f>
        <v>0.94786290836492215</v>
      </c>
      <c r="G37" s="83">
        <f>IF(18278.00482="","-",18278.00482/1389017.92207*100)</f>
        <v>1.3158940953591867</v>
      </c>
    </row>
    <row r="38" spans="1:7" x14ac:dyDescent="0.2">
      <c r="A38" s="139" t="s">
        <v>100</v>
      </c>
      <c r="B38" s="15">
        <f>IF(OR(4162.06219="",4162.06219="***"),"-",4162.06219/877651.01761*100)</f>
        <v>0.47422746701006924</v>
      </c>
      <c r="C38" s="15">
        <f>IF(2797.26433="","-",2797.26433/948466.87002*100)</f>
        <v>0.29492483273991582</v>
      </c>
      <c r="D38" s="15">
        <f>IF(6499.03867="","-",6499.03867/824887.0263*100)</f>
        <v>0.78787015224996271</v>
      </c>
      <c r="E38" s="15">
        <f>IF(9230.94662="","-",9230.94662/902994.52425*100)</f>
        <v>1.0222594237398002</v>
      </c>
      <c r="F38" s="15">
        <f>IF(12994.01739="","-",12994.01739/1458988.37669*100)</f>
        <v>0.89061829399076264</v>
      </c>
      <c r="G38" s="83">
        <f>IF(18200.27516="","-",18200.27516/1389017.92207*100)</f>
        <v>1.3102980797308093</v>
      </c>
    </row>
    <row r="39" spans="1:7" x14ac:dyDescent="0.2">
      <c r="A39" s="139" t="s">
        <v>62</v>
      </c>
      <c r="B39" s="15">
        <f>IF(OR(16996.41854="",16996.41854="***"),"-",16996.41854/877651.01761*100)</f>
        <v>1.9365805085356447</v>
      </c>
      <c r="C39" s="15">
        <f>IF(12974.08512="","-",12974.08512/948466.87002*100)</f>
        <v>1.367900717473286</v>
      </c>
      <c r="D39" s="15">
        <f>IF(14373.34846="","-",14373.34846/824887.0263*100)</f>
        <v>1.7424626647931558</v>
      </c>
      <c r="E39" s="15">
        <f>IF(12487.16734="","-",12487.16734/902994.52425*100)</f>
        <v>1.3828619116346763</v>
      </c>
      <c r="F39" s="15">
        <f>IF(16452.67202="","-",16452.67202/1458988.37669*100)</f>
        <v>1.1276767027662071</v>
      </c>
      <c r="G39" s="83">
        <f>IF(17839.34611="","-",17839.34611/1389017.92207*100)</f>
        <v>1.2843136021898627</v>
      </c>
    </row>
    <row r="40" spans="1:7" x14ac:dyDescent="0.2">
      <c r="A40" s="139" t="s">
        <v>42</v>
      </c>
      <c r="B40" s="15">
        <f>IF(OR(18571.46893="",18571.46893="***"),"-",18571.46893/877651.01761*100)</f>
        <v>2.1160425450851084</v>
      </c>
      <c r="C40" s="15">
        <f>IF(13834.40704="","-",13834.40704/948466.87002*100)</f>
        <v>1.4586073037752261</v>
      </c>
      <c r="D40" s="15">
        <f>IF(15205.32653="","-",15205.32653/824887.0263*100)</f>
        <v>1.8433223029586154</v>
      </c>
      <c r="E40" s="15">
        <f>IF(13121.33735="","-",13121.33735/902994.52425*100)</f>
        <v>1.4530915744919037</v>
      </c>
      <c r="F40" s="15">
        <f>IF(63081.38038="","-",63081.38038/1458988.37669*100)</f>
        <v>4.3236383091078787</v>
      </c>
      <c r="G40" s="83">
        <f>IF(17817.1094="","-",17817.1094/1389017.92207*100)</f>
        <v>1.28271270779918</v>
      </c>
    </row>
    <row r="41" spans="1:7" x14ac:dyDescent="0.2">
      <c r="A41" s="139" t="s">
        <v>40</v>
      </c>
      <c r="B41" s="15">
        <f>IF(OR(2645.57449="",2645.57449="***"),"-",2645.57449/877651.01761*100)</f>
        <v>0.3014380929226711</v>
      </c>
      <c r="C41" s="15">
        <f>IF(2369.67324="","-",2369.67324/948466.87002*100)</f>
        <v>0.24984248948516585</v>
      </c>
      <c r="D41" s="15">
        <f>IF(4852.2338="","-",4852.2338/824887.0263*100)</f>
        <v>0.58823010246197149</v>
      </c>
      <c r="E41" s="15">
        <f>IF(14206.46289="","-",14206.46289/902994.52425*100)</f>
        <v>1.5732612445019487</v>
      </c>
      <c r="F41" s="15">
        <f>IF(18314.69488="","-",18314.69488/1458988.37669*100)</f>
        <v>1.2553009449979622</v>
      </c>
      <c r="G41" s="83">
        <f>IF(17295.80564="","-",17295.80564/1389017.92207*100)</f>
        <v>1.2451823237978616</v>
      </c>
    </row>
    <row r="42" spans="1:7" x14ac:dyDescent="0.2">
      <c r="A42" s="139" t="s">
        <v>90</v>
      </c>
      <c r="B42" s="15">
        <f>IF(OR(4731.31817="",4731.31817="***"),"-",4731.31817/877651.01761*100)</f>
        <v>0.5390887807416006</v>
      </c>
      <c r="C42" s="15">
        <f>IF(2545.94653="","-",2545.94653/948466.87002*100)</f>
        <v>0.26842756562981634</v>
      </c>
      <c r="D42" s="15">
        <f>IF(3581.82872="","-",3581.82872/824887.0263*100)</f>
        <v>0.43422051818006629</v>
      </c>
      <c r="E42" s="15">
        <f>IF(3784.59091="","-",3784.59091/902994.52425*100)</f>
        <v>0.41911559908332413</v>
      </c>
      <c r="F42" s="15">
        <f>IF(3285.26186="","-",3285.26186/1458988.37669*100)</f>
        <v>0.2251739570025402</v>
      </c>
      <c r="G42" s="83">
        <f>IF(15968.30154="","-",15968.30154/1389017.92207*100)</f>
        <v>1.1496109075542418</v>
      </c>
    </row>
    <row r="43" spans="1:7" x14ac:dyDescent="0.2">
      <c r="A43" s="139" t="s">
        <v>111</v>
      </c>
      <c r="B43" s="15">
        <f>IF(OR(31294.57658="",31294.57658="***"),"-",31294.57658/877651.01761*100)</f>
        <v>3.5657198535724035</v>
      </c>
      <c r="C43" s="15">
        <f>IF(16767.65278="","-",16767.65278/948466.87002*100)</f>
        <v>1.7678691064503311</v>
      </c>
      <c r="D43" s="15">
        <f>IF(12561.24668="","-",12561.24668/824887.0263*100)</f>
        <v>1.5227838818538586</v>
      </c>
      <c r="E43" s="15">
        <f>IF(14462.75552="","-",14462.75552/902994.52425*100)</f>
        <v>1.6016437676642976</v>
      </c>
      <c r="F43" s="15">
        <f>IF(28066.91336="","-",28066.91336/1458988.37669*100)</f>
        <v>1.9237242604821343</v>
      </c>
      <c r="G43" s="83">
        <f>IF(14424.03461="","-",14424.03461/1389017.92207*100)</f>
        <v>1.0384340173598636</v>
      </c>
    </row>
    <row r="44" spans="1:7" x14ac:dyDescent="0.2">
      <c r="A44" s="139" t="s">
        <v>61</v>
      </c>
      <c r="B44" s="15">
        <f>IF(OR(18571.46893="",18571.46893="***"),"-",18571.46893/877651.01761*100)</f>
        <v>2.1160425450851084</v>
      </c>
      <c r="C44" s="15">
        <f>IF(27795.22601="","-",27795.22601/948466.87002*100)</f>
        <v>2.9305426355497151</v>
      </c>
      <c r="D44" s="15">
        <f>IF(31804.15603="","-",31804.15603/824887.0263*100)</f>
        <v>3.8555771900858176</v>
      </c>
      <c r="E44" s="15">
        <f>IF(12362.38882="","-",12362.38882/902994.52425*100)</f>
        <v>1.3690436085720261</v>
      </c>
      <c r="F44" s="15">
        <f>IF(41485.9018="","-",41485.9018/1458988.37669*100)</f>
        <v>2.8434703430687271</v>
      </c>
      <c r="G44" s="83">
        <f>IF(13866.89963="","-",13866.89963/1389017.92207*100)</f>
        <v>0.9983240251741814</v>
      </c>
    </row>
    <row r="45" spans="1:7" x14ac:dyDescent="0.2">
      <c r="A45" s="139" t="s">
        <v>59</v>
      </c>
      <c r="B45" s="15">
        <f>IF(OR(12914.10148="",12914.10148="***"),"-",12914.10148/877651.01761*100)</f>
        <v>1.4714392418945057</v>
      </c>
      <c r="C45" s="15">
        <f>IF(8653.08494="","-",8653.08494/948466.87002*100)</f>
        <v>0.91232337296267774</v>
      </c>
      <c r="D45" s="15">
        <f>IF(16241.55693="","-",16241.55693/824887.0263*100)</f>
        <v>1.9689431900572978</v>
      </c>
      <c r="E45" s="15">
        <f>IF(9584.26753="","-",9584.26753/902994.52425*100)</f>
        <v>1.0613871150503822</v>
      </c>
      <c r="F45" s="15">
        <f>IF(17033.46254="","-",17033.46254/1458988.37669*100)</f>
        <v>1.1674844578709898</v>
      </c>
      <c r="G45" s="83">
        <f>IF(12808.54243="","-",12808.54243/1389017.92207*100)</f>
        <v>0.92212938555262991</v>
      </c>
    </row>
    <row r="46" spans="1:7" x14ac:dyDescent="0.2">
      <c r="A46" s="139" t="s">
        <v>80</v>
      </c>
      <c r="B46" s="15">
        <f>IF(OR(12875.95622="",12875.95622="***"),"-",12875.95622/877651.01761*100)</f>
        <v>1.4670929517137143</v>
      </c>
      <c r="C46" s="15">
        <f>IF(13709.63237="","-",13709.63237/948466.87002*100)</f>
        <v>1.4454518975144497</v>
      </c>
      <c r="D46" s="15">
        <f>IF(12528.30206="","-",12528.30206/824887.0263*100)</f>
        <v>1.5187900476741927</v>
      </c>
      <c r="E46" s="15">
        <f>IF(13178.07129="","-",13178.07129/902994.52425*100)</f>
        <v>1.4593744409408582</v>
      </c>
      <c r="F46" s="15">
        <f>IF(26061.08094="","-",26061.08094/1458988.37669*100)</f>
        <v>1.7862432186831159</v>
      </c>
      <c r="G46" s="83">
        <f>IF(12343.42914="","-",12343.42914/1389017.92207*100)</f>
        <v>0.8886443395636725</v>
      </c>
    </row>
    <row r="47" spans="1:7" x14ac:dyDescent="0.2">
      <c r="A47" s="139" t="s">
        <v>107</v>
      </c>
      <c r="B47" s="15">
        <f>IF(OR(3445.45744="",3445.45744="***"),"-",3445.45744/877651.01761*100)</f>
        <v>0.39257716004051302</v>
      </c>
      <c r="C47" s="15">
        <f>IF(2938.64359="","-",2938.64359/948466.87002*100)</f>
        <v>0.30983091585877259</v>
      </c>
      <c r="D47" s="15">
        <f>IF(2319.88383="","-",2319.88383/824887.0263*100)</f>
        <v>0.28123655191981289</v>
      </c>
      <c r="E47" s="15">
        <f>IF(2747.05585="","-",2747.05585/902994.52425*100)</f>
        <v>0.30421622459799763</v>
      </c>
      <c r="F47" s="15">
        <f>IF(3479.2269="","-",3479.2269/1458988.37669*100)</f>
        <v>0.23846844536851661</v>
      </c>
      <c r="G47" s="83">
        <f>IF(7740.31285="","-",7740.31285/1389017.92207*100)</f>
        <v>0.55725075443698446</v>
      </c>
    </row>
    <row r="48" spans="1:7" x14ac:dyDescent="0.2">
      <c r="A48" s="140" t="s">
        <v>108</v>
      </c>
      <c r="B48" s="10">
        <f>IF(OR(7268.14881="",7268.14881="***"),"-",7268.14881/877651.01761*100)</f>
        <v>0.8281365444994826</v>
      </c>
      <c r="C48" s="10">
        <f>IF(1037.22968="","-",1037.22968/948466.87002*100)</f>
        <v>0.10935855671776161</v>
      </c>
      <c r="D48" s="10">
        <f>IF(151.7808="","-",151.7808/824887.0263*100)</f>
        <v>1.8400192409475404E-2</v>
      </c>
      <c r="E48" s="10">
        <f>IF(286.26649="","-",286.26649/902994.52425*100)</f>
        <v>3.1701907632027369E-2</v>
      </c>
      <c r="F48" s="10">
        <f>IF(1223.34834="","-",1223.34834/1458988.37669*100)</f>
        <v>8.3849080605796489E-2</v>
      </c>
      <c r="G48" s="101">
        <f>IF(7015.04264="","-",7015.04264/1389017.92207*100)</f>
        <v>0.50503615025684845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6"/>
  <sheetViews>
    <sheetView workbookViewId="0">
      <selection activeCell="I44" sqref="I44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2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24" t="s">
        <v>91</v>
      </c>
      <c r="B2" s="124"/>
      <c r="C2" s="124"/>
      <c r="D2" s="124"/>
      <c r="E2" s="124"/>
      <c r="F2" s="124"/>
      <c r="G2" s="124"/>
    </row>
    <row r="3" spans="1:8" ht="15" customHeight="1" x14ac:dyDescent="0.2">
      <c r="A3" s="48"/>
      <c r="B3" s="48"/>
      <c r="C3" s="48"/>
      <c r="D3" s="48"/>
      <c r="E3" s="48"/>
      <c r="F3" s="48"/>
      <c r="G3" s="48"/>
    </row>
    <row r="4" spans="1:8" ht="15" customHeight="1" x14ac:dyDescent="0.2">
      <c r="A4" s="48"/>
      <c r="B4" s="48"/>
      <c r="C4" s="48"/>
      <c r="D4" s="48"/>
      <c r="E4" s="48"/>
      <c r="F4" s="48"/>
      <c r="G4" s="48"/>
    </row>
    <row r="5" spans="1:8" x14ac:dyDescent="0.2">
      <c r="A5" s="123"/>
      <c r="B5" s="123"/>
      <c r="C5" s="123"/>
      <c r="D5" s="123"/>
      <c r="E5" s="123"/>
      <c r="F5" s="123"/>
      <c r="G5" s="123"/>
      <c r="H5" s="123"/>
    </row>
    <row r="28" spans="1:6" x14ac:dyDescent="0.2">
      <c r="A28" s="97" t="s">
        <v>109</v>
      </c>
      <c r="B28" s="37" t="s">
        <v>44</v>
      </c>
    </row>
    <row r="29" spans="1:6" ht="12.75" customHeight="1" x14ac:dyDescent="0.2">
      <c r="A29" s="142" t="s">
        <v>70</v>
      </c>
      <c r="B29" s="131">
        <v>12.2</v>
      </c>
      <c r="C29" s="104"/>
      <c r="D29" s="109"/>
      <c r="E29" s="110"/>
      <c r="F29" s="110"/>
    </row>
    <row r="30" spans="1:6" ht="14.25" customHeight="1" x14ac:dyDescent="0.2">
      <c r="A30" s="143" t="s">
        <v>88</v>
      </c>
      <c r="B30" s="133">
        <v>3.9</v>
      </c>
      <c r="C30" s="104"/>
      <c r="D30" s="109"/>
      <c r="E30" s="110"/>
      <c r="F30" s="110"/>
    </row>
    <row r="31" spans="1:6" ht="12.75" customHeight="1" x14ac:dyDescent="0.2">
      <c r="A31" s="143" t="s">
        <v>65</v>
      </c>
      <c r="B31" s="133">
        <v>17.3</v>
      </c>
      <c r="C31" s="104"/>
      <c r="D31" s="109"/>
      <c r="E31" s="110"/>
      <c r="F31" s="110"/>
    </row>
    <row r="32" spans="1:6" ht="12.75" customHeight="1" x14ac:dyDescent="0.2">
      <c r="A32" s="143" t="s">
        <v>68</v>
      </c>
      <c r="B32" s="133">
        <v>9.5</v>
      </c>
      <c r="C32" s="104"/>
      <c r="D32" s="109"/>
      <c r="E32" s="110"/>
      <c r="F32" s="110"/>
    </row>
    <row r="33" spans="1:6" ht="12" customHeight="1" x14ac:dyDescent="0.2">
      <c r="A33" s="143" t="s">
        <v>66</v>
      </c>
      <c r="B33" s="133">
        <v>8.4</v>
      </c>
      <c r="C33" s="104"/>
      <c r="D33" s="109"/>
      <c r="E33" s="110"/>
      <c r="F33" s="110"/>
    </row>
    <row r="34" spans="1:6" ht="12.75" customHeight="1" x14ac:dyDescent="0.2">
      <c r="A34" s="143" t="s">
        <v>72</v>
      </c>
      <c r="B34" s="133">
        <v>6.6</v>
      </c>
      <c r="C34" s="104"/>
      <c r="D34" s="109"/>
      <c r="E34" s="110"/>
      <c r="F34" s="110"/>
    </row>
    <row r="35" spans="1:6" ht="13.5" customHeight="1" x14ac:dyDescent="0.2">
      <c r="A35" s="143" t="s">
        <v>74</v>
      </c>
      <c r="B35" s="133">
        <v>3.2</v>
      </c>
      <c r="C35" s="104"/>
      <c r="D35" s="109"/>
      <c r="E35" s="110"/>
      <c r="F35" s="110"/>
    </row>
    <row r="36" spans="1:6" ht="13.5" customHeight="1" x14ac:dyDescent="0.2">
      <c r="A36" s="143" t="s">
        <v>67</v>
      </c>
      <c r="B36" s="133">
        <v>12.1</v>
      </c>
      <c r="C36" s="104"/>
      <c r="D36" s="109"/>
      <c r="E36" s="110"/>
      <c r="F36" s="110"/>
    </row>
    <row r="37" spans="1:6" ht="12.75" customHeight="1" x14ac:dyDescent="0.2">
      <c r="A37" s="143" t="s">
        <v>71</v>
      </c>
      <c r="B37" s="133">
        <v>3.5</v>
      </c>
      <c r="C37" s="104"/>
      <c r="D37" s="109"/>
      <c r="E37" s="110"/>
      <c r="F37" s="110"/>
    </row>
    <row r="38" spans="1:6" ht="12.75" customHeight="1" x14ac:dyDescent="0.2">
      <c r="A38" s="143" t="s">
        <v>85</v>
      </c>
      <c r="B38" s="133">
        <v>2</v>
      </c>
      <c r="C38" s="104"/>
      <c r="D38" s="109"/>
      <c r="E38" s="110"/>
      <c r="F38" s="110"/>
    </row>
    <row r="39" spans="1:6" ht="12.75" customHeight="1" x14ac:dyDescent="0.2">
      <c r="A39" s="143" t="s">
        <v>78</v>
      </c>
      <c r="B39" s="133">
        <v>2.2000000000000002</v>
      </c>
      <c r="C39" s="104"/>
      <c r="D39" s="109"/>
      <c r="E39" s="110"/>
      <c r="F39" s="110"/>
    </row>
    <row r="40" spans="1:6" ht="11.25" customHeight="1" x14ac:dyDescent="0.2">
      <c r="A40" s="143" t="s">
        <v>87</v>
      </c>
      <c r="B40" s="133">
        <v>2.1</v>
      </c>
      <c r="C40" s="104"/>
      <c r="D40" s="109"/>
      <c r="E40" s="110"/>
      <c r="F40" s="110"/>
    </row>
    <row r="41" spans="1:6" ht="11.25" customHeight="1" x14ac:dyDescent="0.2">
      <c r="A41" s="144" t="s">
        <v>73</v>
      </c>
      <c r="B41" s="19">
        <v>17</v>
      </c>
      <c r="C41" s="105"/>
      <c r="D41" s="109"/>
      <c r="E41" s="111"/>
      <c r="F41" s="111"/>
    </row>
    <row r="42" spans="1:6" x14ac:dyDescent="0.2">
      <c r="A42" s="60"/>
      <c r="B42" s="81"/>
    </row>
    <row r="43" spans="1:6" x14ac:dyDescent="0.2">
      <c r="A43" s="97" t="s">
        <v>110</v>
      </c>
      <c r="B43" s="27" t="s">
        <v>44</v>
      </c>
    </row>
    <row r="44" spans="1:6" ht="12.75" customHeight="1" x14ac:dyDescent="0.2">
      <c r="A44" s="142" t="s">
        <v>70</v>
      </c>
      <c r="B44" s="145">
        <v>15</v>
      </c>
      <c r="D44" s="110"/>
    </row>
    <row r="45" spans="1:6" ht="13.5" customHeight="1" x14ac:dyDescent="0.2">
      <c r="A45" s="143" t="s">
        <v>88</v>
      </c>
      <c r="B45" s="146">
        <v>12.5</v>
      </c>
      <c r="D45" s="110"/>
    </row>
    <row r="46" spans="1:6" ht="13.5" customHeight="1" x14ac:dyDescent="0.2">
      <c r="A46" s="143" t="s">
        <v>65</v>
      </c>
      <c r="B46" s="146">
        <v>10.5</v>
      </c>
      <c r="D46" s="110"/>
    </row>
    <row r="47" spans="1:6" ht="14.25" customHeight="1" x14ac:dyDescent="0.2">
      <c r="A47" s="143" t="s">
        <v>68</v>
      </c>
      <c r="B47" s="146">
        <v>8.5</v>
      </c>
      <c r="D47" s="110"/>
    </row>
    <row r="48" spans="1:6" ht="13.5" customHeight="1" x14ac:dyDescent="0.2">
      <c r="A48" s="143" t="s">
        <v>66</v>
      </c>
      <c r="B48" s="146">
        <v>8</v>
      </c>
      <c r="D48" s="110"/>
    </row>
    <row r="49" spans="1:4" ht="14.25" customHeight="1" x14ac:dyDescent="0.2">
      <c r="A49" s="143" t="s">
        <v>72</v>
      </c>
      <c r="B49" s="146">
        <v>6.8</v>
      </c>
      <c r="D49" s="110"/>
    </row>
    <row r="50" spans="1:4" ht="12.75" customHeight="1" x14ac:dyDescent="0.2">
      <c r="A50" s="143" t="s">
        <v>74</v>
      </c>
      <c r="B50" s="146">
        <v>4.5999999999999996</v>
      </c>
      <c r="D50" s="110"/>
    </row>
    <row r="51" spans="1:4" ht="14.25" customHeight="1" x14ac:dyDescent="0.2">
      <c r="A51" s="143" t="s">
        <v>67</v>
      </c>
      <c r="B51" s="146">
        <v>4.3</v>
      </c>
      <c r="D51" s="110"/>
    </row>
    <row r="52" spans="1:4" ht="13.5" customHeight="1" x14ac:dyDescent="0.2">
      <c r="A52" s="143" t="s">
        <v>71</v>
      </c>
      <c r="B52" s="146">
        <v>3.5</v>
      </c>
      <c r="D52" s="110"/>
    </row>
    <row r="53" spans="1:4" ht="13.5" customHeight="1" x14ac:dyDescent="0.2">
      <c r="A53" s="143" t="s">
        <v>85</v>
      </c>
      <c r="B53" s="146">
        <v>2.8</v>
      </c>
      <c r="D53" s="110"/>
    </row>
    <row r="54" spans="1:4" ht="12.75" customHeight="1" x14ac:dyDescent="0.2">
      <c r="A54" s="143" t="s">
        <v>78</v>
      </c>
      <c r="B54" s="146">
        <v>2.2999999999999998</v>
      </c>
      <c r="D54" s="110"/>
    </row>
    <row r="55" spans="1:4" ht="12.75" customHeight="1" x14ac:dyDescent="0.2">
      <c r="A55" s="143" t="s">
        <v>87</v>
      </c>
      <c r="B55" s="146">
        <v>2</v>
      </c>
      <c r="D55" s="110"/>
    </row>
    <row r="56" spans="1:4" ht="13.5" customHeight="1" x14ac:dyDescent="0.2">
      <c r="A56" s="144" t="s">
        <v>73</v>
      </c>
      <c r="B56" s="147">
        <v>19.2</v>
      </c>
      <c r="D56" s="111"/>
    </row>
  </sheetData>
  <mergeCells count="2">
    <mergeCell ref="A5:H5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0"/>
  <sheetViews>
    <sheetView workbookViewId="0">
      <selection activeCell="K41" sqref="K41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22" t="s">
        <v>95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x14ac:dyDescent="0.2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x14ac:dyDescent="0.2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x14ac:dyDescent="0.2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x14ac:dyDescent="0.2">
      <c r="A27" s="28">
        <v>2022</v>
      </c>
      <c r="B27" s="33">
        <v>621.70000000000005</v>
      </c>
      <c r="C27" s="33">
        <v>669.1</v>
      </c>
      <c r="D27" s="33">
        <v>748.3</v>
      </c>
      <c r="E27" s="33">
        <v>770.4</v>
      </c>
      <c r="F27" s="33">
        <v>772.7</v>
      </c>
      <c r="G27" s="33">
        <v>768.4</v>
      </c>
      <c r="H27" s="33">
        <v>761</v>
      </c>
      <c r="I27" s="33">
        <v>780</v>
      </c>
      <c r="J27" s="33">
        <v>844.1</v>
      </c>
      <c r="K27" s="33">
        <v>751.2</v>
      </c>
      <c r="L27" s="33">
        <v>858.3</v>
      </c>
      <c r="M27" s="34">
        <v>873.8</v>
      </c>
    </row>
    <row r="28" spans="1:13" x14ac:dyDescent="0.2">
      <c r="A28" s="29">
        <v>2023</v>
      </c>
      <c r="B28" s="10">
        <v>733.3</v>
      </c>
      <c r="C28" s="10">
        <v>752.5</v>
      </c>
      <c r="D28" s="35">
        <v>821.2</v>
      </c>
      <c r="E28" s="35">
        <v>690.5</v>
      </c>
      <c r="F28" s="35"/>
      <c r="G28" s="35"/>
      <c r="H28" s="35"/>
      <c r="I28" s="35"/>
      <c r="J28" s="35"/>
      <c r="K28" s="35"/>
      <c r="L28" s="35"/>
      <c r="M28" s="36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D32"/>
  <sheetViews>
    <sheetView workbookViewId="0">
      <selection activeCell="R33" sqref="R33"/>
    </sheetView>
  </sheetViews>
  <sheetFormatPr defaultRowHeight="12" x14ac:dyDescent="0.2"/>
  <cols>
    <col min="1" max="1" width="19.140625" style="3" customWidth="1"/>
    <col min="2" max="2" width="6.7109375" style="3" customWidth="1"/>
    <col min="3" max="4" width="5.42578125" style="3" customWidth="1"/>
    <col min="5" max="5" width="5.5703125" style="3" customWidth="1"/>
    <col min="6" max="6" width="5.42578125" style="3" customWidth="1"/>
    <col min="7" max="7" width="6" style="3" customWidth="1"/>
    <col min="8" max="8" width="5.28515625" style="3" customWidth="1"/>
    <col min="9" max="11" width="5.7109375" style="3" customWidth="1"/>
    <col min="12" max="12" width="5.42578125" style="3" customWidth="1"/>
    <col min="13" max="14" width="5.5703125" style="3" customWidth="1"/>
    <col min="15" max="16" width="5.85546875" style="3" customWidth="1"/>
    <col min="17" max="17" width="5.5703125" style="3" customWidth="1"/>
    <col min="18" max="18" width="5.42578125" style="3" customWidth="1"/>
    <col min="19" max="19" width="6" style="3" customWidth="1"/>
    <col min="20" max="20" width="0.140625" style="3" customWidth="1"/>
    <col min="21" max="24" width="6" style="3" customWidth="1"/>
    <col min="25" max="25" width="6.42578125" style="3" customWidth="1"/>
    <col min="26" max="28" width="6.28515625" style="3" customWidth="1"/>
    <col min="29" max="30" width="6.7109375" style="3" customWidth="1"/>
    <col min="31" max="31" width="6.5703125" style="3" customWidth="1"/>
    <col min="32" max="16384" width="9.140625" style="3"/>
  </cols>
  <sheetData>
    <row r="2" spans="1:20" ht="12.75" x14ac:dyDescent="0.2">
      <c r="A2" s="118" t="s">
        <v>96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x14ac:dyDescent="0.2">
      <c r="A3" s="4"/>
    </row>
    <row r="4" spans="1:20" x14ac:dyDescent="0.2">
      <c r="A4" s="4"/>
    </row>
    <row r="5" spans="1:20" x14ac:dyDescent="0.2">
      <c r="A5" s="4"/>
    </row>
    <row r="6" spans="1:20" x14ac:dyDescent="0.2">
      <c r="A6" s="4"/>
    </row>
    <row r="7" spans="1:20" x14ac:dyDescent="0.2">
      <c r="A7" s="4"/>
    </row>
    <row r="8" spans="1:20" x14ac:dyDescent="0.2">
      <c r="A8" s="4"/>
    </row>
    <row r="9" spans="1:20" x14ac:dyDescent="0.2">
      <c r="A9" s="4"/>
    </row>
    <row r="10" spans="1:20" x14ac:dyDescent="0.2">
      <c r="A10" s="4"/>
    </row>
    <row r="11" spans="1:20" x14ac:dyDescent="0.2">
      <c r="A11" s="4"/>
    </row>
    <row r="12" spans="1:20" x14ac:dyDescent="0.2">
      <c r="A12" s="4"/>
    </row>
    <row r="13" spans="1:20" x14ac:dyDescent="0.2">
      <c r="A13" s="4"/>
    </row>
    <row r="14" spans="1:20" x14ac:dyDescent="0.2">
      <c r="A14" s="4"/>
    </row>
    <row r="15" spans="1:20" x14ac:dyDescent="0.2">
      <c r="A15" s="4"/>
    </row>
    <row r="16" spans="1:20" x14ac:dyDescent="0.2">
      <c r="A16" s="4"/>
    </row>
    <row r="17" spans="1:30" x14ac:dyDescent="0.2">
      <c r="A17" s="4"/>
    </row>
    <row r="18" spans="1:30" x14ac:dyDescent="0.2">
      <c r="A18" s="4"/>
    </row>
    <row r="19" spans="1:30" x14ac:dyDescent="0.2">
      <c r="A19" s="4"/>
    </row>
    <row r="20" spans="1:30" x14ac:dyDescent="0.2">
      <c r="A20" s="4"/>
    </row>
    <row r="21" spans="1:30" ht="15" customHeight="1" x14ac:dyDescent="0.2">
      <c r="A21" s="4"/>
    </row>
    <row r="22" spans="1:30" x14ac:dyDescent="0.2">
      <c r="A22" s="4"/>
    </row>
    <row r="23" spans="1:30" x14ac:dyDescent="0.2">
      <c r="A23" s="125"/>
      <c r="B23" s="115">
        <v>2021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115">
        <v>2022</v>
      </c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7"/>
      <c r="Z23" s="119">
        <v>2023</v>
      </c>
      <c r="AA23" s="120"/>
      <c r="AB23" s="120"/>
      <c r="AC23" s="121"/>
    </row>
    <row r="24" spans="1:30" x14ac:dyDescent="0.2">
      <c r="A24" s="126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1" t="s">
        <v>19</v>
      </c>
      <c r="K24" s="29" t="s">
        <v>24</v>
      </c>
      <c r="L24" s="27" t="s">
        <v>20</v>
      </c>
      <c r="M24" s="27" t="s">
        <v>21</v>
      </c>
      <c r="N24" s="49" t="s">
        <v>13</v>
      </c>
      <c r="O24" s="49" t="s">
        <v>14</v>
      </c>
      <c r="P24" s="49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92" t="s">
        <v>20</v>
      </c>
      <c r="Y24" s="92" t="s">
        <v>21</v>
      </c>
      <c r="Z24" s="106" t="s">
        <v>13</v>
      </c>
      <c r="AA24" s="106" t="s">
        <v>14</v>
      </c>
      <c r="AB24" s="107" t="s">
        <v>15</v>
      </c>
      <c r="AC24" s="107" t="s">
        <v>16</v>
      </c>
      <c r="AD24" s="108"/>
    </row>
    <row r="25" spans="1:30" ht="27.75" customHeight="1" x14ac:dyDescent="0.2">
      <c r="A25" s="16" t="s">
        <v>57</v>
      </c>
      <c r="B25" s="55">
        <v>70.397914008513311</v>
      </c>
      <c r="C25" s="14">
        <v>130.56565598353049</v>
      </c>
      <c r="D25" s="14">
        <v>120.83026196604835</v>
      </c>
      <c r="E25" s="56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93">
        <v>82.42810256467493</v>
      </c>
      <c r="O25" s="15">
        <v>107.62832847463979</v>
      </c>
      <c r="P25" s="15">
        <v>111.83649823538117</v>
      </c>
      <c r="Q25" s="15">
        <v>102.95945766976527</v>
      </c>
      <c r="R25" s="15">
        <v>100.28989015201115</v>
      </c>
      <c r="S25" s="15">
        <v>99.449492493428721</v>
      </c>
      <c r="T25" s="15">
        <v>99.042771669685536</v>
      </c>
      <c r="U25" s="15">
        <v>102.48436324688166</v>
      </c>
      <c r="V25" s="15">
        <v>108.22806008303567</v>
      </c>
      <c r="W25" s="89">
        <v>88.988673647198652</v>
      </c>
      <c r="X25" s="89">
        <v>114.26056736134905</v>
      </c>
      <c r="Y25" s="83">
        <v>101.80484196839581</v>
      </c>
      <c r="Z25" s="99">
        <v>83.923113131090105</v>
      </c>
      <c r="AA25" s="80">
        <v>102.61098940878497</v>
      </c>
      <c r="AB25" s="80">
        <v>109.13292087461024</v>
      </c>
      <c r="AC25" s="78">
        <v>84.084330140709312</v>
      </c>
    </row>
    <row r="26" spans="1:30" ht="42" customHeight="1" x14ac:dyDescent="0.2">
      <c r="A26" s="18" t="s">
        <v>58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IF(646825.37355="","-",751192.39849/646825.37355*100)</f>
        <v>116.13527069403568</v>
      </c>
      <c r="X26" s="10">
        <f>IF(701494.63996="","-",858316.69649/701494.63996*100)</f>
        <v>122.35541764637607</v>
      </c>
      <c r="Y26" s="12">
        <f>IF(754196.91196="","-",873807.95645/754196.91196*100)</f>
        <v>115.85939196955289</v>
      </c>
      <c r="Z26" s="100">
        <f>IF(621670.20413="","-",733326.83984/621670.20413*100)</f>
        <v>117.96075072735046</v>
      </c>
      <c r="AA26" s="79">
        <f>IF(669093.24933="","-",752473.92596/669093.24933*100)</f>
        <v>112.46174232268726</v>
      </c>
      <c r="AB26" s="79">
        <f>IF(748290.45998="","-",821196.77422/748290.45998*100)</f>
        <v>109.7430500773655</v>
      </c>
      <c r="AC26" s="101">
        <f>IF(770435.79939="","-",690497.80674/770435.79939*100)</f>
        <v>89.624314873050864</v>
      </c>
    </row>
    <row r="27" spans="1:30" x14ac:dyDescent="0.2">
      <c r="A27" s="7"/>
      <c r="B27" s="8"/>
      <c r="C27" s="8"/>
      <c r="D27" s="8"/>
      <c r="E27" s="8"/>
      <c r="F27" s="8"/>
      <c r="G27" s="8"/>
      <c r="H27" s="8"/>
    </row>
    <row r="28" spans="1:30" x14ac:dyDescent="0.2">
      <c r="A28" s="7"/>
      <c r="B28" s="8"/>
      <c r="C28" s="8"/>
      <c r="D28" s="8"/>
      <c r="E28" s="8"/>
      <c r="F28" s="8"/>
      <c r="G28" s="8"/>
      <c r="H28" s="8"/>
      <c r="N28" s="59"/>
      <c r="O28" s="15"/>
      <c r="P28" s="15"/>
      <c r="Q28" s="15"/>
      <c r="R28" s="15"/>
      <c r="S28" s="15"/>
      <c r="T28" s="15"/>
      <c r="U28" s="15"/>
      <c r="V28" s="15"/>
      <c r="W28" s="89"/>
      <c r="X28" s="89"/>
      <c r="Y28" s="89"/>
    </row>
    <row r="29" spans="1:30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0" ht="15.75" x14ac:dyDescent="0.25">
      <c r="N30" s="63"/>
      <c r="O30" s="63"/>
      <c r="P30" s="63"/>
      <c r="Q30" s="15"/>
      <c r="R30" s="15"/>
      <c r="S30" s="15"/>
      <c r="T30" s="15"/>
      <c r="U30" s="15"/>
      <c r="V30" s="68"/>
      <c r="W30" s="77"/>
    </row>
    <row r="31" spans="1:30" ht="15.75" x14ac:dyDescent="0.25">
      <c r="G31" s="42"/>
      <c r="H31" s="42"/>
      <c r="I31" s="45"/>
      <c r="J31" s="42"/>
      <c r="K31" s="42"/>
      <c r="L31" s="42"/>
      <c r="M31" s="45"/>
      <c r="N31" s="42"/>
      <c r="O31" s="45"/>
      <c r="P31" s="42"/>
      <c r="Q31" s="45"/>
      <c r="R31" s="42"/>
      <c r="S31" s="45"/>
      <c r="T31" s="42"/>
      <c r="U31" s="45"/>
      <c r="V31" s="42"/>
      <c r="W31" s="46"/>
      <c r="X31" s="42"/>
      <c r="Y31" s="42"/>
      <c r="Z31" s="42"/>
      <c r="AA31" s="45"/>
      <c r="AB31" s="42"/>
      <c r="AC31" s="44"/>
    </row>
    <row r="32" spans="1:30" ht="15.75" x14ac:dyDescent="0.2">
      <c r="L32" s="45"/>
    </row>
  </sheetData>
  <mergeCells count="5">
    <mergeCell ref="A23:A24"/>
    <mergeCell ref="B23:M23"/>
    <mergeCell ref="N23:Y23"/>
    <mergeCell ref="A2:T2"/>
    <mergeCell ref="Z23:AC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Mariana Eni</cp:lastModifiedBy>
  <cp:lastPrinted>2023-02-01T07:21:59Z</cp:lastPrinted>
  <dcterms:created xsi:type="dcterms:W3CDTF">2017-02-13T11:50:10Z</dcterms:created>
  <dcterms:modified xsi:type="dcterms:W3CDTF">2023-06-14T07:46:54Z</dcterms:modified>
</cp:coreProperties>
</file>