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CorinaVicol\Desktop\Comert\"/>
    </mc:Choice>
  </mc:AlternateContent>
  <xr:revisionPtr revIDLastSave="0" documentId="13_ncr:1_{3175D82C-CFF0-4B05-A4B4-842B401CF08A}" xr6:coauthVersionLast="47" xr6:coauthVersionMax="47" xr10:uidLastSave="{00000000-0000-0000-0000-000000000000}"/>
  <bookViews>
    <workbookView xWindow="-108" yWindow="-108" windowWidth="23256" windowHeight="12576" tabRatio="857" xr2:uid="{00000000-000D-0000-FFFF-FFFF00000000}"/>
  </bookViews>
  <sheets>
    <sheet name="Figura 1" sheetId="1" r:id="rId1"/>
    <sheet name="Figura 2" sheetId="2" r:id="rId2"/>
    <sheet name="Sheet1" sheetId="18" state="hidden" r:id="rId3"/>
    <sheet name="Figura 3" sheetId="3" r:id="rId4"/>
    <sheet name="Figura 4" sheetId="4" r:id="rId5"/>
    <sheet name="Figura 5" sheetId="5" r:id="rId6"/>
    <sheet name="Figura 6" sheetId="17" r:id="rId7"/>
    <sheet name="Figura 7" sheetId="7" r:id="rId8"/>
    <sheet name="Figura 8" sheetId="8" r:id="rId9"/>
    <sheet name="Figura 9" sheetId="9" r:id="rId10"/>
    <sheet name="Figura 10" sheetId="10" r:id="rId11"/>
    <sheet name="Figura 11" sheetId="16" r:id="rId12"/>
    <sheet name="Figura 12" sheetId="12" r:id="rId13"/>
    <sheet name="Figura 13" sheetId="13" r:id="rId14"/>
    <sheet name="Figura 14" sheetId="14" r:id="rId1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6" l="1"/>
  <c r="F50" i="16"/>
  <c r="E50" i="16"/>
  <c r="D50" i="16"/>
  <c r="C50" i="16"/>
  <c r="B50" i="16"/>
  <c r="G49" i="16"/>
  <c r="F49" i="16"/>
  <c r="E49" i="16"/>
  <c r="D49" i="16"/>
  <c r="C49" i="16"/>
  <c r="B49" i="16"/>
  <c r="G48" i="16"/>
  <c r="F48" i="16"/>
  <c r="E48" i="16"/>
  <c r="D48" i="16"/>
  <c r="C48" i="16"/>
  <c r="B48" i="16"/>
  <c r="G47" i="16"/>
  <c r="F47" i="16"/>
  <c r="E47" i="16"/>
  <c r="D47" i="16"/>
  <c r="C47" i="16"/>
  <c r="B47" i="16"/>
  <c r="G46" i="16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AA26" i="8"/>
  <c r="Z26" i="8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AA26" i="2"/>
  <c r="Z26" i="2"/>
  <c r="Y26" i="8"/>
  <c r="X26" i="8"/>
  <c r="Y26" i="2"/>
  <c r="X26" i="2"/>
  <c r="W26" i="8"/>
  <c r="V26" i="8"/>
  <c r="U26" i="8"/>
  <c r="T26" i="8"/>
  <c r="S26" i="8"/>
  <c r="R26" i="8"/>
  <c r="Q26" i="8"/>
  <c r="P26" i="8"/>
  <c r="O26" i="8"/>
  <c r="N26" i="8"/>
  <c r="Q26" i="2" l="1"/>
  <c r="W26" i="2"/>
  <c r="V26" i="2"/>
  <c r="U26" i="2"/>
  <c r="T26" i="2"/>
  <c r="S26" i="2"/>
  <c r="R26" i="2"/>
  <c r="P26" i="2"/>
  <c r="O26" i="2"/>
  <c r="N26" i="2"/>
  <c r="L26" i="8" l="1"/>
  <c r="M26" i="8" l="1"/>
  <c r="K26" i="8"/>
  <c r="J26" i="8"/>
  <c r="I26" i="8"/>
  <c r="H26" i="8"/>
  <c r="G26" i="8"/>
  <c r="F26" i="8"/>
  <c r="E26" i="8"/>
  <c r="D26" i="8"/>
  <c r="C26" i="8"/>
  <c r="B26" i="8"/>
  <c r="M26" i="2" l="1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<sst xmlns="http://schemas.openxmlformats.org/spreadsheetml/2006/main" count="289" uniqueCount="120">
  <si>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</si>
  <si>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</si>
  <si>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</si>
  <si>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</si>
  <si>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</si>
  <si>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</si>
  <si>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</si>
  <si>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</si>
  <si>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</si>
  <si>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</si>
  <si>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</si>
  <si>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</si>
  <si>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</si>
  <si>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</si>
  <si>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</si>
  <si>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</si>
  <si>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</si>
  <si>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</si>
  <si>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>VII</t>
  </si>
  <si>
    <t>IX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</si>
  <si>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</si>
  <si>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</si>
  <si>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</si>
  <si>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</si>
  <si>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</si>
  <si>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</si>
  <si>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</si>
  <si>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</si>
  <si>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</si>
  <si>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</si>
  <si>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</si>
  <si>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</si>
  <si>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</si>
  <si>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</si>
  <si>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</si>
  <si>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</si>
  <si>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</si>
  <si>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</si>
  <si>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</si>
  <si>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</si>
  <si>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</si>
  <si>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</si>
  <si>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</si>
  <si>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</si>
  <si>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</si>
  <si>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</si>
  <si>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</si>
  <si>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</si>
  <si>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</si>
  <si>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</si>
  <si>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</si>
  <si>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</si>
  <si>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</si>
  <si>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</si>
  <si>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</si>
  <si>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</si>
  <si>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</si>
  <si>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</si>
  <si>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</si>
  <si>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</si>
  <si>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Federația Rusă</t>
  </si>
  <si>
    <t>Elveția</t>
  </si>
  <si>
    <t>Franța</t>
  </si>
  <si>
    <t>Cehia</t>
  </si>
  <si>
    <t>S.U.A.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</si>
  <si>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</si>
  <si>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</si>
  <si>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</si>
  <si>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</si>
  <si>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</si>
  <si>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</si>
  <si>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</si>
  <si>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</si>
  <si>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</si>
  <si>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</si>
  <si>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t>India</t>
  </si>
  <si>
    <t>Gaz şi produse industriale obţinute din gaz</t>
  </si>
  <si>
    <t xml:space="preserve">Maşini şi aparate specializate </t>
  </si>
  <si>
    <t xml:space="preserve">Vehicule rutiere </t>
  </si>
  <si>
    <t xml:space="preserve">Maşini şi aparate industriale </t>
  </si>
  <si>
    <t>Netherlands</t>
  </si>
  <si>
    <t>Vehicule rutiere</t>
  </si>
  <si>
    <t>Japonia</t>
  </si>
  <si>
    <t>Belgia</t>
  </si>
  <si>
    <t>Slovacia</t>
  </si>
  <si>
    <t>Articole din minerale nemetalice</t>
  </si>
  <si>
    <t xml:space="preserve">Petrol, produse petroliere </t>
  </si>
  <si>
    <t xml:space="preserve">Fire, tesături, articole textile </t>
  </si>
  <si>
    <t>Petrol, produse petroliere</t>
  </si>
  <si>
    <t xml:space="preserve">Aparate şi echipamente de telecomunicaţii </t>
  </si>
  <si>
    <t>Kazahstan</t>
  </si>
  <si>
    <r>
      <rPr>
        <b/>
        <sz val="10"/>
        <color theme="1"/>
        <rFont val="Arial"/>
        <family val="2"/>
        <charset val="204"/>
      </rPr>
      <t xml:space="preserve">Figura 6. </t>
    </r>
    <r>
      <rPr>
        <b/>
        <i/>
        <sz val="10"/>
        <color theme="1"/>
        <rFont val="Arial"/>
        <family val="2"/>
        <charset val="204"/>
      </rPr>
      <t>Structura exporturilor, pe grupe de mărfuri (%)</t>
    </r>
  </si>
  <si>
    <r>
      <t xml:space="preserve">Figura 12. </t>
    </r>
    <r>
      <rPr>
        <b/>
        <i/>
        <sz val="10"/>
        <color theme="1"/>
        <rFont val="Arial"/>
        <family val="2"/>
        <charset val="204"/>
      </rPr>
      <t>Structura importurilor, pe grupe de mărfuri (%)</t>
    </r>
  </si>
  <si>
    <r>
      <t xml:space="preserve">Figura 1. </t>
    </r>
    <r>
      <rPr>
        <b/>
        <i/>
        <sz val="10"/>
        <color theme="1"/>
        <rFont val="Arial"/>
        <family val="2"/>
        <charset val="204"/>
      </rPr>
      <t>Evoluţia lunară a exporturilor de mărfuri, în anii 2018-2023 (milioane dolari SUA)</t>
    </r>
  </si>
  <si>
    <r>
      <t xml:space="preserve">Figura 2. </t>
    </r>
    <r>
      <rPr>
        <b/>
        <i/>
        <sz val="10"/>
        <color indexed="8"/>
        <rFont val="Arial"/>
        <family val="2"/>
        <charset val="204"/>
      </rPr>
      <t>Evoluţia lunară a indicilor valorici ai exporturilor de mărfuri, în anii 2021-2023 (%)</t>
    </r>
  </si>
  <si>
    <t>Ianuarie-februarie 2023</t>
  </si>
  <si>
    <t>Ianuarie-februarie 2022</t>
  </si>
  <si>
    <t>Ianuarie-februarie 2021</t>
  </si>
  <si>
    <t>Ianuarie-februarie 2020</t>
  </si>
  <si>
    <t>Ianuarie-februarie 2019</t>
  </si>
  <si>
    <t>Ianuarie-februarie 2018</t>
  </si>
  <si>
    <r>
      <rPr>
        <b/>
        <sz val="10"/>
        <color rgb="FF000000"/>
        <rFont val="Arial"/>
        <family val="2"/>
        <charset val="204"/>
      </rPr>
      <t>Figura 3.</t>
    </r>
    <r>
      <rPr>
        <b/>
        <i/>
        <sz val="10"/>
        <color indexed="8"/>
        <rFont val="Arial"/>
        <family val="2"/>
        <charset val="204"/>
      </rPr>
      <t xml:space="preserve"> Structura exporturilor de mărfuri, în ianuarie-februarie 2018-2023, după modul de transport (%)</t>
    </r>
  </si>
  <si>
    <r>
      <rPr>
        <b/>
        <sz val="10"/>
        <color rgb="FF000000"/>
        <rFont val="Arial"/>
        <family val="2"/>
        <charset val="204"/>
      </rPr>
      <t>Figura 4.</t>
    </r>
    <r>
      <rPr>
        <b/>
        <i/>
        <sz val="10"/>
        <color indexed="8"/>
        <rFont val="Arial"/>
        <family val="2"/>
        <charset val="204"/>
      </rPr>
      <t xml:space="preserve"> Structura exporturilor de mărfuri, în ianuarie-februarie 2018-2023, pe grupe de ţări (%)</t>
    </r>
  </si>
  <si>
    <t xml:space="preserve">   Ianuarie - februarie 2022</t>
  </si>
  <si>
    <t xml:space="preserve">   Ianuarie - februarie 2023</t>
  </si>
  <si>
    <r>
      <rPr>
        <b/>
        <sz val="10"/>
        <color rgb="FF000000"/>
        <rFont val="Arial"/>
        <family val="2"/>
        <charset val="204"/>
      </rPr>
      <t>Figura 5.</t>
    </r>
    <r>
      <rPr>
        <b/>
        <i/>
        <sz val="10"/>
        <color indexed="8"/>
        <rFont val="Arial"/>
        <family val="2"/>
        <charset val="204"/>
      </rPr>
      <t xml:space="preserve"> Structura exporturilor, în ianuarie-februarie 2018-2023, pe principalele ţări de destinaţie a mărfurilor (%)</t>
    </r>
  </si>
  <si>
    <r>
      <rPr>
        <b/>
        <sz val="10"/>
        <color indexed="8"/>
        <rFont val="Arial"/>
        <family val="2"/>
        <charset val="204"/>
      </rPr>
      <t>Figura 7.</t>
    </r>
    <r>
      <rPr>
        <b/>
        <i/>
        <sz val="10"/>
        <color indexed="8"/>
        <rFont val="Arial"/>
        <family val="2"/>
        <charset val="204"/>
      </rPr>
      <t xml:space="preserve"> Evoluţia lunară a importurilor de mărfuri, în anii 2018-2023 (milioane dolari SUA)</t>
    </r>
  </si>
  <si>
    <r>
      <t xml:space="preserve">Figura 8. </t>
    </r>
    <r>
      <rPr>
        <b/>
        <i/>
        <sz val="10"/>
        <color indexed="8"/>
        <rFont val="Arial"/>
        <family val="2"/>
        <charset val="204"/>
      </rPr>
      <t>Evoluţia lunară a indicilor valorici ai importurilor de mărfuri, în anii 2021-2023 (%)</t>
    </r>
  </si>
  <si>
    <r>
      <t xml:space="preserve">Figura 9. </t>
    </r>
    <r>
      <rPr>
        <b/>
        <i/>
        <sz val="10"/>
        <color rgb="FF000000"/>
        <rFont val="Arial"/>
        <family val="2"/>
        <charset val="204"/>
      </rPr>
      <t>Structura importurilor de mărfuri, în ianuarie-februarie 2018-2023, după modul de transport (%)</t>
    </r>
  </si>
  <si>
    <r>
      <t xml:space="preserve">    Figura 10. </t>
    </r>
    <r>
      <rPr>
        <b/>
        <i/>
        <sz val="9"/>
        <color theme="1"/>
        <rFont val="Arial"/>
        <family val="2"/>
        <charset val="204"/>
      </rPr>
      <t>Structura importurilor de mărfuri, în ianuarie-februarie 2018-2023, pe grupe de ţări (%)</t>
    </r>
  </si>
  <si>
    <r>
      <t xml:space="preserve">Figura 11. </t>
    </r>
    <r>
      <rPr>
        <b/>
        <i/>
        <sz val="10"/>
        <color rgb="FF000000"/>
        <rFont val="Arial"/>
        <family val="2"/>
        <charset val="204"/>
      </rPr>
      <t>Structura importurilor, în ianuarie-februarie 2018-2023, pe principalele ţări de origine a mărfurilor (%)</t>
    </r>
  </si>
  <si>
    <r>
      <t xml:space="preserve">Figura 13. </t>
    </r>
    <r>
      <rPr>
        <b/>
        <i/>
        <sz val="10"/>
        <color indexed="8"/>
        <rFont val="Arial"/>
        <family val="2"/>
        <charset val="204"/>
      </rPr>
      <t>Evoluţia lunară a balanţei comerciale, în anii 2018-2023 (milioane dolari SUA)</t>
    </r>
  </si>
  <si>
    <r>
      <rPr>
        <b/>
        <sz val="10"/>
        <color rgb="FF000000"/>
        <rFont val="Arial"/>
        <family val="2"/>
        <charset val="204"/>
      </rPr>
      <t xml:space="preserve">Figura 14. </t>
    </r>
    <r>
      <rPr>
        <b/>
        <i/>
        <sz val="10"/>
        <color indexed="8"/>
        <rFont val="Arial"/>
        <family val="2"/>
        <charset val="204"/>
      </rPr>
      <t>Tendinţele comerţului internaţional cu mărfuri, în ianuarie-februarie 2018-2023 (milioane dolari SUA)</t>
    </r>
  </si>
  <si>
    <t>Cipru</t>
  </si>
  <si>
    <t>Emiratele Arabe Unite</t>
  </si>
  <si>
    <t>Lituania</t>
  </si>
  <si>
    <t>Georgia</t>
  </si>
  <si>
    <t>Israel</t>
  </si>
  <si>
    <t>Azerbaidjan</t>
  </si>
  <si>
    <t>Îngrăşăminte minerale sau chimice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</si>
</sst>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2"/>
      <color rgb="FF008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1"/>
      <color rgb="FF0000FF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wrapText="1" indent="1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165" fontId="4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66" fontId="16" fillId="0" borderId="0" xfId="0" applyNumberFormat="1" applyFont="1" applyAlignment="1">
      <alignment horizontal="center" vertical="top"/>
    </xf>
    <xf numFmtId="166" fontId="1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indent="1"/>
    </xf>
    <xf numFmtId="2" fontId="3" fillId="0" borderId="3" xfId="0" applyNumberFormat="1" applyFont="1" applyBorder="1" applyAlignment="1">
      <alignment horizontal="left" indent="1"/>
    </xf>
    <xf numFmtId="38" fontId="4" fillId="0" borderId="0" xfId="0" applyNumberFormat="1" applyFont="1" applyAlignment="1">
      <alignment horizontal="left" vertical="top" wrapText="1" indent="1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 wrapText="1"/>
    </xf>
    <xf numFmtId="165" fontId="12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5" fillId="0" borderId="0" xfId="0" applyFont="1"/>
    <xf numFmtId="164" fontId="2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 vertical="top" wrapText="1"/>
    </xf>
    <xf numFmtId="164" fontId="34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8" fontId="4" fillId="0" borderId="4" xfId="0" applyNumberFormat="1" applyFont="1" applyBorder="1" applyAlignment="1">
      <alignment horizontal="left" vertical="top" wrapText="1" indent="1"/>
    </xf>
    <xf numFmtId="164" fontId="2" fillId="0" borderId="4" xfId="0" applyNumberFormat="1" applyFont="1" applyBorder="1" applyAlignment="1">
      <alignment horizontal="center" vertical="top"/>
    </xf>
    <xf numFmtId="38" fontId="4" fillId="0" borderId="5" xfId="0" applyNumberFormat="1" applyFont="1" applyBorder="1" applyAlignment="1">
      <alignment horizontal="left" vertical="top" wrapText="1" indent="1"/>
    </xf>
    <xf numFmtId="164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8" fontId="4" fillId="0" borderId="6" xfId="0" applyNumberFormat="1" applyFont="1" applyBorder="1" applyAlignment="1">
      <alignment horizontal="left" vertical="top" wrapText="1" indent="1"/>
    </xf>
    <xf numFmtId="165" fontId="4" fillId="0" borderId="6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38" fontId="6" fillId="0" borderId="2" xfId="0" applyNumberFormat="1" applyFont="1" applyBorder="1" applyAlignment="1">
      <alignment horizontal="left" vertical="top" wrapText="1"/>
    </xf>
    <xf numFmtId="38" fontId="6" fillId="0" borderId="0" xfId="0" applyNumberFormat="1" applyFont="1" applyAlignment="1">
      <alignment horizontal="left" vertical="top" wrapText="1"/>
    </xf>
    <xf numFmtId="38" fontId="6" fillId="0" borderId="3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left" vertical="top" wrapText="1"/>
    </xf>
    <xf numFmtId="38" fontId="6" fillId="0" borderId="5" xfId="0" applyNumberFormat="1" applyFont="1" applyBorder="1" applyAlignment="1">
      <alignment horizontal="left" vertical="top" wrapText="1"/>
    </xf>
    <xf numFmtId="38" fontId="6" fillId="0" borderId="6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1'!$B$22:$B$27</c:f>
              <c:numCache>
                <c:formatCode>#,##0.0</c:formatCode>
                <c:ptCount val="6"/>
                <c:pt idx="0">
                  <c:v>220.3</c:v>
                </c:pt>
                <c:pt idx="1">
                  <c:v>234.3</c:v>
                </c:pt>
                <c:pt idx="2">
                  <c:v>219.5</c:v>
                </c:pt>
                <c:pt idx="3">
                  <c:v>198.4</c:v>
                </c:pt>
                <c:pt idx="4">
                  <c:v>330.4</c:v>
                </c:pt>
                <c:pt idx="5">
                  <c:v>331.7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1'!$C$22:$C$27</c:f>
              <c:numCache>
                <c:formatCode>#,##0.0</c:formatCode>
                <c:ptCount val="6"/>
                <c:pt idx="0">
                  <c:v>215.5</c:v>
                </c:pt>
                <c:pt idx="1">
                  <c:v>241.4</c:v>
                </c:pt>
                <c:pt idx="2">
                  <c:v>245.3</c:v>
                </c:pt>
                <c:pt idx="3">
                  <c:v>227</c:v>
                </c:pt>
                <c:pt idx="4">
                  <c:v>336.5</c:v>
                </c:pt>
                <c:pt idx="5">
                  <c:v>355.7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1'!$D$22:$D$27</c:f>
              <c:numCache>
                <c:formatCode>#,##0.0</c:formatCode>
                <c:ptCount val="6"/>
                <c:pt idx="0">
                  <c:v>242.1</c:v>
                </c:pt>
                <c:pt idx="1">
                  <c:v>257.2</c:v>
                </c:pt>
                <c:pt idx="2">
                  <c:v>210.2</c:v>
                </c:pt>
                <c:pt idx="3">
                  <c:v>259.3</c:v>
                </c:pt>
                <c:pt idx="4">
                  <c:v>395.8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1'!$E$22:$E$27</c:f>
              <c:numCache>
                <c:formatCode>#,##0.0</c:formatCode>
                <c:ptCount val="6"/>
                <c:pt idx="0">
                  <c:v>199.7</c:v>
                </c:pt>
                <c:pt idx="1">
                  <c:v>215.6</c:v>
                </c:pt>
                <c:pt idx="2">
                  <c:v>149.80000000000001</c:v>
                </c:pt>
                <c:pt idx="3">
                  <c:v>218.2</c:v>
                </c:pt>
                <c:pt idx="4">
                  <c:v>396.3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1'!$F$22:$F$27</c:f>
              <c:numCache>
                <c:formatCode>#,##0.0</c:formatCode>
                <c:ptCount val="6"/>
                <c:pt idx="0">
                  <c:v>223</c:v>
                </c:pt>
                <c:pt idx="1">
                  <c:v>210.5</c:v>
                </c:pt>
                <c:pt idx="2">
                  <c:v>155.69999999999999</c:v>
                </c:pt>
                <c:pt idx="3">
                  <c:v>201.7</c:v>
                </c:pt>
                <c:pt idx="4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1'!$G$22:$G$27</c:f>
              <c:numCache>
                <c:formatCode>#,##0.0</c:formatCode>
                <c:ptCount val="6"/>
                <c:pt idx="0">
                  <c:v>214.1</c:v>
                </c:pt>
                <c:pt idx="1">
                  <c:v>202.2</c:v>
                </c:pt>
                <c:pt idx="2">
                  <c:v>189.6</c:v>
                </c:pt>
                <c:pt idx="3">
                  <c:v>226.8</c:v>
                </c:pt>
                <c:pt idx="4">
                  <c:v>416.4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1'!$H$22:$H$27</c:f>
              <c:numCache>
                <c:formatCode>#,##0.0</c:formatCode>
                <c:ptCount val="6"/>
                <c:pt idx="0">
                  <c:v>218.8</c:v>
                </c:pt>
                <c:pt idx="1">
                  <c:v>220.2</c:v>
                </c:pt>
                <c:pt idx="2">
                  <c:v>191.1</c:v>
                </c:pt>
                <c:pt idx="3">
                  <c:v>240.7</c:v>
                </c:pt>
                <c:pt idx="4">
                  <c:v>338.2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1'!$I$22:$I$27</c:f>
              <c:numCache>
                <c:formatCode>#,##0.0</c:formatCode>
                <c:ptCount val="6"/>
                <c:pt idx="0">
                  <c:v>218.6</c:v>
                </c:pt>
                <c:pt idx="1">
                  <c:v>205.8</c:v>
                </c:pt>
                <c:pt idx="2">
                  <c:v>163.9</c:v>
                </c:pt>
                <c:pt idx="3">
                  <c:v>236.3</c:v>
                </c:pt>
                <c:pt idx="4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1'!$J$22:$J$27</c:f>
              <c:numCache>
                <c:formatCode>#,##0.0</c:formatCode>
                <c:ptCount val="6"/>
                <c:pt idx="0">
                  <c:v>207.3</c:v>
                </c:pt>
                <c:pt idx="1">
                  <c:v>238.8</c:v>
                </c:pt>
                <c:pt idx="2">
                  <c:v>212.3</c:v>
                </c:pt>
                <c:pt idx="3">
                  <c:v>294.89999999999998</c:v>
                </c:pt>
                <c:pt idx="4">
                  <c:v>318.8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1'!$K$22:$K$27</c:f>
              <c:numCache>
                <c:formatCode>#,##0.0</c:formatCode>
                <c:ptCount val="6"/>
                <c:pt idx="0">
                  <c:v>259</c:v>
                </c:pt>
                <c:pt idx="1">
                  <c:v>268.3</c:v>
                </c:pt>
                <c:pt idx="2">
                  <c:v>249.4</c:v>
                </c:pt>
                <c:pt idx="3">
                  <c:v>352.2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1'!$L$22:$L$27</c:f>
              <c:numCache>
                <c:formatCode>#,##0.0</c:formatCode>
                <c:ptCount val="6"/>
                <c:pt idx="0">
                  <c:v>268.89999999999998</c:v>
                </c:pt>
                <c:pt idx="1">
                  <c:v>266.60000000000002</c:v>
                </c:pt>
                <c:pt idx="2">
                  <c:v>262</c:v>
                </c:pt>
                <c:pt idx="3">
                  <c:v>363.9</c:v>
                </c:pt>
                <c:pt idx="4">
                  <c:v>355.8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1'!$M$22:$M$27</c:f>
              <c:numCache>
                <c:formatCode>#,##0.0</c:formatCode>
                <c:ptCount val="6"/>
                <c:pt idx="0">
                  <c:v>218.8</c:v>
                </c:pt>
                <c:pt idx="1">
                  <c:v>218.3</c:v>
                </c:pt>
                <c:pt idx="2">
                  <c:v>218.3</c:v>
                </c:pt>
                <c:pt idx="3">
                  <c:v>325</c:v>
                </c:pt>
                <c:pt idx="4">
                  <c:v>349.5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4834544"/>
        <c:axId val="244835104"/>
      </c:barChart>
      <c:catAx>
        <c:axId val="2448345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5104"/>
        <c:crosses val="autoZero"/>
        <c:auto val="0"/>
        <c:lblAlgn val="ctr"/>
        <c:lblOffset val="100"/>
        <c:tickLblSkip val="1"/>
        <c:noMultiLvlLbl val="0"/>
      </c:catAx>
      <c:valAx>
        <c:axId val="244835104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45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2.0914980564138343E-2"/>
          <c:w val="0.76089631576667616"/>
          <c:h val="0.774795840393368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Ianuarie-februarie 2023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0.0</c:formatCode>
                <c:ptCount val="7"/>
                <c:pt idx="0">
                  <c:v>8.8000000000000007</c:v>
                </c:pt>
                <c:pt idx="1">
                  <c:v>6.5</c:v>
                </c:pt>
                <c:pt idx="2">
                  <c:v>69.099999999999994</c:v>
                </c:pt>
                <c:pt idx="3">
                  <c:v>1.8</c:v>
                </c:pt>
                <c:pt idx="4">
                  <c:v>0.1</c:v>
                </c:pt>
                <c:pt idx="5">
                  <c:v>13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0.0</c:formatCode>
                <c:ptCount val="7"/>
                <c:pt idx="0">
                  <c:v>3.2</c:v>
                </c:pt>
                <c:pt idx="1">
                  <c:v>4.5</c:v>
                </c:pt>
                <c:pt idx="2">
                  <c:v>73.2</c:v>
                </c:pt>
                <c:pt idx="3">
                  <c:v>1.7</c:v>
                </c:pt>
                <c:pt idx="4">
                  <c:v>0.1</c:v>
                </c:pt>
                <c:pt idx="5">
                  <c:v>16.8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0.0</c:formatCode>
                <c:ptCount val="7"/>
                <c:pt idx="0">
                  <c:v>2</c:v>
                </c:pt>
                <c:pt idx="1">
                  <c:v>5.0999999999999996</c:v>
                </c:pt>
                <c:pt idx="2">
                  <c:v>84.6</c:v>
                </c:pt>
                <c:pt idx="3">
                  <c:v>2.2999999999999998</c:v>
                </c:pt>
                <c:pt idx="4">
                  <c:v>0.2</c:v>
                </c:pt>
                <c:pt idx="5">
                  <c:v>5.3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0.0</c:formatCode>
                <c:ptCount val="7"/>
                <c:pt idx="0">
                  <c:v>1.6</c:v>
                </c:pt>
                <c:pt idx="1">
                  <c:v>5.0999999999999996</c:v>
                </c:pt>
                <c:pt idx="2">
                  <c:v>82.8</c:v>
                </c:pt>
                <c:pt idx="3">
                  <c:v>2.4</c:v>
                </c:pt>
                <c:pt idx="4">
                  <c:v>0.2</c:v>
                </c:pt>
                <c:pt idx="5">
                  <c:v>7.4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0.0</c:formatCode>
                <c:ptCount val="7"/>
                <c:pt idx="0">
                  <c:v>1.3</c:v>
                </c:pt>
                <c:pt idx="1">
                  <c:v>3.3</c:v>
                </c:pt>
                <c:pt idx="2">
                  <c:v>80.400000000000006</c:v>
                </c:pt>
                <c:pt idx="3">
                  <c:v>2.8</c:v>
                </c:pt>
                <c:pt idx="4">
                  <c:v>0.2</c:v>
                </c:pt>
                <c:pt idx="5">
                  <c:v>11.2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0.0</c:formatCode>
                <c:ptCount val="7"/>
                <c:pt idx="0">
                  <c:v>2.7</c:v>
                </c:pt>
                <c:pt idx="1">
                  <c:v>5.9</c:v>
                </c:pt>
                <c:pt idx="2">
                  <c:v>79</c:v>
                </c:pt>
                <c:pt idx="3">
                  <c:v>2.8</c:v>
                </c:pt>
                <c:pt idx="4">
                  <c:v>0.3</c:v>
                </c:pt>
                <c:pt idx="5">
                  <c:v>8.6999999999999993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075968"/>
        <c:axId val="248076528"/>
      </c:barChart>
      <c:catAx>
        <c:axId val="24807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6528"/>
        <c:crossesAt val="0"/>
        <c:auto val="1"/>
        <c:lblAlgn val="ctr"/>
        <c:lblOffset val="100"/>
        <c:noMultiLvlLbl val="0"/>
      </c:catAx>
      <c:valAx>
        <c:axId val="248076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596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25203252572743"/>
          <c:y val="0.91909764444001463"/>
          <c:w val="0.81692138384379753"/>
          <c:h val="7.928402936974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10'!$B$23:$G$23</c:f>
              <c:numCache>
                <c:formatCode>General</c:formatCode>
                <c:ptCount val="6"/>
                <c:pt idx="0">
                  <c:v>47.5</c:v>
                </c:pt>
                <c:pt idx="1">
                  <c:v>45.5</c:v>
                </c:pt>
                <c:pt idx="2">
                  <c:v>46.3</c:v>
                </c:pt>
                <c:pt idx="3">
                  <c:v>46.2</c:v>
                </c:pt>
                <c:pt idx="4">
                  <c:v>41.7</c:v>
                </c:pt>
                <c:pt idx="5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10'!$B$24:$G$24</c:f>
              <c:numCache>
                <c:formatCode>General</c:formatCode>
                <c:ptCount val="6"/>
                <c:pt idx="0">
                  <c:v>24.7</c:v>
                </c:pt>
                <c:pt idx="1">
                  <c:v>27.2</c:v>
                </c:pt>
                <c:pt idx="2">
                  <c:v>25.6</c:v>
                </c:pt>
                <c:pt idx="3">
                  <c:v>23.9</c:v>
                </c:pt>
                <c:pt idx="4">
                  <c:v>33.799999999999997</c:v>
                </c:pt>
                <c:pt idx="5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10'!$B$25:$G$25</c:f>
              <c:numCache>
                <c:formatCode>General</c:formatCode>
                <c:ptCount val="6"/>
                <c:pt idx="0">
                  <c:v>27.8</c:v>
                </c:pt>
                <c:pt idx="1">
                  <c:v>27.3</c:v>
                </c:pt>
                <c:pt idx="2">
                  <c:v>28.1</c:v>
                </c:pt>
                <c:pt idx="3">
                  <c:v>29.9</c:v>
                </c:pt>
                <c:pt idx="4">
                  <c:v>24.5</c:v>
                </c:pt>
                <c:pt idx="5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552080"/>
        <c:axId val="248552640"/>
      </c:barChart>
      <c:catAx>
        <c:axId val="2485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640"/>
        <c:crosses val="autoZero"/>
        <c:auto val="0"/>
        <c:lblAlgn val="ctr"/>
        <c:lblOffset val="100"/>
        <c:noMultiLvlLbl val="0"/>
      </c:catAx>
      <c:valAx>
        <c:axId val="24855264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08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88875314479330003"/>
          <c:w val="0.93105796047794498"/>
          <c:h val="8.1371100132598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6130067074949E-2"/>
          <c:y val="1.687438654655703E-2"/>
          <c:w val="0.93291119860017502"/>
          <c:h val="0.73064177227154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11'!$A$25:$A$50</c:f>
              <c:strCache>
                <c:ptCount val="26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Federația Rusă</c:v>
                </c:pt>
                <c:pt idx="5">
                  <c:v>Germania</c:v>
                </c:pt>
                <c:pt idx="6">
                  <c:v>Italia</c:v>
                </c:pt>
                <c:pt idx="7">
                  <c:v>Grecia</c:v>
                </c:pt>
                <c:pt idx="8">
                  <c:v>Polonia</c:v>
                </c:pt>
                <c:pt idx="9">
                  <c:v>Ungaria</c:v>
                </c:pt>
                <c:pt idx="10">
                  <c:v>Franța</c:v>
                </c:pt>
                <c:pt idx="11">
                  <c:v>India</c:v>
                </c:pt>
                <c:pt idx="12">
                  <c:v>Bulgaria</c:v>
                </c:pt>
                <c:pt idx="13">
                  <c:v>Kazahstan</c:v>
                </c:pt>
                <c:pt idx="14">
                  <c:v>Cehia</c:v>
                </c:pt>
                <c:pt idx="15">
                  <c:v>S.U.A.</c:v>
                </c:pt>
                <c:pt idx="16">
                  <c:v>Spania</c:v>
                </c:pt>
                <c:pt idx="17">
                  <c:v>Austria</c:v>
                </c:pt>
                <c:pt idx="18">
                  <c:v>Belarus</c:v>
                </c:pt>
                <c:pt idx="19">
                  <c:v>Netherlands</c:v>
                </c:pt>
                <c:pt idx="20">
                  <c:v>Slovacia</c:v>
                </c:pt>
                <c:pt idx="21">
                  <c:v>Japonia</c:v>
                </c:pt>
                <c:pt idx="22">
                  <c:v>Israel</c:v>
                </c:pt>
                <c:pt idx="23">
                  <c:v>Regatul Unit </c:v>
                </c:pt>
                <c:pt idx="24">
                  <c:v>Belgia</c:v>
                </c:pt>
                <c:pt idx="25">
                  <c:v>Azerbaidjan</c:v>
                </c:pt>
              </c:strCache>
            </c:strRef>
          </c:cat>
          <c:val>
            <c:numRef>
              <c:f>'Figura 11'!$B$25:$B$50</c:f>
              <c:numCache>
                <c:formatCode>#,##0.0</c:formatCode>
                <c:ptCount val="26"/>
                <c:pt idx="0">
                  <c:v>13.672221208445793</c:v>
                </c:pt>
                <c:pt idx="1">
                  <c:v>7.837702780378045</c:v>
                </c:pt>
                <c:pt idx="2">
                  <c:v>12.114621987055092</c:v>
                </c:pt>
                <c:pt idx="3">
                  <c:v>6.2498224424099256</c:v>
                </c:pt>
                <c:pt idx="4">
                  <c:v>15.330848564795316</c:v>
                </c:pt>
                <c:pt idx="5">
                  <c:v>8.0178851090184846</c:v>
                </c:pt>
                <c:pt idx="6">
                  <c:v>6.5427659501217805</c:v>
                </c:pt>
                <c:pt idx="7">
                  <c:v>0.38220384677544161</c:v>
                </c:pt>
                <c:pt idx="8">
                  <c:v>3.5068698993044221</c:v>
                </c:pt>
                <c:pt idx="9">
                  <c:v>2.2324938129660161</c:v>
                </c:pt>
                <c:pt idx="10">
                  <c:v>2.6969441572328239</c:v>
                </c:pt>
                <c:pt idx="11">
                  <c:v>0.50446297637243553</c:v>
                </c:pt>
                <c:pt idx="12">
                  <c:v>1.1484763277669836</c:v>
                </c:pt>
                <c:pt idx="13">
                  <c:v>3.3595015691606382E-2</c:v>
                </c:pt>
                <c:pt idx="14">
                  <c:v>1.3909649686201764</c:v>
                </c:pt>
                <c:pt idx="15">
                  <c:v>1.3991820117869893</c:v>
                </c:pt>
                <c:pt idx="16">
                  <c:v>1.4743451254806512</c:v>
                </c:pt>
                <c:pt idx="17">
                  <c:v>1.8319120909117099</c:v>
                </c:pt>
                <c:pt idx="18">
                  <c:v>1.4161263055706488</c:v>
                </c:pt>
                <c:pt idx="19">
                  <c:v>1.1193118239026472</c:v>
                </c:pt>
                <c:pt idx="20">
                  <c:v>0.56112872856580021</c:v>
                </c:pt>
                <c:pt idx="21">
                  <c:v>0.70227573511963537</c:v>
                </c:pt>
                <c:pt idx="22">
                  <c:v>0.26175816511448069</c:v>
                </c:pt>
                <c:pt idx="23">
                  <c:v>0.85265758456457386</c:v>
                </c:pt>
                <c:pt idx="24">
                  <c:v>0.67202663043874333</c:v>
                </c:pt>
                <c:pt idx="25">
                  <c:v>1.8615271383064277E-2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11'!$A$25:$A$50</c:f>
              <c:strCache>
                <c:ptCount val="26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Federația Rusă</c:v>
                </c:pt>
                <c:pt idx="5">
                  <c:v>Germania</c:v>
                </c:pt>
                <c:pt idx="6">
                  <c:v>Italia</c:v>
                </c:pt>
                <c:pt idx="7">
                  <c:v>Grecia</c:v>
                </c:pt>
                <c:pt idx="8">
                  <c:v>Polonia</c:v>
                </c:pt>
                <c:pt idx="9">
                  <c:v>Ungaria</c:v>
                </c:pt>
                <c:pt idx="10">
                  <c:v>Franța</c:v>
                </c:pt>
                <c:pt idx="11">
                  <c:v>India</c:v>
                </c:pt>
                <c:pt idx="12">
                  <c:v>Bulgaria</c:v>
                </c:pt>
                <c:pt idx="13">
                  <c:v>Kazahstan</c:v>
                </c:pt>
                <c:pt idx="14">
                  <c:v>Cehia</c:v>
                </c:pt>
                <c:pt idx="15">
                  <c:v>S.U.A.</c:v>
                </c:pt>
                <c:pt idx="16">
                  <c:v>Spania</c:v>
                </c:pt>
                <c:pt idx="17">
                  <c:v>Austria</c:v>
                </c:pt>
                <c:pt idx="18">
                  <c:v>Belarus</c:v>
                </c:pt>
                <c:pt idx="19">
                  <c:v>Netherlands</c:v>
                </c:pt>
                <c:pt idx="20">
                  <c:v>Slovacia</c:v>
                </c:pt>
                <c:pt idx="21">
                  <c:v>Japonia</c:v>
                </c:pt>
                <c:pt idx="22">
                  <c:v>Israel</c:v>
                </c:pt>
                <c:pt idx="23">
                  <c:v>Regatul Unit </c:v>
                </c:pt>
                <c:pt idx="24">
                  <c:v>Belgia</c:v>
                </c:pt>
                <c:pt idx="25">
                  <c:v>Azerbaidjan</c:v>
                </c:pt>
              </c:strCache>
            </c:strRef>
          </c:cat>
          <c:val>
            <c:numRef>
              <c:f>'Figura 11'!$C$25:$C$50</c:f>
              <c:numCache>
                <c:formatCode>#,##0.0</c:formatCode>
                <c:ptCount val="26"/>
                <c:pt idx="0">
                  <c:v>13.070627993644205</c:v>
                </c:pt>
                <c:pt idx="1">
                  <c:v>8.6337337450052587</c:v>
                </c:pt>
                <c:pt idx="2">
                  <c:v>11.392418105322854</c:v>
                </c:pt>
                <c:pt idx="3">
                  <c:v>6.4149364903872383</c:v>
                </c:pt>
                <c:pt idx="4">
                  <c:v>16.066101614254301</c:v>
                </c:pt>
                <c:pt idx="5">
                  <c:v>7.9132630494133407</c:v>
                </c:pt>
                <c:pt idx="6">
                  <c:v>6.0656740593403295</c:v>
                </c:pt>
                <c:pt idx="7">
                  <c:v>0.3244654492139657</c:v>
                </c:pt>
                <c:pt idx="8">
                  <c:v>3.2803317473777431</c:v>
                </c:pt>
                <c:pt idx="9">
                  <c:v>2.0275950788168724</c:v>
                </c:pt>
                <c:pt idx="10">
                  <c:v>2.6252614771401483</c:v>
                </c:pt>
                <c:pt idx="11">
                  <c:v>0.73741549927197914</c:v>
                </c:pt>
                <c:pt idx="12">
                  <c:v>0.70572108851190218</c:v>
                </c:pt>
                <c:pt idx="13">
                  <c:v>0.13174049529618362</c:v>
                </c:pt>
                <c:pt idx="14">
                  <c:v>1.986353897128738</c:v>
                </c:pt>
                <c:pt idx="15">
                  <c:v>1.2702161817233473</c:v>
                </c:pt>
                <c:pt idx="16">
                  <c:v>1.3309001092589376</c:v>
                </c:pt>
                <c:pt idx="17">
                  <c:v>1.6582109710365822</c:v>
                </c:pt>
                <c:pt idx="18">
                  <c:v>1.9332593241558422</c:v>
                </c:pt>
                <c:pt idx="19">
                  <c:v>0.88060303213326163</c:v>
                </c:pt>
                <c:pt idx="20">
                  <c:v>0.64676053599785799</c:v>
                </c:pt>
                <c:pt idx="21">
                  <c:v>0.77105420060627083</c:v>
                </c:pt>
                <c:pt idx="22">
                  <c:v>0.24144347251739018</c:v>
                </c:pt>
                <c:pt idx="23">
                  <c:v>1.0733849374137727</c:v>
                </c:pt>
                <c:pt idx="24">
                  <c:v>0.6796624065352983</c:v>
                </c:pt>
                <c:pt idx="25">
                  <c:v>5.8677552137554895E-3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11'!$A$25:$A$50</c:f>
              <c:strCache>
                <c:ptCount val="26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Federația Rusă</c:v>
                </c:pt>
                <c:pt idx="5">
                  <c:v>Germania</c:v>
                </c:pt>
                <c:pt idx="6">
                  <c:v>Italia</c:v>
                </c:pt>
                <c:pt idx="7">
                  <c:v>Grecia</c:v>
                </c:pt>
                <c:pt idx="8">
                  <c:v>Polonia</c:v>
                </c:pt>
                <c:pt idx="9">
                  <c:v>Ungaria</c:v>
                </c:pt>
                <c:pt idx="10">
                  <c:v>Franța</c:v>
                </c:pt>
                <c:pt idx="11">
                  <c:v>India</c:v>
                </c:pt>
                <c:pt idx="12">
                  <c:v>Bulgaria</c:v>
                </c:pt>
                <c:pt idx="13">
                  <c:v>Kazahstan</c:v>
                </c:pt>
                <c:pt idx="14">
                  <c:v>Cehia</c:v>
                </c:pt>
                <c:pt idx="15">
                  <c:v>S.U.A.</c:v>
                </c:pt>
                <c:pt idx="16">
                  <c:v>Spania</c:v>
                </c:pt>
                <c:pt idx="17">
                  <c:v>Austria</c:v>
                </c:pt>
                <c:pt idx="18">
                  <c:v>Belarus</c:v>
                </c:pt>
                <c:pt idx="19">
                  <c:v>Netherlands</c:v>
                </c:pt>
                <c:pt idx="20">
                  <c:v>Slovacia</c:v>
                </c:pt>
                <c:pt idx="21">
                  <c:v>Japonia</c:v>
                </c:pt>
                <c:pt idx="22">
                  <c:v>Israel</c:v>
                </c:pt>
                <c:pt idx="23">
                  <c:v>Regatul Unit </c:v>
                </c:pt>
                <c:pt idx="24">
                  <c:v>Belgia</c:v>
                </c:pt>
                <c:pt idx="25">
                  <c:v>Azerbaidjan</c:v>
                </c:pt>
              </c:strCache>
            </c:strRef>
          </c:cat>
          <c:val>
            <c:numRef>
              <c:f>'Figura 11'!$D$25:$D$50</c:f>
              <c:numCache>
                <c:formatCode>#,##0.0</c:formatCode>
                <c:ptCount val="26"/>
                <c:pt idx="0">
                  <c:v>14.231398017813113</c:v>
                </c:pt>
                <c:pt idx="1">
                  <c:v>8.6762388805106916</c:v>
                </c:pt>
                <c:pt idx="2">
                  <c:v>10.724457203121448</c:v>
                </c:pt>
                <c:pt idx="3">
                  <c:v>7.2900491460751979</c:v>
                </c:pt>
                <c:pt idx="4">
                  <c:v>14.568484473854554</c:v>
                </c:pt>
                <c:pt idx="5">
                  <c:v>7.7850867085331688</c:v>
                </c:pt>
                <c:pt idx="6">
                  <c:v>5.7679961326665055</c:v>
                </c:pt>
                <c:pt idx="7">
                  <c:v>0.27305057358063495</c:v>
                </c:pt>
                <c:pt idx="8">
                  <c:v>3.8824916952877464</c:v>
                </c:pt>
                <c:pt idx="9">
                  <c:v>2.1690322828244275</c:v>
                </c:pt>
                <c:pt idx="10">
                  <c:v>2.4575446909173562</c:v>
                </c:pt>
                <c:pt idx="11">
                  <c:v>0.72227236127545025</c:v>
                </c:pt>
                <c:pt idx="12">
                  <c:v>0.9753409111119058</c:v>
                </c:pt>
                <c:pt idx="13">
                  <c:v>0.23136584334702842</c:v>
                </c:pt>
                <c:pt idx="14">
                  <c:v>1.7563564556513576</c:v>
                </c:pt>
                <c:pt idx="15">
                  <c:v>1.2176265472809418</c:v>
                </c:pt>
                <c:pt idx="16">
                  <c:v>1.4146675774050084</c:v>
                </c:pt>
                <c:pt idx="17">
                  <c:v>1.1726753128609924</c:v>
                </c:pt>
                <c:pt idx="18">
                  <c:v>1.6951668333438759</c:v>
                </c:pt>
                <c:pt idx="19">
                  <c:v>1.0522333591190758</c:v>
                </c:pt>
                <c:pt idx="20">
                  <c:v>0.41059956835852546</c:v>
                </c:pt>
                <c:pt idx="21">
                  <c:v>1.03619460420681</c:v>
                </c:pt>
                <c:pt idx="22">
                  <c:v>0.14892178371913323</c:v>
                </c:pt>
                <c:pt idx="23">
                  <c:v>0.98521373130144119</c:v>
                </c:pt>
                <c:pt idx="24">
                  <c:v>0.55727454716602687</c:v>
                </c:pt>
                <c:pt idx="25">
                  <c:v>0.14072254563358894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11'!$A$25:$A$50</c:f>
              <c:strCache>
                <c:ptCount val="26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Federația Rusă</c:v>
                </c:pt>
                <c:pt idx="5">
                  <c:v>Germania</c:v>
                </c:pt>
                <c:pt idx="6">
                  <c:v>Italia</c:v>
                </c:pt>
                <c:pt idx="7">
                  <c:v>Grecia</c:v>
                </c:pt>
                <c:pt idx="8">
                  <c:v>Polonia</c:v>
                </c:pt>
                <c:pt idx="9">
                  <c:v>Ungaria</c:v>
                </c:pt>
                <c:pt idx="10">
                  <c:v>Franța</c:v>
                </c:pt>
                <c:pt idx="11">
                  <c:v>India</c:v>
                </c:pt>
                <c:pt idx="12">
                  <c:v>Bulgaria</c:v>
                </c:pt>
                <c:pt idx="13">
                  <c:v>Kazahstan</c:v>
                </c:pt>
                <c:pt idx="14">
                  <c:v>Cehia</c:v>
                </c:pt>
                <c:pt idx="15">
                  <c:v>S.U.A.</c:v>
                </c:pt>
                <c:pt idx="16">
                  <c:v>Spania</c:v>
                </c:pt>
                <c:pt idx="17">
                  <c:v>Austria</c:v>
                </c:pt>
                <c:pt idx="18">
                  <c:v>Belarus</c:v>
                </c:pt>
                <c:pt idx="19">
                  <c:v>Netherlands</c:v>
                </c:pt>
                <c:pt idx="20">
                  <c:v>Slovacia</c:v>
                </c:pt>
                <c:pt idx="21">
                  <c:v>Japonia</c:v>
                </c:pt>
                <c:pt idx="22">
                  <c:v>Israel</c:v>
                </c:pt>
                <c:pt idx="23">
                  <c:v>Regatul Unit </c:v>
                </c:pt>
                <c:pt idx="24">
                  <c:v>Belgia</c:v>
                </c:pt>
                <c:pt idx="25">
                  <c:v>Azerbaidjan</c:v>
                </c:pt>
              </c:strCache>
            </c:strRef>
          </c:cat>
          <c:val>
            <c:numRef>
              <c:f>'Figura 11'!$E$25:$E$50</c:f>
              <c:numCache>
                <c:formatCode>#,##0.0</c:formatCode>
                <c:ptCount val="26"/>
                <c:pt idx="0">
                  <c:v>12.592907353710906</c:v>
                </c:pt>
                <c:pt idx="1">
                  <c:v>8.2685253509302914</c:v>
                </c:pt>
                <c:pt idx="2">
                  <c:v>12.478058225588805</c:v>
                </c:pt>
                <c:pt idx="3">
                  <c:v>7.544066450907799</c:v>
                </c:pt>
                <c:pt idx="4">
                  <c:v>13.349721677777083</c:v>
                </c:pt>
                <c:pt idx="5">
                  <c:v>7.8840067938429765</c:v>
                </c:pt>
                <c:pt idx="6">
                  <c:v>6.256802658478346</c:v>
                </c:pt>
                <c:pt idx="7">
                  <c:v>0.37684752757915807</c:v>
                </c:pt>
                <c:pt idx="8">
                  <c:v>4.0048283002007725</c:v>
                </c:pt>
                <c:pt idx="9">
                  <c:v>2.1842445271798727</c:v>
                </c:pt>
                <c:pt idx="10">
                  <c:v>3.0692303555162721</c:v>
                </c:pt>
                <c:pt idx="11">
                  <c:v>0.76311181340419576</c:v>
                </c:pt>
                <c:pt idx="12">
                  <c:v>0.8085575487884924</c:v>
                </c:pt>
                <c:pt idx="13">
                  <c:v>0.22694055044670614</c:v>
                </c:pt>
                <c:pt idx="14">
                  <c:v>1.8400913468419833</c:v>
                </c:pt>
                <c:pt idx="15">
                  <c:v>1.1086316171565984</c:v>
                </c:pt>
                <c:pt idx="16">
                  <c:v>1.3533432035334005</c:v>
                </c:pt>
                <c:pt idx="17">
                  <c:v>1.3186794868752358</c:v>
                </c:pt>
                <c:pt idx="18">
                  <c:v>1.9109244749956091</c:v>
                </c:pt>
                <c:pt idx="19">
                  <c:v>0.96883546521190733</c:v>
                </c:pt>
                <c:pt idx="20">
                  <c:v>0.49899835065875514</c:v>
                </c:pt>
                <c:pt idx="21">
                  <c:v>0.90253772941540777</c:v>
                </c:pt>
                <c:pt idx="22">
                  <c:v>0.17877999553899171</c:v>
                </c:pt>
                <c:pt idx="23">
                  <c:v>0.8593728650598631</c:v>
                </c:pt>
                <c:pt idx="24">
                  <c:v>0.63138716123566407</c:v>
                </c:pt>
                <c:pt idx="25">
                  <c:v>9.9123743573382595E-3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11'!$A$25:$A$50</c:f>
              <c:strCache>
                <c:ptCount val="26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Federația Rusă</c:v>
                </c:pt>
                <c:pt idx="5">
                  <c:v>Germania</c:v>
                </c:pt>
                <c:pt idx="6">
                  <c:v>Italia</c:v>
                </c:pt>
                <c:pt idx="7">
                  <c:v>Grecia</c:v>
                </c:pt>
                <c:pt idx="8">
                  <c:v>Polonia</c:v>
                </c:pt>
                <c:pt idx="9">
                  <c:v>Ungaria</c:v>
                </c:pt>
                <c:pt idx="10">
                  <c:v>Franța</c:v>
                </c:pt>
                <c:pt idx="11">
                  <c:v>India</c:v>
                </c:pt>
                <c:pt idx="12">
                  <c:v>Bulgaria</c:v>
                </c:pt>
                <c:pt idx="13">
                  <c:v>Kazahstan</c:v>
                </c:pt>
                <c:pt idx="14">
                  <c:v>Cehia</c:v>
                </c:pt>
                <c:pt idx="15">
                  <c:v>S.U.A.</c:v>
                </c:pt>
                <c:pt idx="16">
                  <c:v>Spania</c:v>
                </c:pt>
                <c:pt idx="17">
                  <c:v>Austria</c:v>
                </c:pt>
                <c:pt idx="18">
                  <c:v>Belarus</c:v>
                </c:pt>
                <c:pt idx="19">
                  <c:v>Netherlands</c:v>
                </c:pt>
                <c:pt idx="20">
                  <c:v>Slovacia</c:v>
                </c:pt>
                <c:pt idx="21">
                  <c:v>Japonia</c:v>
                </c:pt>
                <c:pt idx="22">
                  <c:v>Israel</c:v>
                </c:pt>
                <c:pt idx="23">
                  <c:v>Regatul Unit </c:v>
                </c:pt>
                <c:pt idx="24">
                  <c:v>Belgia</c:v>
                </c:pt>
                <c:pt idx="25">
                  <c:v>Azerbaidjan</c:v>
                </c:pt>
              </c:strCache>
            </c:strRef>
          </c:cat>
          <c:val>
            <c:numRef>
              <c:f>'Figura 11'!$F$25:$F$50</c:f>
              <c:numCache>
                <c:formatCode>#,##0.0</c:formatCode>
                <c:ptCount val="26"/>
                <c:pt idx="0">
                  <c:v>13.129976025870802</c:v>
                </c:pt>
                <c:pt idx="1">
                  <c:v>6.5685006654573215</c:v>
                </c:pt>
                <c:pt idx="2">
                  <c:v>9.8701627876503917</c:v>
                </c:pt>
                <c:pt idx="3">
                  <c:v>6.1158110185404571</c:v>
                </c:pt>
                <c:pt idx="4">
                  <c:v>24.34799016563101</c:v>
                </c:pt>
                <c:pt idx="5">
                  <c:v>6.6072675881385194</c:v>
                </c:pt>
                <c:pt idx="6">
                  <c:v>5.152722356037879</c:v>
                </c:pt>
                <c:pt idx="7">
                  <c:v>0.35118018005926382</c:v>
                </c:pt>
                <c:pt idx="8">
                  <c:v>3.0675279156582516</c:v>
                </c:pt>
                <c:pt idx="9">
                  <c:v>2.369880315250803</c:v>
                </c:pt>
                <c:pt idx="10">
                  <c:v>2.4759157105303311</c:v>
                </c:pt>
                <c:pt idx="11">
                  <c:v>0.82303059336884232</c:v>
                </c:pt>
                <c:pt idx="12">
                  <c:v>1.0060124653507945</c:v>
                </c:pt>
                <c:pt idx="13">
                  <c:v>0.21024358667156026</c:v>
                </c:pt>
                <c:pt idx="14">
                  <c:v>1.3625551399720524</c:v>
                </c:pt>
                <c:pt idx="15">
                  <c:v>1.2799251222766335</c:v>
                </c:pt>
                <c:pt idx="16">
                  <c:v>1.406775852796696</c:v>
                </c:pt>
                <c:pt idx="17">
                  <c:v>0.94698029505208581</c:v>
                </c:pt>
                <c:pt idx="18">
                  <c:v>1.8161060880026256</c:v>
                </c:pt>
                <c:pt idx="19">
                  <c:v>0.91352127908426328</c:v>
                </c:pt>
                <c:pt idx="20">
                  <c:v>0.44838955693126586</c:v>
                </c:pt>
                <c:pt idx="21">
                  <c:v>0.66590835810849547</c:v>
                </c:pt>
                <c:pt idx="22">
                  <c:v>0.18890483561987231</c:v>
                </c:pt>
                <c:pt idx="23">
                  <c:v>0.62843254651007008</c:v>
                </c:pt>
                <c:pt idx="24">
                  <c:v>0.49429223246889187</c:v>
                </c:pt>
                <c:pt idx="25">
                  <c:v>9.290377696901235E-2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Ianuarie-februarie 2023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11'!$A$25:$A$50</c:f>
              <c:strCache>
                <c:ptCount val="26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Federația Rusă</c:v>
                </c:pt>
                <c:pt idx="5">
                  <c:v>Germania</c:v>
                </c:pt>
                <c:pt idx="6">
                  <c:v>Italia</c:v>
                </c:pt>
                <c:pt idx="7">
                  <c:v>Grecia</c:v>
                </c:pt>
                <c:pt idx="8">
                  <c:v>Polonia</c:v>
                </c:pt>
                <c:pt idx="9">
                  <c:v>Ungaria</c:v>
                </c:pt>
                <c:pt idx="10">
                  <c:v>Franța</c:v>
                </c:pt>
                <c:pt idx="11">
                  <c:v>India</c:v>
                </c:pt>
                <c:pt idx="12">
                  <c:v>Bulgaria</c:v>
                </c:pt>
                <c:pt idx="13">
                  <c:v>Kazahstan</c:v>
                </c:pt>
                <c:pt idx="14">
                  <c:v>Cehia</c:v>
                </c:pt>
                <c:pt idx="15">
                  <c:v>S.U.A.</c:v>
                </c:pt>
                <c:pt idx="16">
                  <c:v>Spania</c:v>
                </c:pt>
                <c:pt idx="17">
                  <c:v>Austria</c:v>
                </c:pt>
                <c:pt idx="18">
                  <c:v>Belarus</c:v>
                </c:pt>
                <c:pt idx="19">
                  <c:v>Netherlands</c:v>
                </c:pt>
                <c:pt idx="20">
                  <c:v>Slovacia</c:v>
                </c:pt>
                <c:pt idx="21">
                  <c:v>Japonia</c:v>
                </c:pt>
                <c:pt idx="22">
                  <c:v>Israel</c:v>
                </c:pt>
                <c:pt idx="23">
                  <c:v>Regatul Unit </c:v>
                </c:pt>
                <c:pt idx="24">
                  <c:v>Belgia</c:v>
                </c:pt>
                <c:pt idx="25">
                  <c:v>Azerbaidjan</c:v>
                </c:pt>
              </c:strCache>
            </c:strRef>
          </c:cat>
          <c:val>
            <c:numRef>
              <c:f>'Figura 11'!$G$25:$G$50</c:f>
              <c:numCache>
                <c:formatCode>#,##0.0</c:formatCode>
                <c:ptCount val="26"/>
                <c:pt idx="0">
                  <c:v>16.587589446318876</c:v>
                </c:pt>
                <c:pt idx="1">
                  <c:v>12.689280740941339</c:v>
                </c:pt>
                <c:pt idx="2">
                  <c:v>9.9598087141835077</c:v>
                </c:pt>
                <c:pt idx="3">
                  <c:v>7.5769292598076809</c:v>
                </c:pt>
                <c:pt idx="4">
                  <c:v>7.4235596417004137</c:v>
                </c:pt>
                <c:pt idx="5">
                  <c:v>5.703480107454225</c:v>
                </c:pt>
                <c:pt idx="6">
                  <c:v>4.2162035712483901</c:v>
                </c:pt>
                <c:pt idx="7">
                  <c:v>3.7390271677426328</c:v>
                </c:pt>
                <c:pt idx="8">
                  <c:v>3.0352459449370257</c:v>
                </c:pt>
                <c:pt idx="9">
                  <c:v>2.4804654079561419</c:v>
                </c:pt>
                <c:pt idx="10">
                  <c:v>2.4603280938053409</c:v>
                </c:pt>
                <c:pt idx="11">
                  <c:v>2.2064504735328598</c:v>
                </c:pt>
                <c:pt idx="12">
                  <c:v>2.0168413033957688</c:v>
                </c:pt>
                <c:pt idx="13">
                  <c:v>1.705059306952122</c:v>
                </c:pt>
                <c:pt idx="14">
                  <c:v>1.3996084243009419</c:v>
                </c:pt>
                <c:pt idx="15">
                  <c:v>1.3066870242185959</c:v>
                </c:pt>
                <c:pt idx="16">
                  <c:v>1.212808515856995</c:v>
                </c:pt>
                <c:pt idx="17">
                  <c:v>1.0827314914582258</c:v>
                </c:pt>
                <c:pt idx="18">
                  <c:v>0.99224877324032512</c:v>
                </c:pt>
                <c:pt idx="19">
                  <c:v>0.90743389280765385</c:v>
                </c:pt>
                <c:pt idx="20">
                  <c:v>0.86871302848621956</c:v>
                </c:pt>
                <c:pt idx="21">
                  <c:v>0.83747509300626621</c:v>
                </c:pt>
                <c:pt idx="22">
                  <c:v>0.65717654277049209</c:v>
                </c:pt>
                <c:pt idx="23">
                  <c:v>0.6465518577873699</c:v>
                </c:pt>
                <c:pt idx="24">
                  <c:v>0.60822587950313911</c:v>
                </c:pt>
                <c:pt idx="25">
                  <c:v>0.56930139398176116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629776"/>
        <c:axId val="248630336"/>
      </c:barChart>
      <c:catAx>
        <c:axId val="24862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30336"/>
        <c:crosses val="autoZero"/>
        <c:auto val="1"/>
        <c:lblAlgn val="ctr"/>
        <c:lblOffset val="100"/>
        <c:noMultiLvlLbl val="0"/>
      </c:catAx>
      <c:valAx>
        <c:axId val="2486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297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3060837005466061"/>
          <c:y val="0.9374981850672921"/>
          <c:w val="0.86939162994533936"/>
          <c:h val="6.2501814932707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 baseline="0">
                <a:solidFill>
                  <a:sysClr val="windowText" lastClr="000000"/>
                </a:solidFill>
              </a:rPr>
              <a:t>Ianuarie - februarie 2022</a:t>
            </a:r>
            <a:endParaRPr lang="en-US" sz="8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153497206291831"/>
          <c:y val="1.4867854509122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12'!$B$27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EF1-414D-94DA-30AF092260C4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EF1-414D-94DA-30AF092260C4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EF1-414D-94DA-30AF092260C4}"/>
              </c:ext>
            </c:extLst>
          </c:dPt>
          <c:dPt>
            <c:idx val="11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78A-4588-BE1A-3F21F157C1F5}"/>
              </c:ext>
            </c:extLst>
          </c:dPt>
          <c:dPt>
            <c:idx val="12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4E6-4E28-8EB4-641B9F745DCF}"/>
              </c:ext>
            </c:extLst>
          </c:dPt>
          <c:dPt>
            <c:idx val="13"/>
            <c:bubble3D val="0"/>
            <c:spPr>
              <a:solidFill>
                <a:schemeClr val="accent1">
                  <a:shade val="3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8174-4E57-ABA6-9DA1669FF746}"/>
              </c:ext>
            </c:extLst>
          </c:dPt>
          <c:dPt>
            <c:idx val="14"/>
            <c:bubble3D val="0"/>
            <c:spPr>
              <a:solidFill>
                <a:schemeClr val="accent1">
                  <a:shade val="3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11B9-4314-8A5B-D69890524CB3}"/>
              </c:ext>
            </c:extLst>
          </c:dPt>
          <c:dLbls>
            <c:dLbl>
              <c:idx val="0"/>
              <c:layout>
                <c:manualLayout>
                  <c:x val="-1.0928715877728399E-2"/>
                  <c:y val="1.5778027746531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71260149858318"/>
                      <c:h val="0.155988313960754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4.2154566744730677E-2"/>
                  <c:y val="-7.28927634045744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3317720530836"/>
                      <c:h val="0.200298467223319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-1.7173836876947873E-2"/>
                  <c:y val="-0.193964973128358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43391297399301"/>
                      <c:h val="0.15975815523059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3.2786885245901641E-2"/>
                  <c:y val="-0.20335754905636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6604215456675"/>
                      <c:h val="0.1505211848518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7.1818891491022524E-2"/>
                  <c:y val="-0.141824771903512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81120802522635"/>
                      <c:h val="0.175273403324584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3.5909568680963948E-2"/>
                  <c:y val="-3.2703724534433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1022638563622"/>
                      <c:h val="0.148093363329583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-1.2490241998438777E-2"/>
                  <c:y val="4.30821147356580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7.4941451990632318E-2"/>
                  <c:y val="6.98756405449318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0.16528413456514657"/>
                  <c:y val="-4.0817241594800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75487900078061"/>
                      <c:h val="0.15975815523059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0EF1-414D-94DA-30AF092260C4}"/>
                </c:ext>
              </c:extLst>
            </c:dLbl>
            <c:dLbl>
              <c:idx val="9"/>
              <c:layout>
                <c:manualLayout>
                  <c:x val="-0.17899180635207484"/>
                  <c:y val="-0.174054336957880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90476190476189"/>
                      <c:h val="0.19019028871391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EF1-414D-94DA-30AF092260C4}"/>
                </c:ext>
              </c:extLst>
            </c:dLbl>
            <c:dLbl>
              <c:idx val="10"/>
              <c:layout>
                <c:manualLayout>
                  <c:x val="-0.14213428239502848"/>
                  <c:y val="-0.346034870641169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68149882903982"/>
                      <c:h val="0.176290776152980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0EF1-414D-94DA-30AF092260C4}"/>
                </c:ext>
              </c:extLst>
            </c:dLbl>
            <c:dLbl>
              <c:idx val="11"/>
              <c:layout>
                <c:manualLayout>
                  <c:x val="-9.7669758493303088E-2"/>
                  <c:y val="-0.479595519310086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16561864193209"/>
                      <c:h val="0.166013623297087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78A-4588-BE1A-3F21F157C1F5}"/>
                </c:ext>
              </c:extLst>
            </c:dLbl>
            <c:dLbl>
              <c:idx val="12"/>
              <c:layout>
                <c:manualLayout>
                  <c:x val="-3.1225604996096813E-2"/>
                  <c:y val="-0.603082114735658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71440864973845"/>
                      <c:h val="0.178298962629671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94E6-4E28-8EB4-641B9F745DCF}"/>
                </c:ext>
              </c:extLst>
            </c:dLbl>
            <c:dLbl>
              <c:idx val="13"/>
              <c:layout>
                <c:manualLayout>
                  <c:x val="0.14207662566769319"/>
                  <c:y val="-0.599134483189601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19437939110068"/>
                      <c:h val="0.120893013373328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174-4E57-ABA6-9DA1669FF746}"/>
                </c:ext>
              </c:extLst>
            </c:dLbl>
            <c:dLbl>
              <c:idx val="14"/>
              <c:layout>
                <c:manualLayout>
                  <c:x val="0.2841530054644808"/>
                  <c:y val="-0.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1B9-4314-8A5B-D69890524C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12'!$A$28:$A$42</c:f>
              <c:strCache>
                <c:ptCount val="15"/>
                <c:pt idx="0">
                  <c:v>Petrol,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Produse medicinale şi farmaceutice</c:v>
                </c:pt>
                <c:pt idx="5">
                  <c:v>Fire, tesături, articole textile </c:v>
                </c:pt>
                <c:pt idx="6">
                  <c:v>Îngrăşăminte minerale sau chimice</c:v>
                </c:pt>
                <c:pt idx="7">
                  <c:v>Legume şi fructe</c:v>
                </c:pt>
                <c:pt idx="8">
                  <c:v>Seminţe şi fructe oleaginoase</c:v>
                </c:pt>
                <c:pt idx="9">
                  <c:v>Cereale şi preparate pe bază de cereale</c:v>
                </c:pt>
                <c:pt idx="10">
                  <c:v>Maşini şi aparate specializate </c:v>
                </c:pt>
                <c:pt idx="11">
                  <c:v>Aparate şi echipamente de telecomunicaţii </c:v>
                </c:pt>
                <c:pt idx="12">
                  <c:v>Maşini şi aparate industriale </c:v>
                </c:pt>
                <c:pt idx="13">
                  <c:v>Îmbrăcăminte şi accesorii</c:v>
                </c:pt>
                <c:pt idx="14">
                  <c:v>Alte mărfuri</c:v>
                </c:pt>
              </c:strCache>
            </c:strRef>
          </c:cat>
          <c:val>
            <c:numRef>
              <c:f>'Figura 12'!$B$28:$B$42</c:f>
              <c:numCache>
                <c:formatCode>0.0</c:formatCode>
                <c:ptCount val="15"/>
                <c:pt idx="0">
                  <c:v>9.5</c:v>
                </c:pt>
                <c:pt idx="1">
                  <c:v>17.2</c:v>
                </c:pt>
                <c:pt idx="2">
                  <c:v>6.3</c:v>
                </c:pt>
                <c:pt idx="3">
                  <c:v>5.5</c:v>
                </c:pt>
                <c:pt idx="4">
                  <c:v>4</c:v>
                </c:pt>
                <c:pt idx="5">
                  <c:v>3.7</c:v>
                </c:pt>
                <c:pt idx="6">
                  <c:v>2.4</c:v>
                </c:pt>
                <c:pt idx="7">
                  <c:v>2.6</c:v>
                </c:pt>
                <c:pt idx="8">
                  <c:v>0.9</c:v>
                </c:pt>
                <c:pt idx="9">
                  <c:v>2.1</c:v>
                </c:pt>
                <c:pt idx="10">
                  <c:v>3.2</c:v>
                </c:pt>
                <c:pt idx="11">
                  <c:v>2.2999999999999998</c:v>
                </c:pt>
                <c:pt idx="12">
                  <c:v>2.6</c:v>
                </c:pt>
                <c:pt idx="13">
                  <c:v>2.1</c:v>
                </c:pt>
                <c:pt idx="14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februarie </a:t>
            </a: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endParaRPr lang="en-US" sz="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89222180560763"/>
          <c:y val="1.2968383004744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CD-4C13-890E-399C32D1EBE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CD-4C13-890E-399C32D1EBE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CD-4C13-890E-399C32D1EBE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027-44E0-9897-C542FAFF950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28B-4A15-95E9-C59FB398DFD6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1">
                      <a:shade val="3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3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3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B53-4333-94CE-1214A088B112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1">
                      <a:shade val="3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3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3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3199-4DBA-A823-4B2C8ED12FB0}"/>
              </c:ext>
            </c:extLst>
          </c:dPt>
          <c:dLbls>
            <c:dLbl>
              <c:idx val="0"/>
              <c:layout>
                <c:manualLayout>
                  <c:x val="-0.10740879612270694"/>
                  <c:y val="-3.278356854879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04629976808454"/>
                      <c:h val="0.156387062988083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7.4074212945604026E-2"/>
                  <c:y val="-0.268405908138328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5116582649386"/>
                      <c:h val="0.17831589123731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1.107111611048606E-2"/>
                  <c:y val="-0.34997245655932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30130955852744"/>
                      <c:h val="0.151381749588098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0.10368870557846936"/>
                  <c:y val="-0.317547593284462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3956588759739"/>
                      <c:h val="0.125543408806214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0.166275882181394"/>
                  <c:y val="-0.229826031066751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765251565776"/>
                      <c:h val="0.164538859061010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0.23198433529142179"/>
                  <c:y val="-7.0510583211655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0.15167048563374017"/>
                  <c:y val="-1.387778780781445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12117929703231"/>
                      <c:h val="0.15939887495277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7.0232054326542517E-2"/>
                  <c:y val="1.6469196497061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6.0571595217264185E-3"/>
                  <c:y val="1.4796436319346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07263494237131"/>
                      <c:h val="0.15939887495277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8FCD-4C13-890E-399C32D1EBED}"/>
                </c:ext>
              </c:extLst>
            </c:dLbl>
            <c:dLbl>
              <c:idx val="9"/>
              <c:layout>
                <c:manualLayout>
                  <c:x val="-5.8770014859253712E-2"/>
                  <c:y val="-8.64807794278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34051299143158"/>
                      <c:h val="0.165225960888001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8FCD-4C13-890E-399C32D1EBED}"/>
                </c:ext>
              </c:extLst>
            </c:dLbl>
            <c:dLbl>
              <c:idx val="10"/>
              <c:layout>
                <c:manualLayout>
                  <c:x val="-6.5735116443777858E-2"/>
                  <c:y val="-0.239642463330353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91246927467401"/>
                      <c:h val="0.1990898634826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8FCD-4C13-890E-399C32D1EBED}"/>
                </c:ext>
              </c:extLst>
            </c:dLbl>
            <c:dLbl>
              <c:idx val="11"/>
              <c:layout>
                <c:manualLayout>
                  <c:x val="-4.438042466913858E-2"/>
                  <c:y val="-0.352152965927060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24559430071237"/>
                      <c:h val="0.166204901326365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027-44E0-9897-C542FAFF950C}"/>
                </c:ext>
              </c:extLst>
            </c:dLbl>
            <c:dLbl>
              <c:idx val="12"/>
              <c:layout>
                <c:manualLayout>
                  <c:x val="-3.9303420405782594E-3"/>
                  <c:y val="-0.461080946469487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74315710536182"/>
                      <c:h val="0.15939887495277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028B-4A15-95E9-C59FB398DFD6}"/>
                </c:ext>
              </c:extLst>
            </c:dLbl>
            <c:dLbl>
              <c:idx val="13"/>
              <c:layout>
                <c:manualLayout>
                  <c:x val="0.11488313960754906"/>
                  <c:y val="-0.533294754810259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B53-4333-94CE-1214A088B112}"/>
                </c:ext>
              </c:extLst>
            </c:dLbl>
            <c:dLbl>
              <c:idx val="14"/>
              <c:layout>
                <c:manualLayout>
                  <c:x val="0.27160493827160487"/>
                  <c:y val="-0.214285781241651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199-4DBA-A823-4B2C8ED12FB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12'!$A$45:$A$59</c:f>
              <c:strCache>
                <c:ptCount val="15"/>
                <c:pt idx="0">
                  <c:v>Petrol,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Produse medicinale şi farmaceutice</c:v>
                </c:pt>
                <c:pt idx="5">
                  <c:v>Fire, tesături, articole textile </c:v>
                </c:pt>
                <c:pt idx="6">
                  <c:v>Îngrăşăminte minerale sau chimice</c:v>
                </c:pt>
                <c:pt idx="7">
                  <c:v>Legume şi fructe</c:v>
                </c:pt>
                <c:pt idx="8">
                  <c:v>Seminţe şi fructe oleaginoase</c:v>
                </c:pt>
                <c:pt idx="9">
                  <c:v>Cereale şi preparate pe bază de cereale</c:v>
                </c:pt>
                <c:pt idx="10">
                  <c:v>Maşini şi aparate specializate </c:v>
                </c:pt>
                <c:pt idx="11">
                  <c:v>Aparate şi echipamente de telecomunicaţii </c:v>
                </c:pt>
                <c:pt idx="12">
                  <c:v>Maşini şi aparate industriale </c:v>
                </c:pt>
                <c:pt idx="13">
                  <c:v>Îmbrăcăminte şi accesorii</c:v>
                </c:pt>
                <c:pt idx="14">
                  <c:v>Alte mărfuri</c:v>
                </c:pt>
              </c:strCache>
            </c:strRef>
          </c:cat>
          <c:val>
            <c:numRef>
              <c:f>'Figura 12'!$B$45:$B$59</c:f>
              <c:numCache>
                <c:formatCode>0.0</c:formatCode>
                <c:ptCount val="15"/>
                <c:pt idx="0">
                  <c:v>18.5</c:v>
                </c:pt>
                <c:pt idx="1">
                  <c:v>12.8</c:v>
                </c:pt>
                <c:pt idx="2">
                  <c:v>6.5</c:v>
                </c:pt>
                <c:pt idx="3">
                  <c:v>5.5</c:v>
                </c:pt>
                <c:pt idx="4">
                  <c:v>3.4</c:v>
                </c:pt>
                <c:pt idx="5">
                  <c:v>3.2</c:v>
                </c:pt>
                <c:pt idx="6">
                  <c:v>2.7</c:v>
                </c:pt>
                <c:pt idx="7">
                  <c:v>2.6</c:v>
                </c:pt>
                <c:pt idx="8">
                  <c:v>2.2999999999999998</c:v>
                </c:pt>
                <c:pt idx="9">
                  <c:v>2.1</c:v>
                </c:pt>
                <c:pt idx="10">
                  <c:v>2.1</c:v>
                </c:pt>
                <c:pt idx="11">
                  <c:v>2</c:v>
                </c:pt>
                <c:pt idx="12">
                  <c:v>1.9</c:v>
                </c:pt>
                <c:pt idx="13">
                  <c:v>1.9</c:v>
                </c:pt>
                <c:pt idx="14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13'!$B$23:$B$28</c:f>
              <c:numCache>
                <c:formatCode>#,##0.0</c:formatCode>
                <c:ptCount val="6"/>
                <c:pt idx="0">
                  <c:v>-154</c:v>
                </c:pt>
                <c:pt idx="1">
                  <c:v>-138.30000000000001</c:v>
                </c:pt>
                <c:pt idx="2">
                  <c:v>-160.30000000000001</c:v>
                </c:pt>
                <c:pt idx="3">
                  <c:v>-201</c:v>
                </c:pt>
                <c:pt idx="4">
                  <c:v>-291.3</c:v>
                </c:pt>
                <c:pt idx="5">
                  <c:v>-401.7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13'!$C$23:$C$28</c:f>
              <c:numCache>
                <c:formatCode>#,##0.0</c:formatCode>
                <c:ptCount val="6"/>
                <c:pt idx="0">
                  <c:v>-212.1</c:v>
                </c:pt>
                <c:pt idx="1">
                  <c:v>-217.9</c:v>
                </c:pt>
                <c:pt idx="2">
                  <c:v>-239.5</c:v>
                </c:pt>
                <c:pt idx="3">
                  <c:v>-294.39999999999998</c:v>
                </c:pt>
                <c:pt idx="4">
                  <c:v>-332.6</c:v>
                </c:pt>
                <c:pt idx="5">
                  <c:v>-396.7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13'!$D$23:$D$28</c:f>
              <c:numCache>
                <c:formatCode>#,##0.0</c:formatCode>
                <c:ptCount val="6"/>
                <c:pt idx="0">
                  <c:v>-282</c:v>
                </c:pt>
                <c:pt idx="1">
                  <c:v>-276.60000000000002</c:v>
                </c:pt>
                <c:pt idx="2">
                  <c:v>-290.3</c:v>
                </c:pt>
                <c:pt idx="3">
                  <c:v>-370.8</c:v>
                </c:pt>
                <c:pt idx="4">
                  <c:v>-352.5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13'!$E$23:$E$28</c:f>
              <c:numCache>
                <c:formatCode>#,##0.0</c:formatCode>
                <c:ptCount val="6"/>
                <c:pt idx="0">
                  <c:v>-244.9</c:v>
                </c:pt>
                <c:pt idx="1">
                  <c:v>-300</c:v>
                </c:pt>
                <c:pt idx="2">
                  <c:v>-135.80000000000001</c:v>
                </c:pt>
                <c:pt idx="3">
                  <c:v>-344</c:v>
                </c:pt>
                <c:pt idx="4">
                  <c:v>-374.1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13'!$F$23:$F$28</c:f>
              <c:numCache>
                <c:formatCode>#,##0.0</c:formatCode>
                <c:ptCount val="6"/>
                <c:pt idx="0">
                  <c:v>-282.60000000000002</c:v>
                </c:pt>
                <c:pt idx="1">
                  <c:v>-271.10000000000002</c:v>
                </c:pt>
                <c:pt idx="2">
                  <c:v>-173.7</c:v>
                </c:pt>
                <c:pt idx="3">
                  <c:v>-361.7</c:v>
                </c:pt>
                <c:pt idx="4">
                  <c:v>-356.7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13'!$G$23:$G$28</c:f>
              <c:numCache>
                <c:formatCode>#,##0.0</c:formatCode>
                <c:ptCount val="6"/>
                <c:pt idx="0">
                  <c:v>-244.6</c:v>
                </c:pt>
                <c:pt idx="1">
                  <c:v>-243.2</c:v>
                </c:pt>
                <c:pt idx="2">
                  <c:v>-223.9</c:v>
                </c:pt>
                <c:pt idx="3">
                  <c:v>-362.8</c:v>
                </c:pt>
                <c:pt idx="4">
                  <c:v>-352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13'!$H$23:$H$28</c:f>
              <c:numCache>
                <c:formatCode>#,##0.0</c:formatCode>
                <c:ptCount val="6"/>
                <c:pt idx="0">
                  <c:v>-269.2</c:v>
                </c:pt>
                <c:pt idx="1">
                  <c:v>-278.89999999999998</c:v>
                </c:pt>
                <c:pt idx="2">
                  <c:v>-305.5</c:v>
                </c:pt>
                <c:pt idx="3">
                  <c:v>-321.3</c:v>
                </c:pt>
                <c:pt idx="4">
                  <c:v>-422.8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13'!$I$23:$I$28</c:f>
              <c:numCache>
                <c:formatCode>#,##0.0</c:formatCode>
                <c:ptCount val="6"/>
                <c:pt idx="0">
                  <c:v>-262.10000000000002</c:v>
                </c:pt>
                <c:pt idx="1">
                  <c:v>-258.5</c:v>
                </c:pt>
                <c:pt idx="2">
                  <c:v>-269.7</c:v>
                </c:pt>
                <c:pt idx="3">
                  <c:v>-338.6</c:v>
                </c:pt>
                <c:pt idx="4">
                  <c:v>-450.6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13'!$J$23:$J$28</c:f>
              <c:numCache>
                <c:formatCode>#,##0.0</c:formatCode>
                <c:ptCount val="6"/>
                <c:pt idx="0">
                  <c:v>-266.7</c:v>
                </c:pt>
                <c:pt idx="1">
                  <c:v>-262.89999999999998</c:v>
                </c:pt>
                <c:pt idx="2">
                  <c:v>-296</c:v>
                </c:pt>
                <c:pt idx="3">
                  <c:v>-376.3</c:v>
                </c:pt>
                <c:pt idx="4">
                  <c:v>-525.29999999999995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13'!$K$23:$K$28</c:f>
              <c:numCache>
                <c:formatCode>#,##0.0</c:formatCode>
                <c:ptCount val="6"/>
                <c:pt idx="0">
                  <c:v>-281.60000000000002</c:v>
                </c:pt>
                <c:pt idx="1">
                  <c:v>-257</c:v>
                </c:pt>
                <c:pt idx="2">
                  <c:v>-244.2</c:v>
                </c:pt>
                <c:pt idx="3">
                  <c:v>-294.60000000000002</c:v>
                </c:pt>
                <c:pt idx="4">
                  <c:v>-399.2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13'!$L$23:$L$28</c:f>
              <c:numCache>
                <c:formatCode>#,##0.0</c:formatCode>
                <c:ptCount val="6"/>
                <c:pt idx="0">
                  <c:v>-253.70000000000005</c:v>
                </c:pt>
                <c:pt idx="1">
                  <c:v>-237.5</c:v>
                </c:pt>
                <c:pt idx="2">
                  <c:v>-260.89999999999998</c:v>
                </c:pt>
                <c:pt idx="3">
                  <c:v>-337.6</c:v>
                </c:pt>
                <c:pt idx="4">
                  <c:v>-502.5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13'!$M$23:$M$28</c:f>
              <c:numCache>
                <c:formatCode>#,##0.0</c:formatCode>
                <c:ptCount val="6"/>
                <c:pt idx="0">
                  <c:v>-300.49999999999994</c:v>
                </c:pt>
                <c:pt idx="1">
                  <c:v>-321.39999999999998</c:v>
                </c:pt>
                <c:pt idx="2">
                  <c:v>-349</c:v>
                </c:pt>
                <c:pt idx="3">
                  <c:v>-429.2</c:v>
                </c:pt>
                <c:pt idx="4">
                  <c:v>-524.29999999999995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9016032"/>
        <c:axId val="249016592"/>
      </c:barChart>
      <c:catAx>
        <c:axId val="2490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9016592"/>
        <c:scaling>
          <c:orientation val="minMax"/>
          <c:min val="-5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03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925675094295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7522988197903835E-3"/>
                  <c:y val="5.3499409412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9.9610405842126878E-3"/>
                  <c:y val="8.784384278648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7.1656757191066065E-3"/>
                  <c:y val="4.554205219102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8.6920563500991616E-3"/>
                  <c:y val="1.1468128020747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210955773385473E-2"/>
                      <c:h val="3.78645623292684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8.587926509186352E-3"/>
                  <c:y val="4.4410300171634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2661703001410538E-2"/>
                  <c:y val="4.2872053240890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14'!$B$28:$B$33</c:f>
              <c:numCache>
                <c:formatCode>0.0</c:formatCode>
                <c:ptCount val="6"/>
                <c:pt idx="0">
                  <c:v>435.79405199000001</c:v>
                </c:pt>
                <c:pt idx="1">
                  <c:v>475.66392916000001</c:v>
                </c:pt>
                <c:pt idx="2">
                  <c:v>464.79656014999995</c:v>
                </c:pt>
                <c:pt idx="3">
                  <c:v>425.47226165000001</c:v>
                </c:pt>
                <c:pt idx="4">
                  <c:v>666.82153755000002</c:v>
                </c:pt>
                <c:pt idx="5">
                  <c:v>687.46643148999999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483528844608877E-3"/>
                  <c:y val="8.0643911334979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-2.7713678647312274E-3"/>
                  <c:y val="6.7770597667421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1.1457958618054857E-5"/>
                  <c:y val="7.5543188470258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-8.3683067535339809E-4"/>
                  <c:y val="8.3646396127967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-1.3682575392361669E-3"/>
                  <c:y val="4.5542052191022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14'!$C$28:$C$33</c:f>
              <c:numCache>
                <c:formatCode>0.0</c:formatCode>
                <c:ptCount val="6"/>
                <c:pt idx="0">
                  <c:v>801.85814607999998</c:v>
                </c:pt>
                <c:pt idx="1">
                  <c:v>831.79747999000006</c:v>
                </c:pt>
                <c:pt idx="2">
                  <c:v>864.61667853000006</c:v>
                </c:pt>
                <c:pt idx="3">
                  <c:v>920.80743431999997</c:v>
                </c:pt>
                <c:pt idx="4">
                  <c:v>1290.7634534599999</c:v>
                </c:pt>
                <c:pt idx="5">
                  <c:v>1485.7932282300001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48762544"/>
        <c:axId val="248763104"/>
      </c:barChart>
      <c:lineChart>
        <c:grouping val="standard"/>
        <c:varyColors val="0"/>
        <c:ser>
          <c:idx val="2"/>
          <c:order val="2"/>
          <c:tx>
            <c:strRef>
              <c:f>'Figura 14'!$D$27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0007677611727E-2"/>
                  <c:y val="3.0116301411005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3.9225490300822299E-2"/>
                  <c:y val="-3.1530406372926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1598651691381217E-2"/>
                  <c:y val="3.1556374814165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3.9693871373269594E-2"/>
                  <c:y val="-3.5311859082614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3.7191636759690755E-2"/>
                  <c:y val="3.613476563813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2.4261253057653509E-3"/>
                  <c:y val="-6.4796458639727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14'!$D$28:$D$33</c:f>
              <c:numCache>
                <c:formatCode>#,##0.0</c:formatCode>
                <c:ptCount val="6"/>
                <c:pt idx="0">
                  <c:v>-366.06409408999997</c:v>
                </c:pt>
                <c:pt idx="1">
                  <c:v>-356.13355083000005</c:v>
                </c:pt>
                <c:pt idx="2">
                  <c:v>-399.82011838000011</c:v>
                </c:pt>
                <c:pt idx="3">
                  <c:v>-495.33517266999996</c:v>
                </c:pt>
                <c:pt idx="4">
                  <c:v>-624</c:v>
                </c:pt>
                <c:pt idx="5">
                  <c:v>-798.32679674000008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62544"/>
        <c:axId val="248763104"/>
      </c:lineChart>
      <c:catAx>
        <c:axId val="24876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3104"/>
        <c:crosses val="autoZero"/>
        <c:auto val="1"/>
        <c:lblAlgn val="ctr"/>
        <c:lblOffset val="100"/>
        <c:noMultiLvlLbl val="0"/>
      </c:catAx>
      <c:valAx>
        <c:axId val="24876310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5930711068301466"/>
          <c:w val="0.92503281730217912"/>
          <c:h val="3.6405286958537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54673787348795E-2"/>
          <c:y val="5.8988321282727942E-2"/>
          <c:w val="0.92807084892708935"/>
          <c:h val="0.71198276686002482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443222211951362E-2"/>
                  <c:y val="-2.8264641306757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A467-4F44-B57D-57C60A5D0C66}"/>
                </c:ext>
              </c:extLst>
            </c:dLbl>
            <c:dLbl>
              <c:idx val="1"/>
              <c:layout>
                <c:manualLayout>
                  <c:x val="-3.6457225130743419E-2"/>
                  <c:y val="-2.530469794817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7-4F44-B57D-57C60A5D0C66}"/>
                </c:ext>
              </c:extLst>
            </c:dLbl>
            <c:dLbl>
              <c:idx val="2"/>
              <c:layout>
                <c:manualLayout>
                  <c:x val="-6.885436012067302E-3"/>
                  <c:y val="1.49899518690947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67-4F44-B57D-57C60A5D0C66}"/>
                </c:ext>
              </c:extLst>
            </c:dLbl>
            <c:dLbl>
              <c:idx val="3"/>
              <c:layout>
                <c:manualLayout>
                  <c:x val="-1.6988125870039585E-2"/>
                  <c:y val="2.777242985471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7-4F44-B57D-57C60A5D0C66}"/>
                </c:ext>
              </c:extLst>
            </c:dLbl>
            <c:dLbl>
              <c:idx val="4"/>
              <c:layout>
                <c:manualLayout>
                  <c:x val="-1.0186544651580191E-2"/>
                  <c:y val="2.181438491850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67-4F44-B57D-57C60A5D0C66}"/>
                </c:ext>
              </c:extLst>
            </c:dLbl>
            <c:dLbl>
              <c:idx val="5"/>
              <c:layout>
                <c:manualLayout>
                  <c:x val="-2.1906626666330531E-2"/>
                  <c:y val="2.8966651648107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67-4F44-B57D-57C60A5D0C66}"/>
                </c:ext>
              </c:extLst>
            </c:dLbl>
            <c:dLbl>
              <c:idx val="6"/>
              <c:layout>
                <c:manualLayout>
                  <c:x val="-1.8928999102650092E-2"/>
                  <c:y val="-2.768249336680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67-4F44-B57D-57C60A5D0C66}"/>
                </c:ext>
              </c:extLst>
            </c:dLbl>
            <c:dLbl>
              <c:idx val="7"/>
              <c:layout>
                <c:manualLayout>
                  <c:x val="-7.2465445903276667E-3"/>
                  <c:y val="1.248170954107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67-4F44-B57D-57C60A5D0C66}"/>
                </c:ext>
              </c:extLst>
            </c:dLbl>
            <c:dLbl>
              <c:idx val="8"/>
              <c:layout>
                <c:manualLayout>
                  <c:x val="-4.4687657916739405E-2"/>
                  <c:y val="-2.0645511954057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67-4F44-B57D-57C60A5D0C66}"/>
                </c:ext>
              </c:extLst>
            </c:dLbl>
            <c:dLbl>
              <c:idx val="9"/>
              <c:layout>
                <c:manualLayout>
                  <c:x val="-3.498856108564026E-2"/>
                  <c:y val="2.612142147081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67-4F44-B57D-57C60A5D0C66}"/>
                </c:ext>
              </c:extLst>
            </c:dLbl>
            <c:dLbl>
              <c:idx val="10"/>
              <c:layout>
                <c:manualLayout>
                  <c:x val="-1.7704798639764478E-2"/>
                  <c:y val="-1.7988228310698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1.8774622174355458E-2"/>
                  <c:y val="2.737352275410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2.23417783354493E-2"/>
                  <c:y val="-2.500770736991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1.4220270307518445E-2"/>
                  <c:y val="3.1558711836769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2.6059378650240862E-2"/>
                  <c:y val="-2.5236327747859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2.0977544576017353E-2"/>
                  <c:y val="2.7802890835828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2.3586567703530924E-2"/>
                  <c:y val="-2.8763626768876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9.8505131432666607E-3"/>
                  <c:y val="-2.442160669970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9806465598779351E-2"/>
                  <c:y val="2.826007860128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2.3958691277942649E-2"/>
                  <c:y val="-2.674705171390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2.3712580217761039E-2"/>
                  <c:y val="2.9805545423988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592084697278002E-2"/>
                      <c:h val="4.2169824139829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2.0179531234208441E-2"/>
                  <c:y val="-2.3376887153411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01612338479032E-2"/>
                      <c:h val="3.70391984380699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2.4134608611496605E-2"/>
                  <c:y val="-2.760210831956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2.0672859299822176E-2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1.7886603147768836E-2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1.4932147483898235E-3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2'!$B$23:$AA$24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2'!$B$25:$AA$25</c:f>
              <c:numCache>
                <c:formatCode>#,##0.0</c:formatCode>
                <c:ptCount val="26"/>
                <c:pt idx="0">
                  <c:v>90.925213233797848</c:v>
                </c:pt>
                <c:pt idx="1">
                  <c:v>114.41147354263464</c:v>
                </c:pt>
                <c:pt idx="2">
                  <c:v>114.20579997969134</c:v>
                </c:pt>
                <c:pt idx="3">
                  <c:v>84.167356355788357</c:v>
                </c:pt>
                <c:pt idx="4">
                  <c:v>92.421884276527052</c:v>
                </c:pt>
                <c:pt idx="5">
                  <c:v>112.45124175218632</c:v>
                </c:pt>
                <c:pt idx="6">
                  <c:v>106.13290668113962</c:v>
                </c:pt>
                <c:pt idx="7">
                  <c:v>98.163759117159898</c:v>
                </c:pt>
                <c:pt idx="8">
                  <c:v>124.79747973247373</c:v>
                </c:pt>
                <c:pt idx="9">
                  <c:v>119.44752327758337</c:v>
                </c:pt>
                <c:pt idx="10">
                  <c:v>103.29810746017232</c:v>
                </c:pt>
                <c:pt idx="11">
                  <c:v>89.310814590947814</c:v>
                </c:pt>
                <c:pt idx="12">
                  <c:v>101.65548055101389</c:v>
                </c:pt>
                <c:pt idx="13">
                  <c:v>101.84864374682041</c:v>
                </c:pt>
                <c:pt idx="14">
                  <c:v>117.64360095679429</c:v>
                </c:pt>
                <c:pt idx="15">
                  <c:v>100.12867315249881</c:v>
                </c:pt>
                <c:pt idx="16">
                  <c:v>104.95231951698101</c:v>
                </c:pt>
                <c:pt idx="17">
                  <c:v>100.11263227721525</c:v>
                </c:pt>
                <c:pt idx="18">
                  <c:v>81.219091406345484</c:v>
                </c:pt>
                <c:pt idx="19">
                  <c:v>97.395817403540036</c:v>
                </c:pt>
                <c:pt idx="20">
                  <c:v>96.775293757579718</c:v>
                </c:pt>
                <c:pt idx="21" formatCode="0.0">
                  <c:v>110.41268252711565</c:v>
                </c:pt>
                <c:pt idx="22" formatCode="0.0">
                  <c:v>101.07685140675132</c:v>
                </c:pt>
                <c:pt idx="23" formatCode="0.0">
                  <c:v>98.231011775552389</c:v>
                </c:pt>
                <c:pt idx="24" formatCode="0.0">
                  <c:v>95.553720472385507</c:v>
                </c:pt>
                <c:pt idx="25" formatCode="0.0">
                  <c:v>107.23240280044752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418201695077237E-2"/>
                  <c:y val="2.75698495434549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A467-4F44-B57D-57C60A5D0C66}"/>
                </c:ext>
              </c:extLst>
            </c:dLbl>
            <c:dLbl>
              <c:idx val="1"/>
              <c:layout>
                <c:manualLayout>
                  <c:x val="-1.2682096184884722E-2"/>
                  <c:y val="2.4119519120055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67-4F44-B57D-57C60A5D0C66}"/>
                </c:ext>
              </c:extLst>
            </c:dLbl>
            <c:dLbl>
              <c:idx val="2"/>
              <c:layout>
                <c:manualLayout>
                  <c:x val="-4.0328182029540839E-2"/>
                  <c:y val="-2.399593783747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67-4F44-B57D-57C60A5D0C66}"/>
                </c:ext>
              </c:extLst>
            </c:dLbl>
            <c:dLbl>
              <c:idx val="3"/>
              <c:layout>
                <c:manualLayout>
                  <c:x val="-2.1732731647604933E-2"/>
                  <c:y val="-2.5019488367768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67-4F44-B57D-57C60A5D0C66}"/>
                </c:ext>
              </c:extLst>
            </c:dLbl>
            <c:dLbl>
              <c:idx val="4"/>
              <c:layout>
                <c:manualLayout>
                  <c:x val="-1.6865015672400608E-2"/>
                  <c:y val="-2.6931565434429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67-4F44-B57D-57C60A5D0C66}"/>
                </c:ext>
              </c:extLst>
            </c:dLbl>
            <c:dLbl>
              <c:idx val="5"/>
              <c:layout>
                <c:manualLayout>
                  <c:x val="-2.2986613254440045E-2"/>
                  <c:y val="-2.982542713495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67-4F44-B57D-57C60A5D0C66}"/>
                </c:ext>
              </c:extLst>
            </c:dLbl>
            <c:dLbl>
              <c:idx val="6"/>
              <c:layout>
                <c:manualLayout>
                  <c:x val="-2.9936572980886141E-2"/>
                  <c:y val="-3.3102333597946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67-4F44-B57D-57C60A5D0C66}"/>
                </c:ext>
              </c:extLst>
            </c:dLbl>
            <c:dLbl>
              <c:idx val="7"/>
              <c:layout>
                <c:manualLayout>
                  <c:x val="-2.5682853211020699E-2"/>
                  <c:y val="-2.862614395422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67-4F44-B57D-57C60A5D0C66}"/>
                </c:ext>
              </c:extLst>
            </c:dLbl>
            <c:dLbl>
              <c:idx val="8"/>
              <c:layout>
                <c:manualLayout>
                  <c:x val="-2.2505251020697559E-2"/>
                  <c:y val="-2.9384382507742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A467-4F44-B57D-57C60A5D0C66}"/>
                </c:ext>
              </c:extLst>
            </c:dLbl>
            <c:dLbl>
              <c:idx val="9"/>
              <c:layout>
                <c:manualLayout>
                  <c:x val="-2.0040392496295488E-2"/>
                  <c:y val="-2.753688486486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67-4F44-B57D-57C60A5D0C66}"/>
                </c:ext>
              </c:extLst>
            </c:dLbl>
            <c:dLbl>
              <c:idx val="10"/>
              <c:layout>
                <c:manualLayout>
                  <c:x val="-3.0093992043293306E-2"/>
                  <c:y val="3.04108648544272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8975214154240054E-2"/>
                      <c:h val="4.43785534982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3.6944477622910907E-2"/>
                  <c:y val="-3.52404042137784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9082589880465699E-2"/>
                  <c:y val="-2.4529740321969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2.4691761837821614E-2"/>
                  <c:y val="3.1101575518318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9.7441715196486239E-3"/>
                  <c:y val="1.9251217576004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4.7228168824287861E-2"/>
                  <c:y val="-2.149742181409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2.9013497000156308E-2"/>
                  <c:y val="-2.8535261430195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6.6476749104334206E-3"/>
                  <c:y val="-9.8784927088473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3.7839499934153503E-2"/>
                  <c:y val="3.13132656783024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6284534603932247E-2"/>
                      <c:h val="5.3560185085856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7.3126664929956354E-3"/>
                  <c:y val="-6.47514428543843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1.8060560399611774E-2"/>
                  <c:y val="-2.737039341471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2.5880612648039879E-2"/>
                  <c:y val="2.99557310104629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9778112005662211E-2"/>
                      <c:h val="5.1571441853147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222867415785407E-2"/>
                  <c:y val="3.4159926194511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4134608611496376E-2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2.5058174612654281E-2"/>
                  <c:y val="-3.123516917333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1.8930714174145995E-3"/>
                  <c:y val="2.326074363320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2'!$B$23:$AA$24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2'!$B$26:$AA$26</c:f>
              <c:numCache>
                <c:formatCode>#,##0.0</c:formatCode>
                <c:ptCount val="26"/>
                <c:pt idx="0">
                  <c:v>90.415711128050958</c:v>
                </c:pt>
                <c:pt idx="1">
                  <c:v>92.544788099159774</c:v>
                </c:pt>
                <c:pt idx="2">
                  <c:v>123.33461185332185</c:v>
                </c:pt>
                <c:pt idx="3">
                  <c:v>145.62616468779689</c:v>
                </c:pt>
                <c:pt idx="4">
                  <c:v>129.53315145310887</c:v>
                </c:pt>
                <c:pt idx="5">
                  <c:v>119.63933960141166</c:v>
                </c:pt>
                <c:pt idx="6">
                  <c:v>125.94594158412818</c:v>
                </c:pt>
                <c:pt idx="7">
                  <c:v>144.1652577242715</c:v>
                </c:pt>
                <c:pt idx="8">
                  <c:v>138.93267521074247</c:v>
                </c:pt>
                <c:pt idx="9">
                  <c:v>141.26446794210585</c:v>
                </c:pt>
                <c:pt idx="10">
                  <c:v>138.86123791492062</c:v>
                </c:pt>
                <c:pt idx="11">
                  <c:v>148.90368550768355</c:v>
                </c:pt>
                <c:pt idx="12">
                  <c:v>166.47364542706634</c:v>
                </c:pt>
                <c:pt idx="13" formatCode="0.0">
                  <c:v>148.19932435921535</c:v>
                </c:pt>
                <c:pt idx="14" formatCode="0.0">
                  <c:v>152.66039185472528</c:v>
                </c:pt>
                <c:pt idx="15" formatCode="0.0">
                  <c:v>181.61058088529293</c:v>
                </c:pt>
                <c:pt idx="16" formatCode="0.0">
                  <c:v>206.23310011413275</c:v>
                </c:pt>
                <c:pt idx="17" formatCode="0.0">
                  <c:v>183.60436215205132</c:v>
                </c:pt>
                <c:pt idx="18" formatCode="0.0">
                  <c:v>140.50476839414773</c:v>
                </c:pt>
                <c:pt idx="19" formatCode="0.0">
                  <c:v>139.40559010693906</c:v>
                </c:pt>
                <c:pt idx="20" formatCode="0.0">
                  <c:v>108.10328031438013</c:v>
                </c:pt>
                <c:pt idx="21">
                  <c:v>99.926501964829413</c:v>
                </c:pt>
                <c:pt idx="22">
                  <c:v>97.777746747100537</c:v>
                </c:pt>
                <c:pt idx="23">
                  <c:v>107.54360528556772</c:v>
                </c:pt>
                <c:pt idx="24" formatCode="0.0">
                  <c:v>100.41764943814164</c:v>
                </c:pt>
                <c:pt idx="25" formatCode="0.0">
                  <c:v>105.72576557418421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8464"/>
        <c:axId val="244839024"/>
      </c:lineChart>
      <c:catAx>
        <c:axId val="244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9024"/>
        <c:crossesAt val="30"/>
        <c:auto val="0"/>
        <c:lblAlgn val="ctr"/>
        <c:lblOffset val="100"/>
        <c:noMultiLvlLbl val="0"/>
      </c:catAx>
      <c:valAx>
        <c:axId val="244839024"/>
        <c:scaling>
          <c:orientation val="minMax"/>
          <c:max val="24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846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873154648772351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3'!$B$23</c:f>
              <c:strCache>
                <c:ptCount val="1"/>
                <c:pt idx="0">
                  <c:v>Ianuarie-februarie 2023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3'!$A$24:$A$29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3'!$B$24:$B$29</c:f>
              <c:numCache>
                <c:formatCode>0.0</c:formatCode>
                <c:ptCount val="6"/>
                <c:pt idx="0">
                  <c:v>13.6</c:v>
                </c:pt>
                <c:pt idx="1">
                  <c:v>3.2</c:v>
                </c:pt>
                <c:pt idx="2">
                  <c:v>81.3</c:v>
                </c:pt>
                <c:pt idx="3">
                  <c:v>1.4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3'!$C$23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3'!$A$24:$A$29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3'!$C$24:$C$29</c:f>
              <c:numCache>
                <c:formatCode>0.0</c:formatCode>
                <c:ptCount val="6"/>
                <c:pt idx="0">
                  <c:v>12.7</c:v>
                </c:pt>
                <c:pt idx="1">
                  <c:v>9.1999999999999993</c:v>
                </c:pt>
                <c:pt idx="2">
                  <c:v>77.2</c:v>
                </c:pt>
                <c:pt idx="3">
                  <c:v>0.9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3'!$D$23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3'!$A$24:$A$29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3'!$D$24:$D$29</c:f>
              <c:numCache>
                <c:formatCode>0.0</c:formatCode>
                <c:ptCount val="6"/>
                <c:pt idx="0">
                  <c:v>4.2</c:v>
                </c:pt>
                <c:pt idx="1">
                  <c:v>1.2</c:v>
                </c:pt>
                <c:pt idx="2">
                  <c:v>93.7</c:v>
                </c:pt>
                <c:pt idx="3">
                  <c:v>0.9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3'!$E$23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3'!$A$24:$A$29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3'!$E$24:$E$29</c:f>
              <c:numCache>
                <c:formatCode>0.0</c:formatCode>
                <c:ptCount val="6"/>
                <c:pt idx="0">
                  <c:v>10.1</c:v>
                </c:pt>
                <c:pt idx="1">
                  <c:v>5.7</c:v>
                </c:pt>
                <c:pt idx="2">
                  <c:v>82.8</c:v>
                </c:pt>
                <c:pt idx="3">
                  <c:v>1.4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3'!$F$23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3'!$A$24:$A$29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3'!$F$24:$F$29</c:f>
              <c:numCache>
                <c:formatCode>0.0</c:formatCode>
                <c:ptCount val="6"/>
                <c:pt idx="0">
                  <c:v>7.7</c:v>
                </c:pt>
                <c:pt idx="1">
                  <c:v>6.2</c:v>
                </c:pt>
                <c:pt idx="2">
                  <c:v>84.5</c:v>
                </c:pt>
                <c:pt idx="3">
                  <c:v>1.5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3'!$G$23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3'!$A$24:$A$29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3'!$G$24:$G$29</c:f>
              <c:numCache>
                <c:formatCode>0.0</c:formatCode>
                <c:ptCount val="6"/>
                <c:pt idx="0">
                  <c:v>7.8</c:v>
                </c:pt>
                <c:pt idx="1">
                  <c:v>4.3</c:v>
                </c:pt>
                <c:pt idx="2">
                  <c:v>86.3</c:v>
                </c:pt>
                <c:pt idx="3">
                  <c:v>1.6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861504"/>
        <c:axId val="245862064"/>
      </c:barChart>
      <c:catAx>
        <c:axId val="24586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2064"/>
        <c:crossesAt val="0"/>
        <c:auto val="1"/>
        <c:lblAlgn val="ctr"/>
        <c:lblOffset val="100"/>
        <c:noMultiLvlLbl val="0"/>
      </c:catAx>
      <c:valAx>
        <c:axId val="245862064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150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65200764527429"/>
          <c:y val="0.91790928058487742"/>
          <c:w val="0.84434799235472568"/>
          <c:h val="8.20907194151226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526953361599E-2"/>
          <c:y val="7.9067734558931208E-2"/>
          <c:w val="0.91248006258833025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4'!$A$22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4'!$B$22:$G$22</c:f>
              <c:numCache>
                <c:formatCode>0.0</c:formatCode>
                <c:ptCount val="6"/>
                <c:pt idx="0">
                  <c:v>62.8</c:v>
                </c:pt>
                <c:pt idx="1">
                  <c:v>62.9</c:v>
                </c:pt>
                <c:pt idx="2">
                  <c:v>66.7</c:v>
                </c:pt>
                <c:pt idx="3">
                  <c:v>63.6</c:v>
                </c:pt>
                <c:pt idx="4">
                  <c:v>62.2</c:v>
                </c:pt>
                <c:pt idx="5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4'!$A$23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4'!$B$23:$G$23</c:f>
              <c:numCache>
                <c:formatCode>0.0</c:formatCode>
                <c:ptCount val="6"/>
                <c:pt idx="0">
                  <c:v>16.2</c:v>
                </c:pt>
                <c:pt idx="1">
                  <c:v>13.6</c:v>
                </c:pt>
                <c:pt idx="2">
                  <c:v>12.9</c:v>
                </c:pt>
                <c:pt idx="3">
                  <c:v>15.8</c:v>
                </c:pt>
                <c:pt idx="4">
                  <c:v>11.8</c:v>
                </c:pt>
                <c:pt idx="5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4'!$A$24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Ianuarie-februarie 2018</c:v>
                </c:pt>
                <c:pt idx="1">
                  <c:v>Ianuarie-februarie 2019</c:v>
                </c:pt>
                <c:pt idx="2">
                  <c:v>Ianuarie-februarie 2020</c:v>
                </c:pt>
                <c:pt idx="3">
                  <c:v>Ianuarie-februarie 2021</c:v>
                </c:pt>
                <c:pt idx="4">
                  <c:v>Ianuarie-februarie 2022</c:v>
                </c:pt>
                <c:pt idx="5">
                  <c:v>Ianuarie-februarie 2023</c:v>
                </c:pt>
              </c:strCache>
            </c:strRef>
          </c:cat>
          <c:val>
            <c:numRef>
              <c:f>'Figura 4'!$B$24:$G$24</c:f>
              <c:numCache>
                <c:formatCode>0.0</c:formatCode>
                <c:ptCount val="6"/>
                <c:pt idx="0">
                  <c:v>21</c:v>
                </c:pt>
                <c:pt idx="1">
                  <c:v>23.5</c:v>
                </c:pt>
                <c:pt idx="2">
                  <c:v>20.399999999999999</c:v>
                </c:pt>
                <c:pt idx="3">
                  <c:v>20.6</c:v>
                </c:pt>
                <c:pt idx="4">
                  <c:v>26</c:v>
                </c:pt>
                <c:pt idx="5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65984"/>
        <c:axId val="245866544"/>
      </c:barChart>
      <c:catAx>
        <c:axId val="245865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6544"/>
        <c:crosses val="autoZero"/>
        <c:auto val="1"/>
        <c:lblAlgn val="ctr"/>
        <c:lblOffset val="100"/>
        <c:noMultiLvlLbl val="0"/>
      </c:catAx>
      <c:valAx>
        <c:axId val="245866544"/>
        <c:scaling>
          <c:orientation val="minMax"/>
          <c:max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5984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790182943549965"/>
          <c:w val="1"/>
          <c:h val="9.2297175539624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2.2640470912009786E-2"/>
          <c:w val="0.94076377536801559"/>
          <c:h val="0.63007236245002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5'!$B$24</c:f>
              <c:strCache>
                <c:ptCount val="1"/>
                <c:pt idx="0">
                  <c:v>Ianuarie-februarie 2018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5'!$A$25:$A$47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Germania</c:v>
                </c:pt>
                <c:pt idx="3">
                  <c:v>Italia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Belarus</c:v>
                </c:pt>
                <c:pt idx="8">
                  <c:v>Polonia</c:v>
                </c:pt>
                <c:pt idx="9">
                  <c:v>Spania</c:v>
                </c:pt>
                <c:pt idx="10">
                  <c:v>Franța</c:v>
                </c:pt>
                <c:pt idx="11">
                  <c:v>Cipru</c:v>
                </c:pt>
                <c:pt idx="12">
                  <c:v>S.U.A.</c:v>
                </c:pt>
                <c:pt idx="13">
                  <c:v>Ungaria</c:v>
                </c:pt>
                <c:pt idx="14">
                  <c:v>Bulgaria</c:v>
                </c:pt>
                <c:pt idx="15">
                  <c:v>Kazahstan</c:v>
                </c:pt>
                <c:pt idx="16">
                  <c:v>Regatul Unit </c:v>
                </c:pt>
                <c:pt idx="17">
                  <c:v>Netherlands</c:v>
                </c:pt>
                <c:pt idx="18">
                  <c:v>Emiratele Arabe Unite</c:v>
                </c:pt>
                <c:pt idx="19">
                  <c:v>Elveția</c:v>
                </c:pt>
                <c:pt idx="20">
                  <c:v>Grecia</c:v>
                </c:pt>
                <c:pt idx="21">
                  <c:v>Lituania</c:v>
                </c:pt>
                <c:pt idx="22">
                  <c:v>Georgia</c:v>
                </c:pt>
              </c:strCache>
            </c:strRef>
          </c:cat>
          <c:val>
            <c:numRef>
              <c:f>'Figura 5'!$B$25:$B$47</c:f>
              <c:numCache>
                <c:formatCode>#,##0.0</c:formatCode>
                <c:ptCount val="23"/>
                <c:pt idx="0">
                  <c:v>24.0822772547635</c:v>
                </c:pt>
                <c:pt idx="1">
                  <c:v>2.5331801385516197</c:v>
                </c:pt>
                <c:pt idx="2">
                  <c:v>8.991387326438117</c:v>
                </c:pt>
                <c:pt idx="3">
                  <c:v>10.943120380425549</c:v>
                </c:pt>
                <c:pt idx="4">
                  <c:v>9.3194673618289627</c:v>
                </c:pt>
                <c:pt idx="5">
                  <c:v>4.3924955130959997</c:v>
                </c:pt>
                <c:pt idx="6">
                  <c:v>1.4311460428429883</c:v>
                </c:pt>
                <c:pt idx="7">
                  <c:v>3.607262436973492</c:v>
                </c:pt>
                <c:pt idx="8">
                  <c:v>3.2462278444141366</c:v>
                </c:pt>
                <c:pt idx="9">
                  <c:v>2.3501949104700079</c:v>
                </c:pt>
                <c:pt idx="10">
                  <c:v>2.0679762467723624</c:v>
                </c:pt>
                <c:pt idx="11">
                  <c:v>2.3614119910558441E-2</c:v>
                </c:pt>
                <c:pt idx="12">
                  <c:v>0.70535209371571117</c:v>
                </c:pt>
                <c:pt idx="13">
                  <c:v>0.27128013441246512</c:v>
                </c:pt>
                <c:pt idx="14">
                  <c:v>2.1441235366412048</c:v>
                </c:pt>
                <c:pt idx="15">
                  <c:v>0.39746367397408772</c:v>
                </c:pt>
                <c:pt idx="16">
                  <c:v>4.4531657147182262</c:v>
                </c:pt>
                <c:pt idx="17">
                  <c:v>1.691738989170319</c:v>
                </c:pt>
                <c:pt idx="18">
                  <c:v>1.2549536954500462</c:v>
                </c:pt>
                <c:pt idx="19">
                  <c:v>3.4594552658892059</c:v>
                </c:pt>
                <c:pt idx="20">
                  <c:v>1.8799027206979846</c:v>
                </c:pt>
                <c:pt idx="21">
                  <c:v>0.33518602269347142</c:v>
                </c:pt>
                <c:pt idx="22">
                  <c:v>0.88001349547744667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5'!$C$24</c:f>
              <c:strCache>
                <c:ptCount val="1"/>
                <c:pt idx="0">
                  <c:v>Ianuarie-februarie 2019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5'!$A$25:$A$47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Germania</c:v>
                </c:pt>
                <c:pt idx="3">
                  <c:v>Italia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Belarus</c:v>
                </c:pt>
                <c:pt idx="8">
                  <c:v>Polonia</c:v>
                </c:pt>
                <c:pt idx="9">
                  <c:v>Spania</c:v>
                </c:pt>
                <c:pt idx="10">
                  <c:v>Franța</c:v>
                </c:pt>
                <c:pt idx="11">
                  <c:v>Cipru</c:v>
                </c:pt>
                <c:pt idx="12">
                  <c:v>S.U.A.</c:v>
                </c:pt>
                <c:pt idx="13">
                  <c:v>Ungaria</c:v>
                </c:pt>
                <c:pt idx="14">
                  <c:v>Bulgaria</c:v>
                </c:pt>
                <c:pt idx="15">
                  <c:v>Kazahstan</c:v>
                </c:pt>
                <c:pt idx="16">
                  <c:v>Regatul Unit </c:v>
                </c:pt>
                <c:pt idx="17">
                  <c:v>Netherlands</c:v>
                </c:pt>
                <c:pt idx="18">
                  <c:v>Emiratele Arabe Unite</c:v>
                </c:pt>
                <c:pt idx="19">
                  <c:v>Elveția</c:v>
                </c:pt>
                <c:pt idx="20">
                  <c:v>Grecia</c:v>
                </c:pt>
                <c:pt idx="21">
                  <c:v>Lituania</c:v>
                </c:pt>
                <c:pt idx="22">
                  <c:v>Georgia</c:v>
                </c:pt>
              </c:strCache>
            </c:strRef>
          </c:cat>
          <c:val>
            <c:numRef>
              <c:f>'Figura 5'!$C$25:$C$47</c:f>
              <c:numCache>
                <c:formatCode>#,##0.0</c:formatCode>
                <c:ptCount val="23"/>
                <c:pt idx="0">
                  <c:v>25.777799360681712</c:v>
                </c:pt>
                <c:pt idx="1">
                  <c:v>2.2778377391646738</c:v>
                </c:pt>
                <c:pt idx="2">
                  <c:v>8.671867425987859</c:v>
                </c:pt>
                <c:pt idx="3">
                  <c:v>12.191679592440426</c:v>
                </c:pt>
                <c:pt idx="4">
                  <c:v>7.9125885909544893</c:v>
                </c:pt>
                <c:pt idx="5">
                  <c:v>10.013735133146499</c:v>
                </c:pt>
                <c:pt idx="6">
                  <c:v>1.6772789948754665</c:v>
                </c:pt>
                <c:pt idx="7">
                  <c:v>3.0035515989681691</c:v>
                </c:pt>
                <c:pt idx="8">
                  <c:v>3.5422143633540815</c:v>
                </c:pt>
                <c:pt idx="9">
                  <c:v>1.4138191247497116</c:v>
                </c:pt>
                <c:pt idx="10">
                  <c:v>1.5675332378402709</c:v>
                </c:pt>
                <c:pt idx="11">
                  <c:v>0.88377854663559219</c:v>
                </c:pt>
                <c:pt idx="12">
                  <c:v>0.73154016032809699</c:v>
                </c:pt>
                <c:pt idx="13">
                  <c:v>0.21414242442112361</c:v>
                </c:pt>
                <c:pt idx="14">
                  <c:v>1.31346415756879</c:v>
                </c:pt>
                <c:pt idx="15">
                  <c:v>0.15803650517025891</c:v>
                </c:pt>
                <c:pt idx="16">
                  <c:v>1.5993174894371889</c:v>
                </c:pt>
                <c:pt idx="17">
                  <c:v>1.4315477887980705</c:v>
                </c:pt>
                <c:pt idx="18">
                  <c:v>6.4200632269780331E-2</c:v>
                </c:pt>
                <c:pt idx="19">
                  <c:v>3.3619157707081326</c:v>
                </c:pt>
                <c:pt idx="20">
                  <c:v>1.3022826979836741</c:v>
                </c:pt>
                <c:pt idx="21">
                  <c:v>0.32047321576222415</c:v>
                </c:pt>
                <c:pt idx="22">
                  <c:v>0.54647490184727465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5'!$D$24</c:f>
              <c:strCache>
                <c:ptCount val="1"/>
                <c:pt idx="0">
                  <c:v>Ianuarie-februarie 2020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5'!$A$25:$A$47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Germania</c:v>
                </c:pt>
                <c:pt idx="3">
                  <c:v>Italia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Belarus</c:v>
                </c:pt>
                <c:pt idx="8">
                  <c:v>Polonia</c:v>
                </c:pt>
                <c:pt idx="9">
                  <c:v>Spania</c:v>
                </c:pt>
                <c:pt idx="10">
                  <c:v>Franța</c:v>
                </c:pt>
                <c:pt idx="11">
                  <c:v>Cipru</c:v>
                </c:pt>
                <c:pt idx="12">
                  <c:v>S.U.A.</c:v>
                </c:pt>
                <c:pt idx="13">
                  <c:v>Ungaria</c:v>
                </c:pt>
                <c:pt idx="14">
                  <c:v>Bulgaria</c:v>
                </c:pt>
                <c:pt idx="15">
                  <c:v>Kazahstan</c:v>
                </c:pt>
                <c:pt idx="16">
                  <c:v>Regatul Unit </c:v>
                </c:pt>
                <c:pt idx="17">
                  <c:v>Netherlands</c:v>
                </c:pt>
                <c:pt idx="18">
                  <c:v>Emiratele Arabe Unite</c:v>
                </c:pt>
                <c:pt idx="19">
                  <c:v>Elveția</c:v>
                </c:pt>
                <c:pt idx="20">
                  <c:v>Grecia</c:v>
                </c:pt>
                <c:pt idx="21">
                  <c:v>Lituania</c:v>
                </c:pt>
                <c:pt idx="22">
                  <c:v>Georgia</c:v>
                </c:pt>
              </c:strCache>
            </c:strRef>
          </c:cat>
          <c:val>
            <c:numRef>
              <c:f>'Figura 5'!$D$25:$D$47</c:f>
              <c:numCache>
                <c:formatCode>#,##0.0</c:formatCode>
                <c:ptCount val="23"/>
                <c:pt idx="0">
                  <c:v>25.140567908310068</c:v>
                </c:pt>
                <c:pt idx="1">
                  <c:v>2.6060152179463154</c:v>
                </c:pt>
                <c:pt idx="2">
                  <c:v>9.7232772280877224</c:v>
                </c:pt>
                <c:pt idx="3">
                  <c:v>9.656596446306553</c:v>
                </c:pt>
                <c:pt idx="4">
                  <c:v>7.1479225210440713</c:v>
                </c:pt>
                <c:pt idx="5">
                  <c:v>7.2053429546018979</c:v>
                </c:pt>
                <c:pt idx="6">
                  <c:v>3.4659712121795923</c:v>
                </c:pt>
                <c:pt idx="7">
                  <c:v>2.3105387024667725</c:v>
                </c:pt>
                <c:pt idx="8">
                  <c:v>4.3718604787957567</c:v>
                </c:pt>
                <c:pt idx="9">
                  <c:v>2.130213454420721</c:v>
                </c:pt>
                <c:pt idx="10">
                  <c:v>1.9883155884410004</c:v>
                </c:pt>
                <c:pt idx="11">
                  <c:v>0.69879027696586538</c:v>
                </c:pt>
                <c:pt idx="12">
                  <c:v>0.79487925186186437</c:v>
                </c:pt>
                <c:pt idx="13">
                  <c:v>0.68506515602705886</c:v>
                </c:pt>
                <c:pt idx="14">
                  <c:v>2.2276862863740798</c:v>
                </c:pt>
                <c:pt idx="15">
                  <c:v>0.49191030141491038</c:v>
                </c:pt>
                <c:pt idx="16">
                  <c:v>1.7687108801637719</c:v>
                </c:pt>
                <c:pt idx="17">
                  <c:v>1.2069413246495602</c:v>
                </c:pt>
                <c:pt idx="18">
                  <c:v>2.8975988969568968E-2</c:v>
                </c:pt>
                <c:pt idx="19">
                  <c:v>3.9553322843153147</c:v>
                </c:pt>
                <c:pt idx="20">
                  <c:v>1.7296141600973938</c:v>
                </c:pt>
                <c:pt idx="21">
                  <c:v>0.25561653890394009</c:v>
                </c:pt>
                <c:pt idx="22">
                  <c:v>0.80012039435055615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5'!$E$24</c:f>
              <c:strCache>
                <c:ptCount val="1"/>
                <c:pt idx="0">
                  <c:v>Ianuarie-februarie 2021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5'!$A$25:$A$47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Germania</c:v>
                </c:pt>
                <c:pt idx="3">
                  <c:v>Italia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Belarus</c:v>
                </c:pt>
                <c:pt idx="8">
                  <c:v>Polonia</c:v>
                </c:pt>
                <c:pt idx="9">
                  <c:v>Spania</c:v>
                </c:pt>
                <c:pt idx="10">
                  <c:v>Franța</c:v>
                </c:pt>
                <c:pt idx="11">
                  <c:v>Cipru</c:v>
                </c:pt>
                <c:pt idx="12">
                  <c:v>S.U.A.</c:v>
                </c:pt>
                <c:pt idx="13">
                  <c:v>Ungaria</c:v>
                </c:pt>
                <c:pt idx="14">
                  <c:v>Bulgaria</c:v>
                </c:pt>
                <c:pt idx="15">
                  <c:v>Kazahstan</c:v>
                </c:pt>
                <c:pt idx="16">
                  <c:v>Regatul Unit </c:v>
                </c:pt>
                <c:pt idx="17">
                  <c:v>Netherlands</c:v>
                </c:pt>
                <c:pt idx="18">
                  <c:v>Emiratele Arabe Unite</c:v>
                </c:pt>
                <c:pt idx="19">
                  <c:v>Elveția</c:v>
                </c:pt>
                <c:pt idx="20">
                  <c:v>Grecia</c:v>
                </c:pt>
                <c:pt idx="21">
                  <c:v>Lituania</c:v>
                </c:pt>
                <c:pt idx="22">
                  <c:v>Georgia</c:v>
                </c:pt>
              </c:strCache>
            </c:strRef>
          </c:cat>
          <c:val>
            <c:numRef>
              <c:f>'Figura 5'!$E$25:$E$47</c:f>
              <c:numCache>
                <c:formatCode>#,##0.0</c:formatCode>
                <c:ptCount val="23"/>
                <c:pt idx="0">
                  <c:v>26.505388666857176</c:v>
                </c:pt>
                <c:pt idx="1">
                  <c:v>3.220524879074687</c:v>
                </c:pt>
                <c:pt idx="2">
                  <c:v>11.001936652337346</c:v>
                </c:pt>
                <c:pt idx="3">
                  <c:v>6.0958447418918826</c:v>
                </c:pt>
                <c:pt idx="4">
                  <c:v>9.3482715243888119</c:v>
                </c:pt>
                <c:pt idx="5">
                  <c:v>10.71729469817013</c:v>
                </c:pt>
                <c:pt idx="6">
                  <c:v>3.0633614984569233</c:v>
                </c:pt>
                <c:pt idx="7">
                  <c:v>2.6094988065598614</c:v>
                </c:pt>
                <c:pt idx="8">
                  <c:v>4.1264503311951684</c:v>
                </c:pt>
                <c:pt idx="9">
                  <c:v>1.6311360658592067</c:v>
                </c:pt>
                <c:pt idx="10">
                  <c:v>1.4556750928912172</c:v>
                </c:pt>
                <c:pt idx="11">
                  <c:v>0.30403370950281072</c:v>
                </c:pt>
                <c:pt idx="12">
                  <c:v>0.61747044326973</c:v>
                </c:pt>
                <c:pt idx="13">
                  <c:v>1.7009197454928844</c:v>
                </c:pt>
                <c:pt idx="14">
                  <c:v>1.6276865601398249</c:v>
                </c:pt>
                <c:pt idx="15">
                  <c:v>0.27333048116698533</c:v>
                </c:pt>
                <c:pt idx="16">
                  <c:v>1.4262418086826649</c:v>
                </c:pt>
                <c:pt idx="17">
                  <c:v>1.5985716915184005</c:v>
                </c:pt>
                <c:pt idx="18">
                  <c:v>2.7889994412283209E-2</c:v>
                </c:pt>
                <c:pt idx="19">
                  <c:v>1.5657443552642463</c:v>
                </c:pt>
                <c:pt idx="20">
                  <c:v>1.7119276405359998</c:v>
                </c:pt>
                <c:pt idx="21">
                  <c:v>0.22690164718520608</c:v>
                </c:pt>
                <c:pt idx="22">
                  <c:v>0.70522019892997645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5'!$F$24</c:f>
              <c:strCache>
                <c:ptCount val="1"/>
                <c:pt idx="0">
                  <c:v>Ianuarie-februarie 2022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5'!$A$25:$A$47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Germania</c:v>
                </c:pt>
                <c:pt idx="3">
                  <c:v>Italia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Belarus</c:v>
                </c:pt>
                <c:pt idx="8">
                  <c:v>Polonia</c:v>
                </c:pt>
                <c:pt idx="9">
                  <c:v>Spania</c:v>
                </c:pt>
                <c:pt idx="10">
                  <c:v>Franța</c:v>
                </c:pt>
                <c:pt idx="11">
                  <c:v>Cipru</c:v>
                </c:pt>
                <c:pt idx="12">
                  <c:v>S.U.A.</c:v>
                </c:pt>
                <c:pt idx="13">
                  <c:v>Ungaria</c:v>
                </c:pt>
                <c:pt idx="14">
                  <c:v>Bulgaria</c:v>
                </c:pt>
                <c:pt idx="15">
                  <c:v>Kazahstan</c:v>
                </c:pt>
                <c:pt idx="16">
                  <c:v>Regatul Unit </c:v>
                </c:pt>
                <c:pt idx="17">
                  <c:v>Netherlands</c:v>
                </c:pt>
                <c:pt idx="18">
                  <c:v>Emiratele Arabe Unite</c:v>
                </c:pt>
                <c:pt idx="19">
                  <c:v>Elveția</c:v>
                </c:pt>
                <c:pt idx="20">
                  <c:v>Grecia</c:v>
                </c:pt>
                <c:pt idx="21">
                  <c:v>Lituania</c:v>
                </c:pt>
                <c:pt idx="22">
                  <c:v>Georgia</c:v>
                </c:pt>
              </c:strCache>
            </c:strRef>
          </c:cat>
          <c:val>
            <c:numRef>
              <c:f>'Figura 5'!$F$25:$F$47</c:f>
              <c:numCache>
                <c:formatCode>#,##0.0</c:formatCode>
                <c:ptCount val="23"/>
                <c:pt idx="0">
                  <c:v>28.011795675689928</c:v>
                </c:pt>
                <c:pt idx="1">
                  <c:v>2.3244442713936451</c:v>
                </c:pt>
                <c:pt idx="2">
                  <c:v>6.2450412224241454</c:v>
                </c:pt>
                <c:pt idx="3">
                  <c:v>9.543552822816288</c:v>
                </c:pt>
                <c:pt idx="4">
                  <c:v>7.3152524690824601</c:v>
                </c:pt>
                <c:pt idx="5">
                  <c:v>13.832243979234683</c:v>
                </c:pt>
                <c:pt idx="6">
                  <c:v>2.1834831735482534</c:v>
                </c:pt>
                <c:pt idx="7">
                  <c:v>1.5658977345519602</c:v>
                </c:pt>
                <c:pt idx="8">
                  <c:v>2.7802770900467295</c:v>
                </c:pt>
                <c:pt idx="9">
                  <c:v>1.5745305735888493</c:v>
                </c:pt>
                <c:pt idx="10">
                  <c:v>1.2351377536875718</c:v>
                </c:pt>
                <c:pt idx="11">
                  <c:v>1.2359203828778609</c:v>
                </c:pt>
                <c:pt idx="12">
                  <c:v>0.72636605257172226</c:v>
                </c:pt>
                <c:pt idx="13">
                  <c:v>1.6486339524052465</c:v>
                </c:pt>
                <c:pt idx="14">
                  <c:v>3.1687331812397606</c:v>
                </c:pt>
                <c:pt idx="15">
                  <c:v>0.17527571834201022</c:v>
                </c:pt>
                <c:pt idx="16">
                  <c:v>2.5292787590465853</c:v>
                </c:pt>
                <c:pt idx="17">
                  <c:v>0.81609516543126837</c:v>
                </c:pt>
                <c:pt idx="18">
                  <c:v>6.6316890666843764E-2</c:v>
                </c:pt>
                <c:pt idx="19">
                  <c:v>3.8375874396650254</c:v>
                </c:pt>
                <c:pt idx="20">
                  <c:v>1.9436142236224925</c:v>
                </c:pt>
                <c:pt idx="21">
                  <c:v>0.20881489747856152</c:v>
                </c:pt>
                <c:pt idx="22">
                  <c:v>0.44935818375172398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5'!$G$24</c:f>
              <c:strCache>
                <c:ptCount val="1"/>
                <c:pt idx="0">
                  <c:v>Ianuarie-februarie 2023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5'!$A$25:$A$47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Germania</c:v>
                </c:pt>
                <c:pt idx="3">
                  <c:v>Italia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Belarus</c:v>
                </c:pt>
                <c:pt idx="8">
                  <c:v>Polonia</c:v>
                </c:pt>
                <c:pt idx="9">
                  <c:v>Spania</c:v>
                </c:pt>
                <c:pt idx="10">
                  <c:v>Franța</c:v>
                </c:pt>
                <c:pt idx="11">
                  <c:v>Cipru</c:v>
                </c:pt>
                <c:pt idx="12">
                  <c:v>S.U.A.</c:v>
                </c:pt>
                <c:pt idx="13">
                  <c:v>Ungaria</c:v>
                </c:pt>
                <c:pt idx="14">
                  <c:v>Bulgaria</c:v>
                </c:pt>
                <c:pt idx="15">
                  <c:v>Kazahstan</c:v>
                </c:pt>
                <c:pt idx="16">
                  <c:v>Regatul Unit </c:v>
                </c:pt>
                <c:pt idx="17">
                  <c:v>Netherlands</c:v>
                </c:pt>
                <c:pt idx="18">
                  <c:v>Emiratele Arabe Unite</c:v>
                </c:pt>
                <c:pt idx="19">
                  <c:v>Elveția</c:v>
                </c:pt>
                <c:pt idx="20">
                  <c:v>Grecia</c:v>
                </c:pt>
                <c:pt idx="21">
                  <c:v>Lituania</c:v>
                </c:pt>
                <c:pt idx="22">
                  <c:v>Georgia</c:v>
                </c:pt>
              </c:strCache>
            </c:strRef>
          </c:cat>
          <c:val>
            <c:numRef>
              <c:f>'Figura 5'!$G$25:$G$47</c:f>
              <c:numCache>
                <c:formatCode>#,##0.0</c:formatCode>
                <c:ptCount val="23"/>
                <c:pt idx="0">
                  <c:v>33.598331084964379</c:v>
                </c:pt>
                <c:pt idx="1">
                  <c:v>15.959944745548787</c:v>
                </c:pt>
                <c:pt idx="2">
                  <c:v>5.6861677049854054</c:v>
                </c:pt>
                <c:pt idx="3">
                  <c:v>5.6250963928792954</c:v>
                </c:pt>
                <c:pt idx="4">
                  <c:v>4.0207318559672931</c:v>
                </c:pt>
                <c:pt idx="5">
                  <c:v>4.0137217609586475</c:v>
                </c:pt>
                <c:pt idx="6">
                  <c:v>3.3333663667523141</c:v>
                </c:pt>
                <c:pt idx="7">
                  <c:v>2.8953269131788195</c:v>
                </c:pt>
                <c:pt idx="8">
                  <c:v>2.5652004363003607</c:v>
                </c:pt>
                <c:pt idx="9">
                  <c:v>1.9540266178357253</c:v>
                </c:pt>
                <c:pt idx="10">
                  <c:v>1.6204920720062896</c:v>
                </c:pt>
                <c:pt idx="11">
                  <c:v>1.604478573025474</c:v>
                </c:pt>
                <c:pt idx="12">
                  <c:v>1.5837513835260446</c:v>
                </c:pt>
                <c:pt idx="13">
                  <c:v>1.4378573596060429</c:v>
                </c:pt>
                <c:pt idx="14">
                  <c:v>1.3851603909388146</c:v>
                </c:pt>
                <c:pt idx="15">
                  <c:v>1.354721928722344</c:v>
                </c:pt>
                <c:pt idx="16">
                  <c:v>1.0969968662549452</c:v>
                </c:pt>
                <c:pt idx="17">
                  <c:v>0.90294438472379357</c:v>
                </c:pt>
                <c:pt idx="18">
                  <c:v>0.7749857194412697</c:v>
                </c:pt>
                <c:pt idx="19">
                  <c:v>0.72260062345637033</c:v>
                </c:pt>
                <c:pt idx="20">
                  <c:v>0.67811581285446543</c:v>
                </c:pt>
                <c:pt idx="21">
                  <c:v>0.57668394388470856</c:v>
                </c:pt>
                <c:pt idx="22">
                  <c:v>0.45760114471069413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762464"/>
        <c:axId val="245763024"/>
      </c:barChart>
      <c:catAx>
        <c:axId val="2457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3024"/>
        <c:crosses val="autoZero"/>
        <c:auto val="1"/>
        <c:lblAlgn val="ctr"/>
        <c:lblOffset val="100"/>
        <c:noMultiLvlLbl val="0"/>
      </c:catAx>
      <c:valAx>
        <c:axId val="245763024"/>
        <c:scaling>
          <c:orientation val="minMax"/>
          <c:max val="35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2464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8.67340381154489E-2"/>
          <c:y val="0.88790606781628933"/>
          <c:w val="0.905913318264431"/>
          <c:h val="8.1852478720533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 baseline="0">
                <a:solidFill>
                  <a:sysClr val="windowText" lastClr="000000"/>
                </a:solidFill>
              </a:rPr>
              <a:t>Ianuarie - februarie </a:t>
            </a:r>
            <a:r>
              <a:rPr lang="en-US" sz="800" b="1" baseline="0">
                <a:solidFill>
                  <a:sysClr val="windowText" lastClr="000000"/>
                </a:solidFill>
              </a:rPr>
              <a:t>202</a:t>
            </a:r>
            <a:r>
              <a:rPr lang="ro-RO" sz="800" b="1" baseline="0">
                <a:solidFill>
                  <a:sysClr val="windowText" lastClr="000000"/>
                </a:solidFill>
              </a:rPr>
              <a:t>2</a:t>
            </a:r>
            <a:endParaRPr lang="en-US" sz="8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3412267931882589"/>
          <c:y val="3.66584067016402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50134653080686"/>
          <c:y val="0.15936408764121876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6'!$B$28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8AF-449D-A134-DC727067AB63}"/>
              </c:ext>
            </c:extLst>
          </c:dPt>
          <c:dPt>
            <c:idx val="12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4F9-42DB-8F03-9093B739ED79}"/>
              </c:ext>
            </c:extLst>
          </c:dPt>
          <c:dLbls>
            <c:dLbl>
              <c:idx val="0"/>
              <c:layout>
                <c:manualLayout>
                  <c:x val="-7.5752691151062104E-2"/>
                  <c:y val="3.1530167984525438E-2"/>
                </c:manualLayout>
              </c:layout>
              <c:tx>
                <c:rich>
                  <a:bodyPr/>
                  <a:lstStyle/>
                  <a:p>
                    <a:fld id="{078A6092-7B01-4BD4-AEE6-80774763BD6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3A7F1F6-5B81-4C8D-B7B3-FAEA77C00CE7}" type="VALUE">
                      <a:rPr lang="en-US" baseline="0"/>
                      <a:pPr/>
                      <a:t>[VALUE]</a:t>
                    </a:fld>
                    <a:fld id="{AAB3D8C6-23AC-4BC9-9264-821A48E254AC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63065297200284"/>
                      <c:h val="0.153456787430657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1.2679609847957404E-2"/>
                  <c:y val="6.1131526766549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3111955423825"/>
                      <c:h val="0.171723922321344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2.5207461811676293E-2"/>
                  <c:y val="4.4485461410232345E-2"/>
                </c:manualLayout>
              </c:layout>
              <c:tx>
                <c:rich>
                  <a:bodyPr/>
                  <a:lstStyle/>
                  <a:p>
                    <a:fld id="{F7A68DAE-B8ED-44F6-B8B2-BC7338FB017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19,9</a:t>
                    </a:r>
                    <a:fld id="{F679F953-50AE-4F85-93BE-5DD58BF94C6B}" type="SERIESNAME">
                      <a:rPr lang="en-US" baseline="0"/>
                      <a:pPr/>
                      <a:t>[SERIES NAME]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43821819073953"/>
                      <c:h val="0.214472571343803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4.4014964345544605E-3"/>
                  <c:y val="-5.8979076706119946E-2"/>
                </c:manualLayout>
              </c:layout>
              <c:tx>
                <c:rich>
                  <a:bodyPr/>
                  <a:lstStyle/>
                  <a:p>
                    <a:fld id="{B6BA53A3-9FE7-4887-84F1-A57FB7197C1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8DDB834-FB27-4986-826C-9ADA93039E4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48203846264358"/>
                      <c:h val="0.150426067254059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6.8379482059302166E-2"/>
                  <c:y val="-3.6100926553902936E-2"/>
                </c:manualLayout>
              </c:layout>
              <c:tx>
                <c:rich>
                  <a:bodyPr/>
                  <a:lstStyle/>
                  <a:p>
                    <a:fld id="{A04E0A2F-5474-4393-B0D9-A4B7B939EDF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44E847EE-0CC9-41E1-AF6E-F8CA0394128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903215682115"/>
                      <c:h val="0.20136346589028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0.15980849434197469"/>
                  <c:y val="-1.1419569127989659E-3"/>
                </c:manualLayout>
              </c:layout>
              <c:tx>
                <c:rich>
                  <a:bodyPr/>
                  <a:lstStyle/>
                  <a:p>
                    <a:fld id="{A29A42AD-99BB-46C3-9603-53897557796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4B902EA-E837-4799-8CE1-3EB35DB2447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40918223230092"/>
                      <c:h val="0.17921679215825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6"/>
              <c:layout>
                <c:manualLayout>
                  <c:x val="7.1372139073713273E-2"/>
                  <c:y val="1.2580573654121139E-2"/>
                </c:manualLayout>
              </c:layout>
              <c:tx>
                <c:rich>
                  <a:bodyPr/>
                  <a:lstStyle/>
                  <a:p>
                    <a:fld id="{7939CD32-C50E-4E81-A886-11C71185819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3AC6FB78-07F6-49E5-9CFF-5AECF4471D1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2308013870364"/>
                      <c:h val="0.1713725787542796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7"/>
              <c:layout>
                <c:manualLayout>
                  <c:x val="2.1096137515877279E-2"/>
                  <c:y val="2.8222107612353962E-2"/>
                </c:manualLayout>
              </c:layout>
              <c:tx>
                <c:rich>
                  <a:bodyPr/>
                  <a:lstStyle/>
                  <a:p>
                    <a:fld id="{D9F5DF4C-9F8E-4A93-81B3-004184F5D6C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10,2%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896191530792"/>
                      <c:h val="0.170382755900707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1.68659869498506E-4"/>
                  <c:y val="4.9600412360247675E-2"/>
                </c:manualLayout>
              </c:layout>
              <c:tx>
                <c:rich>
                  <a:bodyPr/>
                  <a:lstStyle/>
                  <a:p>
                    <a:fld id="{B5E6206E-BEB3-44E5-9460-91AD6648FE0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D874DA5-35FD-4165-9983-BF3E7398233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54007252049963"/>
                      <c:h val="0.15239105456364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-1.0535011674490762E-2"/>
                  <c:y val="-3.554932627405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10"/>
              <c:layout>
                <c:manualLayout>
                  <c:x val="2.3299139239942548E-2"/>
                  <c:y val="-0.130307335767988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1"/>
              <c:layout>
                <c:manualLayout>
                  <c:x val="0.13205708848513706"/>
                  <c:y val="-0.165225070079416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AF-449D-A134-DC727067AB63}"/>
                </c:ext>
              </c:extLst>
            </c:dLbl>
            <c:dLbl>
              <c:idx val="12"/>
              <c:layout>
                <c:manualLayout>
                  <c:x val="0.19974156253918782"/>
                  <c:y val="-3.6366243309713296E-2"/>
                </c:manualLayout>
              </c:layout>
              <c:tx>
                <c:rich>
                  <a:bodyPr/>
                  <a:lstStyle/>
                  <a:p>
                    <a:fld id="{CADC81DF-92F6-4EA5-A335-8868DF40E48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16DEADA-94A4-4FEA-9868-E023ACB3A37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37597996636009"/>
                      <c:h val="8.917256228002826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84F9-42DB-8F03-9093B739ED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6'!$A$29:$A$41</c:f>
              <c:strCache>
                <c:ptCount val="13"/>
                <c:pt idx="0">
                  <c:v>Maşini şi aparate electrice </c:v>
                </c:pt>
                <c:pt idx="1">
                  <c:v>Petrol, produse petroliere</c:v>
                </c:pt>
                <c:pt idx="2">
                  <c:v>Cereale şi preparate pe bază de cereale</c:v>
                </c:pt>
                <c:pt idx="3">
                  <c:v>Legume şi fructe</c:v>
                </c:pt>
                <c:pt idx="4">
                  <c:v>Grăsimi şi uleiuri vegetale </c:v>
                </c:pt>
                <c:pt idx="5">
                  <c:v>Îmbrăcăminte şi accesorii</c:v>
                </c:pt>
                <c:pt idx="6">
                  <c:v>Băuturi alcoolice şi nealcoolice</c:v>
                </c:pt>
                <c:pt idx="7">
                  <c:v>Seminţe şi fructe oleaginoase</c:v>
                </c:pt>
                <c:pt idx="8">
                  <c:v>Mobilă şi părţile ei</c:v>
                </c:pt>
                <c:pt idx="9">
                  <c:v>Articole din minerale nemetalice</c:v>
                </c:pt>
                <c:pt idx="10">
                  <c:v>Vehicule rutiere </c:v>
                </c:pt>
                <c:pt idx="11">
                  <c:v>Fire, tesături, articole textile </c:v>
                </c:pt>
                <c:pt idx="12">
                  <c:v>Alte mărfuri</c:v>
                </c:pt>
              </c:strCache>
            </c:strRef>
          </c:cat>
          <c:val>
            <c:numRef>
              <c:f>'Figura 6'!$B$29:$B$41</c:f>
              <c:numCache>
                <c:formatCode>0.0</c:formatCode>
                <c:ptCount val="13"/>
                <c:pt idx="0">
                  <c:v>13.7</c:v>
                </c:pt>
                <c:pt idx="1">
                  <c:v>0.2</c:v>
                </c:pt>
                <c:pt idx="2" formatCode="General">
                  <c:v>19.899999999999999</c:v>
                </c:pt>
                <c:pt idx="3">
                  <c:v>9.9</c:v>
                </c:pt>
                <c:pt idx="4">
                  <c:v>8.1</c:v>
                </c:pt>
                <c:pt idx="5">
                  <c:v>6.8</c:v>
                </c:pt>
                <c:pt idx="6">
                  <c:v>3.5</c:v>
                </c:pt>
                <c:pt idx="7">
                  <c:v>10.199999999999999</c:v>
                </c:pt>
                <c:pt idx="8">
                  <c:v>3.8</c:v>
                </c:pt>
                <c:pt idx="9">
                  <c:v>1.9</c:v>
                </c:pt>
                <c:pt idx="10">
                  <c:v>2</c:v>
                </c:pt>
                <c:pt idx="11">
                  <c:v>2.4</c:v>
                </c:pt>
                <c:pt idx="12" formatCode="#,##0.0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februarie 2023</a:t>
            </a:r>
            <a:endPara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376400737099909"/>
          <c:y val="9.07541579098449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6'!$B$43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C1F-4FBA-8D74-9AD92DA2B96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BE68-4648-9E21-F0C123FEF414}"/>
              </c:ext>
            </c:extLst>
          </c:dPt>
          <c:dLbls>
            <c:dLbl>
              <c:idx val="0"/>
              <c:layout>
                <c:manualLayout>
                  <c:x val="-8.4266393397282063E-2"/>
                  <c:y val="3.306344770847813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EB7474A-5080-4588-8AAD-F5517318FB01}" type="CATEGORYNAME">
                      <a:rPr lang="en-US"/>
                      <a:pPr>
                        <a:defRPr sz="8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/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20B37CC-EE83-4DB9-B05E-D451A9591732}" type="VALUE">
                      <a:rPr lang="en-US" baseline="0"/>
                      <a:pPr>
                        <a:defRPr sz="8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682325163386422"/>
                      <c:h val="0.171268015428991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4.7657620872034658E-2"/>
                  <c:y val="-5.5401345292725938E-2"/>
                </c:manualLayout>
              </c:layout>
              <c:tx>
                <c:rich>
                  <a:bodyPr/>
                  <a:lstStyle/>
                  <a:p>
                    <a:fld id="{49D671E3-94DF-4DA3-8AC4-883C52E46F04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F0DAF2AD-1A31-4A98-9027-CC23D79C9F9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0784612146095"/>
                      <c:h val="0.178079226415214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1.4328758263180502E-2"/>
                  <c:y val="-0.1319864937189847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BFF1D45-2FC3-474D-8C74-9654DA90AA63}" type="CATEGORYNAME">
                      <a:rPr lang="en-US"/>
                      <a:pPr>
                        <a:defRPr sz="8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/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85141323-4C5C-40BD-A63D-71D9E3989DD7}" type="VALUE">
                      <a:rPr lang="en-US" baseline="0"/>
                      <a:pPr>
                        <a:defRPr sz="8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510906194275074"/>
                      <c:h val="0.218029782417116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6.3795245555234525E-2"/>
                  <c:y val="-0.1334633548409479"/>
                </c:manualLayout>
              </c:layout>
              <c:tx>
                <c:rich>
                  <a:bodyPr/>
                  <a:lstStyle/>
                  <a:p>
                    <a:fld id="{62170C0B-DC77-47B4-ACEE-E2F057E5C25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</a:p>
                  <a:p>
                    <a:fld id="{FF1114C1-C8D1-43D8-A327-715A2D31F08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54084848309091"/>
                      <c:h val="0.1791741552482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0.20158226781514593"/>
                  <c:y val="-2.4949431906835559E-2"/>
                </c:manualLayout>
              </c:layout>
              <c:tx>
                <c:rich>
                  <a:bodyPr/>
                  <a:lstStyle/>
                  <a:p>
                    <a:fld id="{69E85555-3FF4-4F2D-AC4E-1309210822F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4AEEAB1E-C304-42BF-9C52-4495F5C5775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00800018020991"/>
                      <c:h val="0.159431963556861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0.25406578687715203"/>
                  <c:y val="3.4896665200924833E-2"/>
                </c:manualLayout>
              </c:layout>
              <c:tx>
                <c:rich>
                  <a:bodyPr/>
                  <a:lstStyle/>
                  <a:p>
                    <a:fld id="{B907A384-0225-49BF-85B8-93B33D6B1DAA}" type="CATEGORYNAME">
                      <a:rPr lang="en-US"/>
                      <a:pPr/>
                      <a:t>[CATEGORY NAME]</a:t>
                    </a:fld>
                    <a:endParaRPr lang="en-US"/>
                  </a:p>
                  <a:p>
                    <a:r>
                      <a:rPr lang="en-US" baseline="0"/>
                      <a:t> </a:t>
                    </a:r>
                    <a:fld id="{E130E29A-A2D1-49F0-B11D-72D226E9AB9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3947376120583"/>
                      <c:h val="0.151926167314553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0.15344432703864824"/>
                  <c:y val="0.10172321639899143"/>
                </c:manualLayout>
              </c:layout>
              <c:tx>
                <c:rich>
                  <a:bodyPr/>
                  <a:lstStyle/>
                  <a:p>
                    <a:fld id="{D535517A-0A98-4FBB-B5C2-7B26A3CFAE1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81D88EB6-0288-41C2-966D-52F72967091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71289270789085"/>
                      <c:h val="0.166587799665441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5.1569905342826405E-2"/>
                  <c:y val="0.1160529936594844"/>
                </c:manualLayout>
              </c:layout>
              <c:tx>
                <c:rich>
                  <a:bodyPr/>
                  <a:lstStyle/>
                  <a:p>
                    <a:fld id="{C094BE2D-F3A7-41BA-B51E-DC47FCE0ED2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142B71CE-9C07-4CCB-B80C-D38BF7266305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18801044906701"/>
                      <c:h val="0.15567426762959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1.1980663601047964E-2"/>
                  <c:y val="7.4825458517142091E-2"/>
                </c:manualLayout>
              </c:layout>
              <c:tx>
                <c:rich>
                  <a:bodyPr/>
                  <a:lstStyle/>
                  <a:p>
                    <a:fld id="{E442F332-D661-4F9C-A78C-B1F6C19D509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28F078F4-E920-466A-86FD-E60E0411196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86858478008307"/>
                      <c:h val="0.136952940055126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1.519259085259379E-3"/>
                  <c:y val="-1.3475368444943142E-3"/>
                </c:manualLayout>
              </c:layout>
              <c:tx>
                <c:rich>
                  <a:bodyPr/>
                  <a:lstStyle/>
                  <a:p>
                    <a:fld id="{4A652F1E-8CF9-4A96-B28F-F172738262D3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E1B1CBA5-5078-4E2A-9B4C-5FD7F31FA64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81760790520752"/>
                      <c:h val="0.16315101637487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4.4851589870542663E-2"/>
                  <c:y val="-9.1214201619881127E-2"/>
                </c:manualLayout>
              </c:layout>
              <c:tx>
                <c:rich>
                  <a:bodyPr/>
                  <a:lstStyle/>
                  <a:p>
                    <a:fld id="{7C3892F9-4389-4572-80A3-63252CC590EC}" type="CATEGORYNAME">
                      <a:rPr lang="en-US"/>
                      <a:pPr/>
                      <a:t>[CATEGORY NAME]</a:t>
                    </a:fld>
                    <a:endParaRPr lang="en-US"/>
                  </a:p>
                  <a:p>
                    <a:r>
                      <a:rPr lang="en-US" baseline="0"/>
                      <a:t> </a:t>
                    </a:r>
                    <a:fld id="{AE45E1C9-7865-4AE1-B3D3-56180128F23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34120232626121"/>
                      <c:h val="0.194426546189823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0.13252235857962011"/>
                  <c:y val="-0.17664704463893108"/>
                </c:manualLayout>
              </c:layout>
              <c:tx>
                <c:rich>
                  <a:bodyPr/>
                  <a:lstStyle/>
                  <a:p>
                    <a:fld id="{B14A3017-4382-463D-8A77-703BC985E26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24D2EFC8-2F88-48AB-BF95-C8ADA92DA68E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4C1F-4FBA-8D74-9AD92DA2B96A}"/>
                </c:ext>
              </c:extLst>
            </c:dLbl>
            <c:dLbl>
              <c:idx val="12"/>
              <c:layout>
                <c:manualLayout>
                  <c:x val="0.17428057800771227"/>
                  <c:y val="-5.6715876243739964E-2"/>
                </c:manualLayout>
              </c:layout>
              <c:tx>
                <c:rich>
                  <a:bodyPr/>
                  <a:lstStyle/>
                  <a:p>
                    <a:fld id="{6E1A776B-7667-4757-9810-A0680BF7505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86F0E89-D63B-44BD-96F4-0817822B18C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BE68-4648-9E21-F0C123FEF41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6'!$A$44:$A$56</c:f>
              <c:strCache>
                <c:ptCount val="13"/>
                <c:pt idx="0">
                  <c:v>Maşini şi aparate electrice </c:v>
                </c:pt>
                <c:pt idx="1">
                  <c:v>Petrol, produse petroliere</c:v>
                </c:pt>
                <c:pt idx="2">
                  <c:v>Cereale şi preparate pe bază de cereale</c:v>
                </c:pt>
                <c:pt idx="3">
                  <c:v>Legume şi fructe</c:v>
                </c:pt>
                <c:pt idx="4">
                  <c:v>Grăsimi şi uleiuri vegetale </c:v>
                </c:pt>
                <c:pt idx="5">
                  <c:v>Îmbrăcăminte şi accesorii</c:v>
                </c:pt>
                <c:pt idx="6">
                  <c:v>Băuturi alcoolice şi nealcoolice</c:v>
                </c:pt>
                <c:pt idx="7">
                  <c:v>Seminţe şi fructe oleaginoase</c:v>
                </c:pt>
                <c:pt idx="8">
                  <c:v>Mobilă şi părţile ei</c:v>
                </c:pt>
                <c:pt idx="9">
                  <c:v>Articole din minerale nemetalice</c:v>
                </c:pt>
                <c:pt idx="10">
                  <c:v>Vehicule rutiere </c:v>
                </c:pt>
                <c:pt idx="11">
                  <c:v>Fire, tesături, articole textile </c:v>
                </c:pt>
                <c:pt idx="12">
                  <c:v>Alte mărfuri</c:v>
                </c:pt>
              </c:strCache>
            </c:strRef>
          </c:cat>
          <c:val>
            <c:numRef>
              <c:f>'Figura 6'!$B$44:$B$56</c:f>
              <c:numCache>
                <c:formatCode>0.0</c:formatCode>
                <c:ptCount val="13"/>
                <c:pt idx="0">
                  <c:v>14.3</c:v>
                </c:pt>
                <c:pt idx="1">
                  <c:v>12.1</c:v>
                </c:pt>
                <c:pt idx="2">
                  <c:v>10.8</c:v>
                </c:pt>
                <c:pt idx="3">
                  <c:v>8.8000000000000007</c:v>
                </c:pt>
                <c:pt idx="4">
                  <c:v>8.5</c:v>
                </c:pt>
                <c:pt idx="5">
                  <c:v>6.8</c:v>
                </c:pt>
                <c:pt idx="6">
                  <c:v>4.4000000000000004</c:v>
                </c:pt>
                <c:pt idx="7">
                  <c:v>4.2</c:v>
                </c:pt>
                <c:pt idx="8">
                  <c:v>3.6</c:v>
                </c:pt>
                <c:pt idx="9">
                  <c:v>2.9</c:v>
                </c:pt>
                <c:pt idx="10">
                  <c:v>2.2999999999999998</c:v>
                </c:pt>
                <c:pt idx="11">
                  <c:v>1.9</c:v>
                </c:pt>
                <c:pt idx="12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7'!$B$23:$B$28</c:f>
              <c:numCache>
                <c:formatCode>#,##0.0</c:formatCode>
                <c:ptCount val="6"/>
                <c:pt idx="0">
                  <c:v>374.3</c:v>
                </c:pt>
                <c:pt idx="1">
                  <c:v>372.6</c:v>
                </c:pt>
                <c:pt idx="2">
                  <c:v>379.8</c:v>
                </c:pt>
                <c:pt idx="3">
                  <c:v>399.4</c:v>
                </c:pt>
                <c:pt idx="4">
                  <c:v>621.70000000000005</c:v>
                </c:pt>
                <c:pt idx="5">
                  <c:v>733.4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7'!$C$23:$C$28</c:f>
              <c:numCache>
                <c:formatCode>#,##0.0</c:formatCode>
                <c:ptCount val="6"/>
                <c:pt idx="0">
                  <c:v>427.6</c:v>
                </c:pt>
                <c:pt idx="1">
                  <c:v>459.3</c:v>
                </c:pt>
                <c:pt idx="2">
                  <c:v>484.8</c:v>
                </c:pt>
                <c:pt idx="3">
                  <c:v>521.4</c:v>
                </c:pt>
                <c:pt idx="4">
                  <c:v>669.1</c:v>
                </c:pt>
                <c:pt idx="5">
                  <c:v>752.4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7'!$D$23:$D$28</c:f>
              <c:numCache>
                <c:formatCode>#,##0.0</c:formatCode>
                <c:ptCount val="6"/>
                <c:pt idx="0">
                  <c:v>524.1</c:v>
                </c:pt>
                <c:pt idx="1">
                  <c:v>533.79999999999995</c:v>
                </c:pt>
                <c:pt idx="2">
                  <c:v>500.5</c:v>
                </c:pt>
                <c:pt idx="3">
                  <c:v>630.1</c:v>
                </c:pt>
                <c:pt idx="4">
                  <c:v>748.3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7'!$E$23:$E$28</c:f>
              <c:numCache>
                <c:formatCode>#,##0.0</c:formatCode>
                <c:ptCount val="6"/>
                <c:pt idx="0">
                  <c:v>444.6</c:v>
                </c:pt>
                <c:pt idx="1">
                  <c:v>515.6</c:v>
                </c:pt>
                <c:pt idx="2">
                  <c:v>285.60000000000002</c:v>
                </c:pt>
                <c:pt idx="3">
                  <c:v>562.20000000000005</c:v>
                </c:pt>
                <c:pt idx="4">
                  <c:v>770.4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7'!$F$23:$F$28</c:f>
              <c:numCache>
                <c:formatCode>#,##0.0</c:formatCode>
                <c:ptCount val="6"/>
                <c:pt idx="0">
                  <c:v>505.6</c:v>
                </c:pt>
                <c:pt idx="1">
                  <c:v>481.6</c:v>
                </c:pt>
                <c:pt idx="2">
                  <c:v>329.4</c:v>
                </c:pt>
                <c:pt idx="3">
                  <c:v>563.4</c:v>
                </c:pt>
                <c:pt idx="4">
                  <c:v>772.7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7'!$G$23:$G$28</c:f>
              <c:numCache>
                <c:formatCode>#,##0.0</c:formatCode>
                <c:ptCount val="6"/>
                <c:pt idx="0">
                  <c:v>458.7</c:v>
                </c:pt>
                <c:pt idx="1">
                  <c:v>445.4</c:v>
                </c:pt>
                <c:pt idx="2">
                  <c:v>413.5</c:v>
                </c:pt>
                <c:pt idx="3">
                  <c:v>589.6</c:v>
                </c:pt>
                <c:pt idx="4">
                  <c:v>768.4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7'!$H$23:$H$28</c:f>
              <c:numCache>
                <c:formatCode>#,##0.0</c:formatCode>
                <c:ptCount val="6"/>
                <c:pt idx="0">
                  <c:v>488</c:v>
                </c:pt>
                <c:pt idx="1">
                  <c:v>499.1</c:v>
                </c:pt>
                <c:pt idx="2">
                  <c:v>496.6</c:v>
                </c:pt>
                <c:pt idx="3">
                  <c:v>562</c:v>
                </c:pt>
                <c:pt idx="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7'!$I$23:$I$28</c:f>
              <c:numCache>
                <c:formatCode>#,##0.0</c:formatCode>
                <c:ptCount val="6"/>
                <c:pt idx="0">
                  <c:v>480.7</c:v>
                </c:pt>
                <c:pt idx="1">
                  <c:v>464.3</c:v>
                </c:pt>
                <c:pt idx="2">
                  <c:v>433.6</c:v>
                </c:pt>
                <c:pt idx="3">
                  <c:v>574.9</c:v>
                </c:pt>
                <c:pt idx="4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7'!$J$23:$J$28</c:f>
              <c:numCache>
                <c:formatCode>#,##0.0</c:formatCode>
                <c:ptCount val="6"/>
                <c:pt idx="0">
                  <c:v>474</c:v>
                </c:pt>
                <c:pt idx="1">
                  <c:v>501.7</c:v>
                </c:pt>
                <c:pt idx="2">
                  <c:v>508.3</c:v>
                </c:pt>
                <c:pt idx="3">
                  <c:v>671.2</c:v>
                </c:pt>
                <c:pt idx="4">
                  <c:v>844.1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7'!$K$23:$K$28</c:f>
              <c:numCache>
                <c:formatCode>#,##0.0</c:formatCode>
                <c:ptCount val="6"/>
                <c:pt idx="0">
                  <c:v>540.6</c:v>
                </c:pt>
                <c:pt idx="1">
                  <c:v>525.29999999999995</c:v>
                </c:pt>
                <c:pt idx="2">
                  <c:v>493.6</c:v>
                </c:pt>
                <c:pt idx="3">
                  <c:v>646.79999999999995</c:v>
                </c:pt>
                <c:pt idx="4">
                  <c:v>751.2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7'!$L$23:$L$28</c:f>
              <c:numCache>
                <c:formatCode>#,##0.0</c:formatCode>
                <c:ptCount val="6"/>
                <c:pt idx="0">
                  <c:v>522.6</c:v>
                </c:pt>
                <c:pt idx="1">
                  <c:v>504.1</c:v>
                </c:pt>
                <c:pt idx="2">
                  <c:v>522.9</c:v>
                </c:pt>
                <c:pt idx="3">
                  <c:v>701.5</c:v>
                </c:pt>
                <c:pt idx="4">
                  <c:v>858.3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7'!$M$23:$M$28</c:f>
              <c:numCache>
                <c:formatCode>#,##0.0</c:formatCode>
                <c:ptCount val="6"/>
                <c:pt idx="0">
                  <c:v>519.29999999999995</c:v>
                </c:pt>
                <c:pt idx="1">
                  <c:v>539.70000000000005</c:v>
                </c:pt>
                <c:pt idx="2">
                  <c:v>567.29999999999995</c:v>
                </c:pt>
                <c:pt idx="3">
                  <c:v>754.2</c:v>
                </c:pt>
                <c:pt idx="4">
                  <c:v>873.8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7836624"/>
        <c:axId val="247837184"/>
      </c:barChart>
      <c:catAx>
        <c:axId val="247836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7184"/>
        <c:crosses val="autoZero"/>
        <c:auto val="0"/>
        <c:lblAlgn val="ctr"/>
        <c:lblOffset val="100"/>
        <c:tickLblSkip val="1"/>
        <c:noMultiLvlLbl val="0"/>
      </c:catAx>
      <c:valAx>
        <c:axId val="247837184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66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32448224996E-2"/>
          <c:y val="5.4497403713046011E-2"/>
          <c:w val="0.92549986359231973"/>
          <c:h val="0.72637556698672245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6-4474-912E-EE374058F04A}"/>
                </c:ext>
              </c:extLst>
            </c:dLbl>
            <c:dLbl>
              <c:idx val="1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B6-4474-912E-EE374058F04A}"/>
                </c:ext>
              </c:extLst>
            </c:dLbl>
            <c:dLbl>
              <c:idx val="2"/>
              <c:layout>
                <c:manualLayout>
                  <c:x val="-2.7600746048223046E-2"/>
                  <c:y val="3.5658250392589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6-4474-912E-EE374058F04A}"/>
                </c:ext>
              </c:extLst>
            </c:dLbl>
            <c:dLbl>
              <c:idx val="3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6-4474-912E-EE374058F04A}"/>
                </c:ext>
              </c:extLst>
            </c:dLbl>
            <c:dLbl>
              <c:idx val="4"/>
              <c:layout>
                <c:manualLayout>
                  <c:x val="-3.1744157714715712E-2"/>
                  <c:y val="-3.2421783093767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B6-4474-912E-EE374058F04A}"/>
                </c:ext>
              </c:extLst>
            </c:dLbl>
            <c:dLbl>
              <c:idx val="5"/>
              <c:layout>
                <c:manualLayout>
                  <c:x val="-2.7229845388010401E-2"/>
                  <c:y val="-3.4658310580484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B6-4474-912E-EE374058F04A}"/>
                </c:ext>
              </c:extLst>
            </c:dLbl>
            <c:dLbl>
              <c:idx val="6"/>
              <c:layout>
                <c:manualLayout>
                  <c:x val="-2.138142250432562E-2"/>
                  <c:y val="3.585420303018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B6-4474-912E-EE374058F04A}"/>
                </c:ext>
              </c:extLst>
            </c:dLbl>
            <c:dLbl>
              <c:idx val="7"/>
              <c:layout>
                <c:manualLayout>
                  <c:x val="-1.866639660396148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B6-4474-912E-EE374058F04A}"/>
                </c:ext>
              </c:extLst>
            </c:dLbl>
            <c:dLbl>
              <c:idx val="8"/>
              <c:layout>
                <c:manualLayout>
                  <c:x val="-2.9729051201149798E-2"/>
                  <c:y val="-2.372018647304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B6-4474-912E-EE374058F04A}"/>
                </c:ext>
              </c:extLst>
            </c:dLbl>
            <c:dLbl>
              <c:idx val="9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B6-4474-912E-EE374058F04A}"/>
                </c:ext>
              </c:extLst>
            </c:dLbl>
            <c:dLbl>
              <c:idx val="10"/>
              <c:layout>
                <c:manualLayout>
                  <c:x val="-2.7665337367494162E-2"/>
                  <c:y val="-2.98126720142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2.1807044977192186E-2"/>
                  <c:y val="-3.2380061938816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962635699476472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5.1635408088677573E-2"/>
                  <c:y val="-8.01353954071172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2.6432142515675553E-2"/>
                  <c:y val="2.7806807798162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2.339936650104401E-2"/>
                  <c:y val="-3.7339749727786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2.6679928816183522E-2"/>
                  <c:y val="3.8665080350840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87652789382035E-2"/>
                      <c:h val="6.5993633762126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1.7499355280314478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7315802622204654E-2"/>
                  <c:y val="3.214991163322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1.7737155845873067E-2"/>
                  <c:y val="3.64930154682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066550764755691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8843994865605302E-2"/>
                  <c:y val="4.0836119303352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4304770364339121E-2"/>
                  <c:y val="4.9522326973479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7.0701444340610159E-3"/>
                  <c:y val="-6.93802288234360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2.0148150028407117E-2"/>
                  <c:y val="3.6493015468289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1.0174612417822859E-3"/>
                  <c:y val="3.214991163322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8'!$B$23:$AA$24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8'!$B$25:$AA$25</c:f>
              <c:numCache>
                <c:formatCode>#,##0.0</c:formatCode>
                <c:ptCount val="26"/>
                <c:pt idx="0">
                  <c:v>70.397914008513311</c:v>
                </c:pt>
                <c:pt idx="1">
                  <c:v>130.56565598353049</c:v>
                </c:pt>
                <c:pt idx="2">
                  <c:v>120.83026196604835</c:v>
                </c:pt>
                <c:pt idx="3">
                  <c:v>89.231037795592442</c:v>
                </c:pt>
                <c:pt idx="4">
                  <c:v>100.2114807539604</c:v>
                </c:pt>
                <c:pt idx="5">
                  <c:v>104.66057637383682</c:v>
                </c:pt>
                <c:pt idx="6">
                  <c:v>95.30942393156748</c:v>
                </c:pt>
                <c:pt idx="7">
                  <c:v>102.30310816744974</c:v>
                </c:pt>
                <c:pt idx="8">
                  <c:v>116.7433114933096</c:v>
                </c:pt>
                <c:pt idx="9">
                  <c:v>96.368466717330918</c:v>
                </c:pt>
                <c:pt idx="10">
                  <c:v>108.45193596997535</c:v>
                </c:pt>
                <c:pt idx="11">
                  <c:v>107.60757399325725</c:v>
                </c:pt>
                <c:pt idx="12">
                  <c:v>82.42810256467493</c:v>
                </c:pt>
                <c:pt idx="13">
                  <c:v>107.62832847463979</c:v>
                </c:pt>
                <c:pt idx="14">
                  <c:v>111.83649823538117</c:v>
                </c:pt>
                <c:pt idx="15">
                  <c:v>102.95945766976527</c:v>
                </c:pt>
                <c:pt idx="16">
                  <c:v>100.28989015201115</c:v>
                </c:pt>
                <c:pt idx="17">
                  <c:v>99.449492493428721</c:v>
                </c:pt>
                <c:pt idx="18">
                  <c:v>99.042771669685536</c:v>
                </c:pt>
                <c:pt idx="19">
                  <c:v>102.48436324688166</c:v>
                </c:pt>
                <c:pt idx="20">
                  <c:v>108.22806008303567</c:v>
                </c:pt>
                <c:pt idx="21" formatCode="0.0">
                  <c:v>88.988673647198652</c:v>
                </c:pt>
                <c:pt idx="22" formatCode="0.0">
                  <c:v>114.26056736134905</c:v>
                </c:pt>
                <c:pt idx="23" formatCode="0.0">
                  <c:v>101.80484196839581</c:v>
                </c:pt>
                <c:pt idx="24" formatCode="0.0">
                  <c:v>83.933532907691912</c:v>
                </c:pt>
                <c:pt idx="25" formatCode="0.0">
                  <c:v>102.58581619280855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109583568934912E-2"/>
                  <c:y val="-3.0394887311844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B6-4474-912E-EE374058F04A}"/>
                </c:ext>
              </c:extLst>
            </c:dLbl>
            <c:dLbl>
              <c:idx val="1"/>
              <c:layout>
                <c:manualLayout>
                  <c:x val="-1.7371108354220996E-2"/>
                  <c:y val="3.669820147624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B6-4474-912E-EE374058F04A}"/>
                </c:ext>
              </c:extLst>
            </c:dLbl>
            <c:dLbl>
              <c:idx val="2"/>
              <c:layout>
                <c:manualLayout>
                  <c:x val="-6.9016774832406664E-3"/>
                  <c:y val="-5.15119472972899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B6-4474-912E-EE374058F04A}"/>
                </c:ext>
              </c:extLst>
            </c:dLbl>
            <c:dLbl>
              <c:idx val="3"/>
              <c:layout>
                <c:manualLayout>
                  <c:x val="-2.5269654797973405E-2"/>
                  <c:y val="-3.4842636010965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B6-4474-912E-EE374058F04A}"/>
                </c:ext>
              </c:extLst>
            </c:dLbl>
            <c:dLbl>
              <c:idx val="4"/>
              <c:layout>
                <c:manualLayout>
                  <c:x val="-1.2931502533244489E-2"/>
                  <c:y val="-2.8791700636350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B6-4474-912E-EE374058F04A}"/>
                </c:ext>
              </c:extLst>
            </c:dLbl>
            <c:dLbl>
              <c:idx val="5"/>
              <c:layout>
                <c:manualLayout>
                  <c:x val="-1.1558008625127699E-2"/>
                  <c:y val="-2.5116135280502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B6-4474-912E-EE374058F04A}"/>
                </c:ext>
              </c:extLst>
            </c:dLbl>
            <c:dLbl>
              <c:idx val="6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A9B6-4474-912E-EE374058F04A}"/>
                </c:ext>
              </c:extLst>
            </c:dLbl>
            <c:dLbl>
              <c:idx val="7"/>
              <c:layout>
                <c:manualLayout>
                  <c:x val="-2.7485218871730339E-2"/>
                  <c:y val="-3.2255924404003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B6-4474-912E-EE374058F04A}"/>
                </c:ext>
              </c:extLst>
            </c:dLbl>
            <c:dLbl>
              <c:idx val="8"/>
              <c:layout>
                <c:manualLayout>
                  <c:x val="-2.5129861117536571E-2"/>
                  <c:y val="-3.643590536274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9B6-4474-912E-EE374058F04A}"/>
                </c:ext>
              </c:extLst>
            </c:dLbl>
            <c:dLbl>
              <c:idx val="9"/>
              <c:layout>
                <c:manualLayout>
                  <c:x val="-2.2712695578152614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B6-4474-912E-EE374058F04A}"/>
                </c:ext>
              </c:extLst>
            </c:dLbl>
            <c:dLbl>
              <c:idx val="10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6.0340929769208329E-3"/>
                  <c:y val="5.6251744081067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2.0865741654092492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109955556378014E-2"/>
                  <c:y val="-4.017952407789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3.1485206534847071E-2"/>
                  <c:y val="-3.7339749727786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3.0345401889393674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2.0413646636984958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2.2382124991500659E-2"/>
                  <c:y val="3.64930154682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2.489991781330364E-2"/>
                  <c:y val="-3.73397497277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2429908742846786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1.8404621140122125E-2"/>
                  <c:y val="-3.299664589272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0778877720670769E-2"/>
                  <c:y val="3.21495696565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09557969240976E-2"/>
                      <c:h val="5.29643222569366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7438338715298775E-2"/>
                  <c:y val="-4.168285356284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5871554539818833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6016944709173512E-2"/>
                  <c:y val="-3.2996816881063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390039817290751E-2"/>
                      <c:h val="7.03367375971897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2.8584558540064724E-4"/>
                  <c:y val="-3.299664589272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8'!$B$23:$AA$24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8'!$B$26:$AA$26</c:f>
              <c:numCache>
                <c:formatCode>#,##0.0</c:formatCode>
                <c:ptCount val="26"/>
                <c:pt idx="0">
                  <c:v>105.14366410240868</c:v>
                </c:pt>
                <c:pt idx="1">
                  <c:v>107.56077192573727</c:v>
                </c:pt>
                <c:pt idx="2">
                  <c:v>125.88605526903886</c:v>
                </c:pt>
                <c:pt idx="3">
                  <c:v>196.84765533007069</c:v>
                </c:pt>
                <c:pt idx="4">
                  <c:v>171.05720800538208</c:v>
                </c:pt>
                <c:pt idx="5">
                  <c:v>142.58661575531545</c:v>
                </c:pt>
                <c:pt idx="6">
                  <c:v>113.15935709199938</c:v>
                </c:pt>
                <c:pt idx="7">
                  <c:v>132.58828425602752</c:v>
                </c:pt>
                <c:pt idx="8">
                  <c:v>132.03828597207149</c:v>
                </c:pt>
                <c:pt idx="9">
                  <c:v>131.0476458490858</c:v>
                </c:pt>
                <c:pt idx="10">
                  <c:v>134.15801375299989</c:v>
                </c:pt>
                <c:pt idx="11">
                  <c:v>132.94448949123316</c:v>
                </c:pt>
                <c:pt idx="12">
                  <c:v>155.66316373900662</c:v>
                </c:pt>
                <c:pt idx="13">
                  <c:v>128.31679197795137</c:v>
                </c:pt>
                <c:pt idx="14">
                  <c:v>118.765783058918</c:v>
                </c:pt>
                <c:pt idx="15">
                  <c:v>137.03819786880473</c:v>
                </c:pt>
                <c:pt idx="16">
                  <c:v>137.1454219365863</c:v>
                </c:pt>
                <c:pt idx="17">
                  <c:v>130.31690711002199</c:v>
                </c:pt>
                <c:pt idx="18">
                  <c:v>135.42152646798874</c:v>
                </c:pt>
                <c:pt idx="19">
                  <c:v>135.66145895856928</c:v>
                </c:pt>
                <c:pt idx="20">
                  <c:v>125.76631957631956</c:v>
                </c:pt>
                <c:pt idx="21">
                  <c:v>116.13527069403568</c:v>
                </c:pt>
                <c:pt idx="22">
                  <c:v>122.35541764637607</c:v>
                </c:pt>
                <c:pt idx="23">
                  <c:v>115.85939196955289</c:v>
                </c:pt>
                <c:pt idx="24" formatCode="0.0">
                  <c:v>117.97480997603557</c:v>
                </c:pt>
                <c:pt idx="25" formatCode="0.0">
                  <c:v>112.44755301049571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840544"/>
        <c:axId val="247841104"/>
      </c:lineChart>
      <c:catAx>
        <c:axId val="2478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1104"/>
        <c:crossesAt val="30"/>
        <c:auto val="1"/>
        <c:lblAlgn val="ctr"/>
        <c:lblOffset val="100"/>
        <c:noMultiLvlLbl val="0"/>
      </c:catAx>
      <c:valAx>
        <c:axId val="247841104"/>
        <c:scaling>
          <c:orientation val="minMax"/>
          <c:max val="24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0544"/>
        <c:crosses val="autoZero"/>
        <c:crossBetween val="between"/>
        <c:majorUnit val="30"/>
        <c:minorUnit val="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0</xdr:rowOff>
    </xdr:from>
    <xdr:to>
      <xdr:col>13</xdr:col>
      <xdr:colOff>19050</xdr:colOff>
      <xdr:row>19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13</xdr:col>
      <xdr:colOff>19050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20</xdr:col>
      <xdr:colOff>0</xdr:colOff>
      <xdr:row>21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0.05794</cdr:x>
      <cdr:y>0.00326</cdr:y>
    </cdr:from>
    <cdr:to>
      <cdr:x>0.11287</cdr:x>
      <cdr:y>0.08143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9525"/>
          <a:ext cx="69532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7</xdr:col>
      <xdr:colOff>0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57150</xdr:rowOff>
    </xdr:from>
    <xdr:to>
      <xdr:col>6</xdr:col>
      <xdr:colOff>1000124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7</xdr:col>
      <xdr:colOff>76200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9525</xdr:colOff>
      <xdr:row>23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685800</xdr:colOff>
      <xdr:row>2</xdr:row>
      <xdr:rowOff>133350</xdr:rowOff>
    </xdr:from>
    <xdr:to>
      <xdr:col>7</xdr:col>
      <xdr:colOff>47625</xdr:colOff>
      <xdr:row>23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13</xdr:col>
      <xdr:colOff>9525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19048</xdr:rowOff>
    </xdr:from>
    <xdr:to>
      <xdr:col>6</xdr:col>
      <xdr:colOff>47625</xdr:colOff>
      <xdr:row>24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0.10028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791" y="0"/>
          <a:ext cx="1098228" cy="34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57149</xdr:rowOff>
    </xdr:from>
    <xdr:to>
      <xdr:col>18</xdr:col>
      <xdr:colOff>380999</xdr:colOff>
      <xdr:row>20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2.94081E-7</cdr:y>
    </cdr:from>
    <cdr:to>
      <cdr:x>0.07945</cdr:x>
      <cdr:y>0.06723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33698" y="1"/>
          <a:ext cx="29498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7</xdr:col>
      <xdr:colOff>19050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6</xdr:col>
      <xdr:colOff>1038225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0.05889</cdr:x>
      <cdr:y>3.72294E-7</cdr:y>
    </cdr:from>
    <cdr:to>
      <cdr:x>0.10817</cdr:x>
      <cdr:y>0.07092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1"/>
          <a:ext cx="3905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0</xdr:rowOff>
    </xdr:from>
    <xdr:to>
      <xdr:col>7</xdr:col>
      <xdr:colOff>19051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7</xdr:col>
      <xdr:colOff>0</xdr:colOff>
      <xdr:row>24</xdr:row>
      <xdr:rowOff>104776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535305"/>
          <a:ext cx="7741920" cy="3181351"/>
          <a:chOff x="30262" y="-337289"/>
          <a:chExt cx="5451695" cy="233260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30262" y="-337289"/>
          <a:ext cx="2732748" cy="23326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65990" y="-323960"/>
          <a:ext cx="2815967" cy="22992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7:D33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1"/>
  <sheetViews>
    <sheetView tabSelected="1" zoomScaleNormal="100" workbookViewId="0">
      <selection activeCell="A2" sqref="A2:M2"/>
    </sheetView>
  </sheetViews>
  <sheetFormatPr defaultColWidth="9.109375" defaultRowHeight="11.4" x14ac:dyDescent="0.2"/>
  <cols>
    <col min="1" max="1" width="10.44140625" style="3" customWidth="1"/>
    <col min="2" max="2" width="10.109375" style="3" customWidth="1"/>
    <col min="3" max="3" width="11.33203125" style="3" customWidth="1"/>
    <col min="4" max="4" width="10.109375" style="3" bestFit="1" customWidth="1"/>
    <col min="5" max="5" width="9.33203125" style="3" bestFit="1" customWidth="1"/>
    <col min="6" max="6" width="10.109375" style="3" bestFit="1" customWidth="1"/>
    <col min="7" max="7" width="9.33203125" style="3" bestFit="1" customWidth="1"/>
    <col min="8" max="8" width="10.109375" style="3" bestFit="1" customWidth="1"/>
    <col min="9" max="9" width="9.33203125" style="3" bestFit="1" customWidth="1"/>
    <col min="10" max="10" width="11.88671875" style="3" customWidth="1"/>
    <col min="11" max="11" width="10.5546875" style="3" customWidth="1"/>
    <col min="12" max="12" width="10.33203125" style="3" customWidth="1"/>
    <col min="13" max="13" width="10.6640625" style="3" customWidth="1"/>
    <col min="14" max="14" width="10.109375" style="3" bestFit="1" customWidth="1"/>
    <col min="15" max="15" width="9.33203125" style="3" bestFit="1" customWidth="1"/>
    <col min="16" max="16" width="10.109375" style="3" bestFit="1" customWidth="1"/>
    <col min="17" max="17" width="9.33203125" style="3" bestFit="1" customWidth="1"/>
    <col min="18" max="18" width="10.109375" style="3" bestFit="1" customWidth="1"/>
    <col min="19" max="19" width="9.33203125" style="3" bestFit="1" customWidth="1"/>
    <col min="20" max="20" width="10.109375" style="3" bestFit="1" customWidth="1"/>
    <col min="21" max="21" width="9.33203125" style="3" bestFit="1" customWidth="1"/>
    <col min="22" max="22" width="10.109375" style="3" bestFit="1" customWidth="1"/>
    <col min="23" max="23" width="9.33203125" style="3" bestFit="1" customWidth="1"/>
    <col min="24" max="24" width="10.109375" style="3" bestFit="1" customWidth="1"/>
    <col min="25" max="25" width="9.33203125" style="3" bestFit="1" customWidth="1"/>
    <col min="26" max="16384" width="9.109375" style="3"/>
  </cols>
  <sheetData>
    <row r="2" spans="1:13" ht="13.2" x14ac:dyDescent="0.2">
      <c r="A2" s="147" t="s">
        <v>93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2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1" ht="12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21" ht="12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1" ht="12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1" spans="1:21" ht="12" x14ac:dyDescent="0.25">
      <c r="A21" s="23" t="s">
        <v>0</v>
      </c>
      <c r="B21" s="37" t="s">
        <v>1</v>
      </c>
      <c r="C21" s="37" t="s">
        <v>2</v>
      </c>
      <c r="D21" s="37" t="s">
        <v>3</v>
      </c>
      <c r="E21" s="37" t="s">
        <v>4</v>
      </c>
      <c r="F21" s="37" t="s">
        <v>5</v>
      </c>
      <c r="G21" s="37" t="s">
        <v>6</v>
      </c>
      <c r="H21" s="37" t="s">
        <v>7</v>
      </c>
      <c r="I21" s="37" t="s">
        <v>8</v>
      </c>
      <c r="J21" s="37" t="s">
        <v>9</v>
      </c>
      <c r="K21" s="37" t="s">
        <v>10</v>
      </c>
      <c r="L21" s="37" t="s">
        <v>11</v>
      </c>
      <c r="M21" s="37" t="s">
        <v>12</v>
      </c>
    </row>
    <row r="22" spans="1:21" ht="12" x14ac:dyDescent="0.25">
      <c r="A22" s="28">
        <v>2018</v>
      </c>
      <c r="B22" s="33">
        <v>220.3</v>
      </c>
      <c r="C22" s="33">
        <v>215.5</v>
      </c>
      <c r="D22" s="33">
        <v>242.1</v>
      </c>
      <c r="E22" s="33">
        <v>199.7</v>
      </c>
      <c r="F22" s="33">
        <v>223</v>
      </c>
      <c r="G22" s="33">
        <v>214.1</v>
      </c>
      <c r="H22" s="33">
        <v>218.8</v>
      </c>
      <c r="I22" s="33">
        <v>218.6</v>
      </c>
      <c r="J22" s="33">
        <v>207.3</v>
      </c>
      <c r="K22" s="33">
        <v>259</v>
      </c>
      <c r="L22" s="33">
        <v>268.89999999999998</v>
      </c>
      <c r="M22" s="34">
        <v>218.8</v>
      </c>
    </row>
    <row r="23" spans="1:21" ht="12" x14ac:dyDescent="0.25">
      <c r="A23" s="28">
        <v>2019</v>
      </c>
      <c r="B23" s="33">
        <v>234.3</v>
      </c>
      <c r="C23" s="33">
        <v>241.4</v>
      </c>
      <c r="D23" s="33">
        <v>257.2</v>
      </c>
      <c r="E23" s="33">
        <v>215.6</v>
      </c>
      <c r="F23" s="33">
        <v>210.5</v>
      </c>
      <c r="G23" s="33">
        <v>202.2</v>
      </c>
      <c r="H23" s="33">
        <v>220.2</v>
      </c>
      <c r="I23" s="33">
        <v>205.8</v>
      </c>
      <c r="J23" s="33">
        <v>238.8</v>
      </c>
      <c r="K23" s="33">
        <v>268.3</v>
      </c>
      <c r="L23" s="33">
        <v>266.60000000000002</v>
      </c>
      <c r="M23" s="34">
        <v>218.3</v>
      </c>
    </row>
    <row r="24" spans="1:21" ht="12" x14ac:dyDescent="0.25">
      <c r="A24" s="28">
        <v>2020</v>
      </c>
      <c r="B24" s="33">
        <v>219.5</v>
      </c>
      <c r="C24" s="33">
        <v>245.3</v>
      </c>
      <c r="D24" s="33">
        <v>210.2</v>
      </c>
      <c r="E24" s="33">
        <v>149.80000000000001</v>
      </c>
      <c r="F24" s="33">
        <v>155.69999999999999</v>
      </c>
      <c r="G24" s="33">
        <v>189.6</v>
      </c>
      <c r="H24" s="33">
        <v>191.1</v>
      </c>
      <c r="I24" s="33">
        <v>163.9</v>
      </c>
      <c r="J24" s="33">
        <v>212.3</v>
      </c>
      <c r="K24" s="33">
        <v>249.4</v>
      </c>
      <c r="L24" s="33">
        <v>262</v>
      </c>
      <c r="M24" s="34">
        <v>218.3</v>
      </c>
    </row>
    <row r="25" spans="1:21" ht="12" x14ac:dyDescent="0.25">
      <c r="A25" s="28">
        <v>2021</v>
      </c>
      <c r="B25" s="33">
        <v>198.4</v>
      </c>
      <c r="C25" s="33">
        <v>227</v>
      </c>
      <c r="D25" s="33">
        <v>259.3</v>
      </c>
      <c r="E25" s="33">
        <v>218.2</v>
      </c>
      <c r="F25" s="33">
        <v>201.7</v>
      </c>
      <c r="G25" s="33">
        <v>226.8</v>
      </c>
      <c r="H25" s="33">
        <v>240.7</v>
      </c>
      <c r="I25" s="33">
        <v>236.3</v>
      </c>
      <c r="J25" s="33">
        <v>294.89999999999998</v>
      </c>
      <c r="K25" s="15">
        <v>352.2</v>
      </c>
      <c r="L25" s="33">
        <v>363.9</v>
      </c>
      <c r="M25" s="34">
        <v>325</v>
      </c>
    </row>
    <row r="26" spans="1:21" ht="12" x14ac:dyDescent="0.25">
      <c r="A26" s="28">
        <v>2022</v>
      </c>
      <c r="B26" s="33">
        <v>330.4</v>
      </c>
      <c r="C26" s="33">
        <v>336.5</v>
      </c>
      <c r="D26" s="33">
        <v>395.8</v>
      </c>
      <c r="E26" s="33">
        <v>396.3</v>
      </c>
      <c r="F26" s="33">
        <v>416</v>
      </c>
      <c r="G26" s="33">
        <v>416.4</v>
      </c>
      <c r="H26" s="33">
        <v>338.2</v>
      </c>
      <c r="I26" s="33">
        <v>329.4</v>
      </c>
      <c r="J26" s="33">
        <v>318.8</v>
      </c>
      <c r="K26" s="33">
        <v>352</v>
      </c>
      <c r="L26" s="33">
        <v>355.8</v>
      </c>
      <c r="M26" s="34">
        <v>349.5</v>
      </c>
    </row>
    <row r="27" spans="1:21" ht="12" x14ac:dyDescent="0.25">
      <c r="A27" s="29">
        <v>2023</v>
      </c>
      <c r="B27" s="10">
        <v>331.7</v>
      </c>
      <c r="C27" s="10">
        <v>355.7</v>
      </c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31" spans="1:21" ht="15.6" x14ac:dyDescent="0.3">
      <c r="B31" s="43"/>
      <c r="C31" s="43"/>
      <c r="D31" s="43"/>
      <c r="E31" s="43"/>
      <c r="F31" s="43"/>
      <c r="G31" s="43"/>
      <c r="H31" s="43"/>
      <c r="I31" s="47"/>
      <c r="J31" s="44"/>
      <c r="K31" s="43"/>
      <c r="L31" s="43"/>
      <c r="M31" s="43"/>
      <c r="N31" s="43"/>
      <c r="O31" s="47"/>
      <c r="P31" s="43"/>
      <c r="Q31" s="43"/>
      <c r="R31" s="44"/>
      <c r="S31" s="43"/>
      <c r="T31" s="45"/>
      <c r="U31" s="46"/>
    </row>
  </sheetData>
  <mergeCells count="1">
    <mergeCell ref="A2:M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2"/>
  <sheetViews>
    <sheetView workbookViewId="0">
      <selection activeCell="A2" sqref="A2:G2"/>
    </sheetView>
  </sheetViews>
  <sheetFormatPr defaultColWidth="9.109375" defaultRowHeight="11.4" x14ac:dyDescent="0.2"/>
  <cols>
    <col min="1" max="1" width="24" style="3" customWidth="1"/>
    <col min="2" max="2" width="14.33203125" style="3" customWidth="1"/>
    <col min="3" max="3" width="14.88671875" style="3" customWidth="1"/>
    <col min="4" max="4" width="14.5546875" style="3" customWidth="1"/>
    <col min="5" max="5" width="14.109375" style="3" customWidth="1"/>
    <col min="6" max="6" width="14.5546875" style="3" customWidth="1"/>
    <col min="7" max="7" width="14.6640625" style="3" customWidth="1"/>
    <col min="8" max="16384" width="9.109375" style="3"/>
  </cols>
  <sheetData>
    <row r="2" spans="1:13" ht="13.2" x14ac:dyDescent="0.2">
      <c r="A2" s="155" t="s">
        <v>108</v>
      </c>
      <c r="B2" s="155"/>
      <c r="C2" s="155"/>
      <c r="D2" s="155"/>
      <c r="E2" s="155"/>
      <c r="F2" s="155"/>
      <c r="G2" s="155"/>
      <c r="H2" s="39"/>
      <c r="I2" s="39"/>
      <c r="J2" s="39"/>
      <c r="K2" s="39"/>
      <c r="L2" s="39"/>
      <c r="M2" s="39"/>
    </row>
    <row r="3" spans="1:13" ht="12" x14ac:dyDescent="0.25">
      <c r="A3" s="4"/>
      <c r="B3" s="4"/>
      <c r="C3" s="4"/>
      <c r="D3" s="4"/>
      <c r="E3" s="4"/>
      <c r="F3" s="4"/>
      <c r="G3" s="4"/>
    </row>
    <row r="4" spans="1:13" ht="12" x14ac:dyDescent="0.25">
      <c r="A4" s="4"/>
      <c r="B4" s="4"/>
      <c r="C4" s="4"/>
      <c r="D4" s="4"/>
      <c r="E4" s="4"/>
      <c r="F4" s="4"/>
      <c r="G4" s="4"/>
    </row>
    <row r="5" spans="1:13" ht="12" x14ac:dyDescent="0.25">
      <c r="A5" s="4"/>
      <c r="B5" s="4"/>
      <c r="C5" s="4"/>
      <c r="D5" s="4"/>
      <c r="E5" s="4"/>
      <c r="F5" s="4"/>
      <c r="G5" s="4"/>
    </row>
    <row r="6" spans="1:13" ht="12" x14ac:dyDescent="0.25">
      <c r="A6" s="4"/>
      <c r="B6" s="4"/>
      <c r="C6" s="4"/>
      <c r="D6" s="4"/>
      <c r="E6" s="4"/>
      <c r="F6" s="4"/>
      <c r="G6" s="4"/>
    </row>
    <row r="7" spans="1:13" ht="12" x14ac:dyDescent="0.25">
      <c r="A7" s="4"/>
      <c r="B7" s="4"/>
      <c r="C7" s="4"/>
      <c r="D7" s="4"/>
      <c r="E7" s="4"/>
      <c r="F7" s="4"/>
      <c r="G7" s="4"/>
    </row>
    <row r="8" spans="1:13" ht="12" x14ac:dyDescent="0.25">
      <c r="A8" s="4"/>
      <c r="B8" s="4"/>
      <c r="C8" s="4"/>
      <c r="D8" s="4"/>
      <c r="E8" s="4"/>
      <c r="F8" s="4"/>
      <c r="G8" s="4"/>
    </row>
    <row r="9" spans="1:13" ht="12" x14ac:dyDescent="0.25">
      <c r="A9" s="4"/>
      <c r="B9" s="4"/>
      <c r="C9" s="4"/>
      <c r="D9" s="4"/>
      <c r="E9" s="4"/>
      <c r="F9" s="4"/>
      <c r="G9" s="4"/>
    </row>
    <row r="10" spans="1:13" ht="12" x14ac:dyDescent="0.25">
      <c r="A10" s="4"/>
      <c r="B10" s="4"/>
      <c r="C10" s="4"/>
      <c r="D10" s="4"/>
      <c r="E10" s="4"/>
      <c r="F10" s="4"/>
      <c r="G10" s="4"/>
    </row>
    <row r="11" spans="1:13" ht="12" x14ac:dyDescent="0.25">
      <c r="A11" s="4"/>
      <c r="B11" s="4"/>
      <c r="C11" s="4"/>
      <c r="D11" s="4"/>
      <c r="E11" s="4"/>
      <c r="F11" s="4"/>
      <c r="G11" s="4"/>
    </row>
    <row r="12" spans="1:13" ht="12" x14ac:dyDescent="0.25">
      <c r="A12" s="4"/>
      <c r="B12" s="4"/>
      <c r="C12" s="4"/>
      <c r="D12" s="4"/>
      <c r="E12" s="4"/>
      <c r="F12" s="4"/>
      <c r="G12" s="4"/>
    </row>
    <row r="13" spans="1:13" ht="12" x14ac:dyDescent="0.25">
      <c r="A13" s="4"/>
      <c r="B13" s="4"/>
      <c r="C13" s="4"/>
      <c r="D13" s="4"/>
      <c r="E13" s="4"/>
      <c r="F13" s="4"/>
      <c r="G13" s="4"/>
    </row>
    <row r="14" spans="1:13" ht="12" x14ac:dyDescent="0.25">
      <c r="A14" s="4"/>
      <c r="B14" s="4"/>
      <c r="C14" s="4"/>
      <c r="D14" s="4"/>
      <c r="E14" s="4"/>
      <c r="F14" s="4"/>
      <c r="G14" s="4"/>
    </row>
    <row r="15" spans="1:13" ht="12" x14ac:dyDescent="0.25">
      <c r="A15" s="4"/>
      <c r="B15" s="4"/>
      <c r="C15" s="4"/>
      <c r="D15" s="4"/>
      <c r="E15" s="4"/>
      <c r="F15" s="4"/>
      <c r="G15" s="4"/>
    </row>
    <row r="16" spans="1:13" ht="12" x14ac:dyDescent="0.25">
      <c r="A16" s="4"/>
      <c r="B16" s="4"/>
      <c r="C16" s="4"/>
      <c r="D16" s="4"/>
      <c r="E16" s="4"/>
      <c r="F16" s="4"/>
      <c r="G16" s="4"/>
    </row>
    <row r="17" spans="1:7" ht="12" x14ac:dyDescent="0.25">
      <c r="A17" s="4"/>
      <c r="B17" s="4"/>
      <c r="C17" s="4"/>
      <c r="D17" s="4"/>
      <c r="E17" s="4"/>
      <c r="F17" s="4"/>
      <c r="G17" s="4"/>
    </row>
    <row r="18" spans="1:7" ht="12" x14ac:dyDescent="0.25">
      <c r="A18" s="4"/>
      <c r="B18" s="4"/>
      <c r="C18" s="4"/>
      <c r="D18" s="4"/>
      <c r="E18" s="4"/>
      <c r="F18" s="4"/>
      <c r="G18" s="4"/>
    </row>
    <row r="19" spans="1:7" ht="12" x14ac:dyDescent="0.25">
      <c r="A19" s="4"/>
      <c r="B19" s="4"/>
      <c r="C19" s="4"/>
      <c r="D19" s="4"/>
      <c r="E19" s="4"/>
      <c r="F19" s="4"/>
      <c r="G19" s="4"/>
    </row>
    <row r="20" spans="1:7" ht="13.5" customHeight="1" x14ac:dyDescent="0.25">
      <c r="A20" s="4"/>
      <c r="B20" s="4"/>
      <c r="C20" s="4"/>
      <c r="D20" s="4"/>
      <c r="E20" s="4"/>
      <c r="F20" s="4"/>
      <c r="G20" s="4"/>
    </row>
    <row r="21" spans="1:7" ht="12" x14ac:dyDescent="0.25">
      <c r="A21" s="2"/>
      <c r="B21" s="2"/>
      <c r="C21" s="2"/>
      <c r="D21" s="2"/>
      <c r="E21" s="2"/>
      <c r="F21" s="2"/>
      <c r="G21" s="2"/>
    </row>
    <row r="22" spans="1:7" ht="4.5" customHeight="1" x14ac:dyDescent="0.25">
      <c r="A22" s="2"/>
      <c r="B22" s="2"/>
      <c r="C22" s="2"/>
      <c r="D22" s="2"/>
      <c r="E22" s="2"/>
      <c r="F22" s="2"/>
      <c r="G22" s="2"/>
    </row>
    <row r="23" spans="1:7" ht="12" x14ac:dyDescent="0.25">
      <c r="A23" s="2"/>
      <c r="B23" s="2"/>
      <c r="C23" s="2"/>
      <c r="D23" s="2"/>
      <c r="E23" s="2"/>
      <c r="F23" s="2"/>
      <c r="G23" s="2"/>
    </row>
    <row r="24" spans="1:7" ht="27.75" customHeight="1" x14ac:dyDescent="0.2">
      <c r="A24" s="38" t="s">
        <v>25</v>
      </c>
      <c r="B24" s="24" t="s">
        <v>95</v>
      </c>
      <c r="C24" s="24" t="s">
        <v>96</v>
      </c>
      <c r="D24" s="24" t="s">
        <v>97</v>
      </c>
      <c r="E24" s="24" t="s">
        <v>98</v>
      </c>
      <c r="F24" s="24" t="s">
        <v>99</v>
      </c>
      <c r="G24" s="24" t="s">
        <v>100</v>
      </c>
    </row>
    <row r="25" spans="1:7" ht="12" x14ac:dyDescent="0.25">
      <c r="A25" s="30" t="s">
        <v>26</v>
      </c>
      <c r="B25" s="123">
        <v>8.8000000000000007</v>
      </c>
      <c r="C25" s="118">
        <v>3.2</v>
      </c>
      <c r="D25" s="118">
        <v>2</v>
      </c>
      <c r="E25" s="118">
        <v>1.6</v>
      </c>
      <c r="F25" s="118">
        <v>1.3</v>
      </c>
      <c r="G25" s="120">
        <v>2.7</v>
      </c>
    </row>
    <row r="26" spans="1:7" ht="12" x14ac:dyDescent="0.25">
      <c r="A26" s="31" t="s">
        <v>27</v>
      </c>
      <c r="B26" s="124">
        <v>6.5</v>
      </c>
      <c r="C26" s="117">
        <v>4.5</v>
      </c>
      <c r="D26" s="117">
        <v>5.0999999999999996</v>
      </c>
      <c r="E26" s="117">
        <v>5.0999999999999996</v>
      </c>
      <c r="F26" s="117">
        <v>3.3</v>
      </c>
      <c r="G26" s="121">
        <v>5.9</v>
      </c>
    </row>
    <row r="27" spans="1:7" ht="12" x14ac:dyDescent="0.25">
      <c r="A27" s="31" t="s">
        <v>28</v>
      </c>
      <c r="B27" s="124">
        <v>69.099999999999994</v>
      </c>
      <c r="C27" s="117">
        <v>73.2</v>
      </c>
      <c r="D27" s="117">
        <v>84.6</v>
      </c>
      <c r="E27" s="117">
        <v>82.8</v>
      </c>
      <c r="F27" s="117">
        <v>80.400000000000006</v>
      </c>
      <c r="G27" s="121">
        <v>79</v>
      </c>
    </row>
    <row r="28" spans="1:7" ht="12" x14ac:dyDescent="0.25">
      <c r="A28" s="31" t="s">
        <v>29</v>
      </c>
      <c r="B28" s="124">
        <v>1.8</v>
      </c>
      <c r="C28" s="117">
        <v>1.7</v>
      </c>
      <c r="D28" s="117">
        <v>2.2999999999999998</v>
      </c>
      <c r="E28" s="117">
        <v>2.4</v>
      </c>
      <c r="F28" s="117">
        <v>2.8</v>
      </c>
      <c r="G28" s="121">
        <v>2.8</v>
      </c>
    </row>
    <row r="29" spans="1:7" ht="12" x14ac:dyDescent="0.25">
      <c r="A29" s="31" t="s">
        <v>45</v>
      </c>
      <c r="B29" s="124">
        <v>0.1</v>
      </c>
      <c r="C29" s="117">
        <v>0.1</v>
      </c>
      <c r="D29" s="117">
        <v>0.2</v>
      </c>
      <c r="E29" s="117">
        <v>0.2</v>
      </c>
      <c r="F29" s="117">
        <v>0.2</v>
      </c>
      <c r="G29" s="121">
        <v>0.3</v>
      </c>
    </row>
    <row r="30" spans="1:7" ht="12" x14ac:dyDescent="0.25">
      <c r="A30" s="31" t="s">
        <v>46</v>
      </c>
      <c r="B30" s="124">
        <v>13</v>
      </c>
      <c r="C30" s="117">
        <v>16.8</v>
      </c>
      <c r="D30" s="117">
        <v>5.3</v>
      </c>
      <c r="E30" s="117">
        <v>7.4</v>
      </c>
      <c r="F30" s="117">
        <v>11.2</v>
      </c>
      <c r="G30" s="121">
        <v>8.6999999999999993</v>
      </c>
    </row>
    <row r="31" spans="1:7" ht="12" x14ac:dyDescent="0.25">
      <c r="A31" s="32" t="s">
        <v>47</v>
      </c>
      <c r="B31" s="125">
        <v>0.7</v>
      </c>
      <c r="C31" s="119">
        <v>0.5</v>
      </c>
      <c r="D31" s="119">
        <v>0.5</v>
      </c>
      <c r="E31" s="119">
        <v>0.5</v>
      </c>
      <c r="F31" s="119">
        <v>0.8</v>
      </c>
      <c r="G31" s="122">
        <v>0.6</v>
      </c>
    </row>
    <row r="36" spans="2:7" ht="13.8" x14ac:dyDescent="0.2">
      <c r="B36" s="51"/>
      <c r="C36" s="51"/>
      <c r="D36" s="52"/>
      <c r="E36" s="52"/>
      <c r="F36" s="52"/>
      <c r="G36" s="52"/>
    </row>
    <row r="37" spans="2:7" ht="13.8" x14ac:dyDescent="0.2">
      <c r="B37" s="51"/>
      <c r="C37" s="51"/>
      <c r="D37" s="52"/>
      <c r="E37" s="52"/>
      <c r="F37" s="52"/>
      <c r="G37" s="52"/>
    </row>
    <row r="38" spans="2:7" ht="13.8" x14ac:dyDescent="0.2">
      <c r="B38" s="51"/>
      <c r="C38" s="51"/>
      <c r="D38" s="52"/>
      <c r="E38" s="52"/>
      <c r="F38" s="52"/>
      <c r="G38" s="52"/>
    </row>
    <row r="39" spans="2:7" ht="13.8" x14ac:dyDescent="0.2">
      <c r="B39" s="51"/>
      <c r="C39" s="51"/>
      <c r="D39" s="52"/>
      <c r="E39" s="52"/>
      <c r="F39" s="52"/>
      <c r="G39" s="52"/>
    </row>
    <row r="40" spans="2:7" ht="13.8" x14ac:dyDescent="0.2">
      <c r="B40" s="51"/>
      <c r="C40" s="51"/>
      <c r="D40" s="52"/>
      <c r="E40" s="52"/>
      <c r="F40" s="52"/>
      <c r="G40" s="52"/>
    </row>
    <row r="41" spans="2:7" ht="13.8" x14ac:dyDescent="0.2">
      <c r="B41" s="51"/>
      <c r="C41" s="51"/>
      <c r="D41" s="52"/>
      <c r="E41" s="52"/>
      <c r="F41" s="52"/>
      <c r="G41" s="52"/>
    </row>
    <row r="42" spans="2:7" ht="13.8" x14ac:dyDescent="0.2">
      <c r="B42" s="51"/>
      <c r="C42" s="51"/>
      <c r="D42" s="52"/>
      <c r="E42" s="52"/>
      <c r="F42" s="52"/>
      <c r="G42" s="52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32"/>
  <sheetViews>
    <sheetView workbookViewId="0">
      <selection activeCell="A2" sqref="A2:G2"/>
    </sheetView>
  </sheetViews>
  <sheetFormatPr defaultColWidth="9.109375" defaultRowHeight="11.4" x14ac:dyDescent="0.2"/>
  <cols>
    <col min="1" max="1" width="26.44140625" style="3" bestFit="1" customWidth="1"/>
    <col min="2" max="2" width="14.88671875" style="3" customWidth="1"/>
    <col min="3" max="3" width="15.109375" style="3" customWidth="1"/>
    <col min="4" max="4" width="14.88671875" style="3" customWidth="1"/>
    <col min="5" max="6" width="14.5546875" style="3" customWidth="1"/>
    <col min="7" max="7" width="14.88671875" style="3" customWidth="1"/>
    <col min="8" max="16384" width="9.109375" style="3"/>
  </cols>
  <sheetData>
    <row r="2" spans="1:13" ht="12" x14ac:dyDescent="0.2">
      <c r="A2" s="161" t="s">
        <v>109</v>
      </c>
      <c r="B2" s="161"/>
      <c r="C2" s="161"/>
      <c r="D2" s="161"/>
      <c r="E2" s="161"/>
      <c r="F2" s="161"/>
      <c r="G2" s="161"/>
    </row>
    <row r="3" spans="1:13" x14ac:dyDescent="0.2">
      <c r="A3" s="40"/>
      <c r="B3" s="40"/>
      <c r="C3" s="40"/>
      <c r="D3" s="40"/>
      <c r="E3" s="40"/>
      <c r="F3" s="40"/>
      <c r="G3" s="40"/>
      <c r="H3" s="39"/>
      <c r="I3" s="39"/>
      <c r="J3" s="39"/>
      <c r="K3" s="39"/>
      <c r="L3" s="39"/>
      <c r="M3" s="39"/>
    </row>
    <row r="4" spans="1:13" ht="12" x14ac:dyDescent="0.25">
      <c r="A4" s="4"/>
      <c r="B4" s="4"/>
      <c r="C4" s="4"/>
      <c r="D4" s="4"/>
      <c r="E4" s="4"/>
      <c r="F4" s="4"/>
      <c r="G4" s="4"/>
    </row>
    <row r="5" spans="1:13" ht="12" x14ac:dyDescent="0.25">
      <c r="A5" s="4"/>
      <c r="B5" s="4"/>
      <c r="C5" s="4"/>
      <c r="D5" s="4"/>
      <c r="E5" s="4"/>
      <c r="F5" s="4"/>
      <c r="G5" s="4"/>
    </row>
    <row r="6" spans="1:13" ht="12" x14ac:dyDescent="0.25">
      <c r="A6" s="4"/>
      <c r="B6" s="4"/>
      <c r="C6" s="4"/>
      <c r="D6" s="4"/>
      <c r="E6" s="4"/>
      <c r="F6" s="4"/>
      <c r="G6" s="4"/>
    </row>
    <row r="7" spans="1:13" ht="12" x14ac:dyDescent="0.25">
      <c r="A7" s="4"/>
      <c r="B7" s="4"/>
      <c r="C7" s="4"/>
      <c r="D7" s="4"/>
      <c r="E7" s="4"/>
      <c r="F7" s="4"/>
      <c r="G7" s="4"/>
    </row>
    <row r="8" spans="1:13" ht="12" x14ac:dyDescent="0.25">
      <c r="A8" s="4"/>
      <c r="B8" s="4"/>
      <c r="C8" s="4"/>
      <c r="D8" s="4"/>
      <c r="E8" s="4"/>
      <c r="F8" s="4"/>
      <c r="G8" s="4"/>
    </row>
    <row r="9" spans="1:13" ht="12" x14ac:dyDescent="0.25">
      <c r="A9" s="4"/>
      <c r="B9" s="4"/>
      <c r="C9" s="4"/>
      <c r="D9" s="4"/>
      <c r="E9" s="4"/>
      <c r="F9" s="4"/>
      <c r="G9" s="4"/>
    </row>
    <row r="10" spans="1:13" ht="12" x14ac:dyDescent="0.25">
      <c r="A10" s="4"/>
      <c r="B10" s="4"/>
      <c r="C10" s="4"/>
      <c r="D10" s="4"/>
      <c r="E10" s="4"/>
      <c r="F10" s="4"/>
      <c r="G10" s="4"/>
    </row>
    <row r="11" spans="1:13" ht="12" x14ac:dyDescent="0.25">
      <c r="A11" s="4"/>
      <c r="B11" s="4"/>
      <c r="C11" s="4"/>
      <c r="D11" s="4"/>
      <c r="E11" s="4"/>
      <c r="F11" s="4"/>
      <c r="G11" s="4"/>
    </row>
    <row r="12" spans="1:13" ht="12" x14ac:dyDescent="0.25">
      <c r="A12" s="4"/>
      <c r="B12" s="4"/>
      <c r="C12" s="4"/>
      <c r="D12" s="4"/>
      <c r="E12" s="4"/>
      <c r="F12" s="4"/>
      <c r="G12" s="4"/>
    </row>
    <row r="13" spans="1:13" ht="12" x14ac:dyDescent="0.25">
      <c r="A13" s="4"/>
      <c r="B13" s="4"/>
      <c r="C13" s="4"/>
      <c r="D13" s="4"/>
      <c r="E13" s="4"/>
      <c r="F13" s="4"/>
      <c r="G13" s="4"/>
    </row>
    <row r="14" spans="1:13" ht="12" x14ac:dyDescent="0.25">
      <c r="A14" s="4"/>
      <c r="B14" s="4"/>
      <c r="C14" s="4"/>
      <c r="D14" s="4"/>
      <c r="E14" s="4"/>
      <c r="F14" s="4"/>
      <c r="G14" s="4"/>
    </row>
    <row r="15" spans="1:13" ht="12" x14ac:dyDescent="0.25">
      <c r="A15" s="4"/>
      <c r="B15" s="4"/>
      <c r="C15" s="4"/>
      <c r="D15" s="4"/>
      <c r="E15" s="4"/>
      <c r="F15" s="4"/>
      <c r="G15" s="4"/>
    </row>
    <row r="16" spans="1:13" ht="12" x14ac:dyDescent="0.25">
      <c r="A16" s="4"/>
      <c r="B16" s="4"/>
      <c r="C16" s="4"/>
      <c r="D16" s="4"/>
      <c r="E16" s="4"/>
      <c r="F16" s="4"/>
      <c r="G16" s="4"/>
    </row>
    <row r="17" spans="1:7" ht="12" x14ac:dyDescent="0.25">
      <c r="A17" s="4"/>
      <c r="B17" s="4"/>
      <c r="C17" s="4"/>
      <c r="D17" s="4"/>
      <c r="E17" s="4"/>
      <c r="F17" s="4"/>
      <c r="G17" s="4"/>
    </row>
    <row r="18" spans="1:7" ht="12" x14ac:dyDescent="0.25">
      <c r="A18" s="4"/>
      <c r="B18" s="4"/>
      <c r="C18" s="4"/>
      <c r="D18" s="4"/>
      <c r="E18" s="4"/>
      <c r="F18" s="4"/>
      <c r="G18" s="4"/>
    </row>
    <row r="19" spans="1:7" ht="12" x14ac:dyDescent="0.25">
      <c r="A19" s="5"/>
    </row>
    <row r="20" spans="1:7" ht="12" x14ac:dyDescent="0.25">
      <c r="A20" s="5"/>
    </row>
    <row r="21" spans="1:7" ht="12" x14ac:dyDescent="0.25">
      <c r="A21" s="5"/>
    </row>
    <row r="22" spans="1:7" ht="29.25" customHeight="1" x14ac:dyDescent="0.2">
      <c r="A22" s="20"/>
      <c r="B22" s="9" t="s">
        <v>100</v>
      </c>
      <c r="C22" s="9" t="s">
        <v>99</v>
      </c>
      <c r="D22" s="9" t="s">
        <v>98</v>
      </c>
      <c r="E22" s="9" t="s">
        <v>97</v>
      </c>
      <c r="F22" s="9" t="s">
        <v>96</v>
      </c>
      <c r="G22" s="9" t="s">
        <v>95</v>
      </c>
    </row>
    <row r="23" spans="1:7" ht="15" customHeight="1" x14ac:dyDescent="0.25">
      <c r="A23" s="16" t="s">
        <v>48</v>
      </c>
      <c r="B23" s="134">
        <v>47.5</v>
      </c>
      <c r="C23" s="135">
        <v>45.5</v>
      </c>
      <c r="D23" s="135">
        <v>46.3</v>
      </c>
      <c r="E23" s="135">
        <v>46.2</v>
      </c>
      <c r="F23" s="135">
        <v>41.7</v>
      </c>
      <c r="G23" s="140">
        <v>48.2</v>
      </c>
    </row>
    <row r="24" spans="1:7" ht="15" customHeight="1" x14ac:dyDescent="0.25">
      <c r="A24" s="17" t="s">
        <v>49</v>
      </c>
      <c r="B24" s="136">
        <v>24.7</v>
      </c>
      <c r="C24" s="137">
        <v>27.2</v>
      </c>
      <c r="D24" s="137">
        <v>25.6</v>
      </c>
      <c r="E24" s="137">
        <v>23.9</v>
      </c>
      <c r="F24" s="137">
        <v>33.799999999999997</v>
      </c>
      <c r="G24" s="141">
        <v>23.7</v>
      </c>
    </row>
    <row r="25" spans="1:7" ht="15.75" customHeight="1" x14ac:dyDescent="0.25">
      <c r="A25" s="18" t="s">
        <v>50</v>
      </c>
      <c r="B25" s="138">
        <v>27.8</v>
      </c>
      <c r="C25" s="139">
        <v>27.3</v>
      </c>
      <c r="D25" s="139">
        <v>28.1</v>
      </c>
      <c r="E25" s="139">
        <v>29.9</v>
      </c>
      <c r="F25" s="139">
        <v>24.5</v>
      </c>
      <c r="G25" s="142">
        <v>28.1</v>
      </c>
    </row>
    <row r="26" spans="1:7" x14ac:dyDescent="0.2">
      <c r="G26" s="6"/>
    </row>
    <row r="30" spans="1:7" ht="15.6" x14ac:dyDescent="0.2">
      <c r="B30" s="55"/>
      <c r="C30" s="55"/>
      <c r="D30" s="55"/>
      <c r="E30" s="55"/>
      <c r="F30" s="55"/>
      <c r="G30" s="55"/>
    </row>
    <row r="31" spans="1:7" ht="15.6" x14ac:dyDescent="0.2">
      <c r="B31" s="55"/>
      <c r="C31" s="55"/>
      <c r="D31" s="55"/>
      <c r="E31" s="55"/>
      <c r="F31" s="55"/>
      <c r="G31" s="55"/>
    </row>
    <row r="32" spans="1:7" ht="15.6" x14ac:dyDescent="0.2">
      <c r="B32" s="55"/>
      <c r="C32" s="55"/>
      <c r="D32" s="55"/>
      <c r="E32" s="55"/>
      <c r="F32" s="55"/>
      <c r="G32" s="55"/>
    </row>
  </sheetData>
  <mergeCells count="1">
    <mergeCell ref="A2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50"/>
  <sheetViews>
    <sheetView workbookViewId="0">
      <selection activeCell="A2" sqref="A2:G2"/>
    </sheetView>
  </sheetViews>
  <sheetFormatPr defaultColWidth="9.109375" defaultRowHeight="11.4" x14ac:dyDescent="0.2"/>
  <cols>
    <col min="1" max="1" width="22.88671875" style="3" customWidth="1"/>
    <col min="2" max="2" width="14.88671875" style="3" customWidth="1"/>
    <col min="3" max="3" width="14.44140625" style="3" customWidth="1"/>
    <col min="4" max="4" width="14.88671875" style="3" customWidth="1"/>
    <col min="5" max="5" width="14.33203125" style="3" customWidth="1"/>
    <col min="6" max="6" width="14.88671875" style="3" customWidth="1"/>
    <col min="7" max="7" width="14.44140625" style="3" customWidth="1"/>
    <col min="8" max="16384" width="9.109375" style="3"/>
  </cols>
  <sheetData>
    <row r="2" spans="1:10" ht="13.5" customHeight="1" x14ac:dyDescent="0.2">
      <c r="A2" s="155" t="s">
        <v>110</v>
      </c>
      <c r="B2" s="155"/>
      <c r="C2" s="155"/>
      <c r="D2" s="155"/>
      <c r="E2" s="155"/>
      <c r="F2" s="155"/>
      <c r="G2" s="155"/>
      <c r="H2" s="39"/>
      <c r="I2" s="39"/>
      <c r="J2" s="39"/>
    </row>
    <row r="3" spans="1:10" ht="15" customHeight="1" x14ac:dyDescent="0.2"/>
    <row r="4" spans="1:10" ht="13.5" customHeight="1" x14ac:dyDescent="0.2"/>
    <row r="5" spans="1:10" ht="13.5" customHeight="1" x14ac:dyDescent="0.2"/>
    <row r="6" spans="1:10" ht="15" customHeight="1" x14ac:dyDescent="0.2"/>
    <row r="7" spans="1:10" ht="15.75" customHeight="1" x14ac:dyDescent="0.2"/>
    <row r="8" spans="1:10" ht="16.5" customHeight="1" x14ac:dyDescent="0.2"/>
    <row r="9" spans="1:10" ht="13.5" customHeight="1" x14ac:dyDescent="0.2"/>
    <row r="10" spans="1:10" ht="14.25" customHeight="1" x14ac:dyDescent="0.2"/>
    <row r="11" spans="1:10" ht="16.5" customHeight="1" x14ac:dyDescent="0.2"/>
    <row r="12" spans="1:10" ht="17.25" customHeight="1" x14ac:dyDescent="0.2"/>
    <row r="13" spans="1:10" ht="21.75" customHeight="1" x14ac:dyDescent="0.2"/>
    <row r="17" spans="1:7" ht="15.75" customHeight="1" x14ac:dyDescent="0.2"/>
    <row r="24" spans="1:7" ht="26.25" customHeight="1" x14ac:dyDescent="0.2">
      <c r="A24" s="37"/>
      <c r="B24" s="9" t="s">
        <v>100</v>
      </c>
      <c r="C24" s="9" t="s">
        <v>99</v>
      </c>
      <c r="D24" s="9" t="s">
        <v>98</v>
      </c>
      <c r="E24" s="9" t="s">
        <v>97</v>
      </c>
      <c r="F24" s="9" t="s">
        <v>96</v>
      </c>
      <c r="G24" s="9" t="s">
        <v>95</v>
      </c>
    </row>
    <row r="25" spans="1:7" ht="12" x14ac:dyDescent="0.2">
      <c r="A25" s="143" t="s">
        <v>33</v>
      </c>
      <c r="B25" s="127">
        <f>IF(OR(109631.81951="",109631.81951="***"),"-",109631.81951/801858.14608*100)</f>
        <v>13.672221208445793</v>
      </c>
      <c r="C25" s="127">
        <f>IF(108721.15427="","-",108721.15427/831797.47999*100)</f>
        <v>13.070627993644205</v>
      </c>
      <c r="D25" s="127">
        <f>IF(123047.04085="","-",123047.04085/864616.67853*100)</f>
        <v>14.231398017813113</v>
      </c>
      <c r="E25" s="127">
        <f>IF(115956.42711="","-",115956.42711/920807.43432*100)</f>
        <v>12.592907353710906</v>
      </c>
      <c r="F25" s="127">
        <f>IF(169476.93199="","-",169476.93199/1290763.45346*100)</f>
        <v>13.129976025870802</v>
      </c>
      <c r="G25" s="128">
        <f>IF(246457.28072="","-",246457.28072/1485793.22823*100)</f>
        <v>16.587589446318876</v>
      </c>
    </row>
    <row r="26" spans="1:7" ht="12" x14ac:dyDescent="0.2">
      <c r="A26" s="144" t="s">
        <v>38</v>
      </c>
      <c r="B26" s="126">
        <f>IF(OR(62847.25821="",62847.25821="***"),"-",62847.25821/801858.14608*100)</f>
        <v>7.837702780378045</v>
      </c>
      <c r="C26" s="126">
        <f>IF(71815.17972="","-",71815.17972/831797.47999*100)</f>
        <v>8.6337337450052587</v>
      </c>
      <c r="D26" s="126">
        <f>IF(75016.20843="","-",75016.20843/864616.67853*100)</f>
        <v>8.6762388805106916</v>
      </c>
      <c r="E26" s="126">
        <f>IF(76137.19614="","-",76137.19614/920807.43432*100)</f>
        <v>8.2685253509302914</v>
      </c>
      <c r="F26" s="126">
        <f>IF(84783.80603="","-",84783.80603/1290763.45346*100)</f>
        <v>6.5685006654573215</v>
      </c>
      <c r="G26" s="129">
        <f>IF(188536.47396="","-",188536.47396/1485793.22823*100)</f>
        <v>12.689280740941339</v>
      </c>
    </row>
    <row r="27" spans="1:7" ht="12" x14ac:dyDescent="0.2">
      <c r="A27" s="144" t="s">
        <v>51</v>
      </c>
      <c r="B27" s="126">
        <f>IF(OR(97142.08327="",97142.08327="***"),"-",97142.08327/801858.14608*100)</f>
        <v>12.114621987055092</v>
      </c>
      <c r="C27" s="126">
        <f>IF(94761.84671="","-",94761.84671/831797.47999*100)</f>
        <v>11.392418105322854</v>
      </c>
      <c r="D27" s="126">
        <f>IF(92725.44566="","-",92725.44566/864616.67853*100)</f>
        <v>10.724457203121448</v>
      </c>
      <c r="E27" s="126">
        <f>IF(114898.8878="","-",114898.8878/920807.43432*100)</f>
        <v>12.478058225588805</v>
      </c>
      <c r="F27" s="126">
        <f>IF(127400.45406="","-",127400.45406/1290763.45346*100)</f>
        <v>9.8701627876503917</v>
      </c>
      <c r="G27" s="129">
        <f>IF(147982.16342="","-",147982.16342/1485793.22823*100)</f>
        <v>9.9598087141835077</v>
      </c>
    </row>
    <row r="28" spans="1:7" ht="12" x14ac:dyDescent="0.2">
      <c r="A28" s="144" t="s">
        <v>35</v>
      </c>
      <c r="B28" s="126">
        <f>IF(OR(50114.71037="",50114.71037="***"),"-",50114.71037/801858.14608*100)</f>
        <v>6.2498224424099256</v>
      </c>
      <c r="C28" s="126">
        <f>IF(53359.28007="","-",53359.28007/831797.47999*100)</f>
        <v>6.4149364903872383</v>
      </c>
      <c r="D28" s="126">
        <f>IF(63030.98079="","-",63030.98079/864616.67853*100)</f>
        <v>7.2900491460751979</v>
      </c>
      <c r="E28" s="126">
        <f>IF(69466.32473="","-",69466.32473/920807.43432*100)</f>
        <v>7.544066450907799</v>
      </c>
      <c r="F28" s="126">
        <f>IF(78940.65351="","-",78940.65351/1290763.45346*100)</f>
        <v>6.1158110185404571</v>
      </c>
      <c r="G28" s="129">
        <f>IF(112577.50185="","-",112577.50185/1485793.22823*100)</f>
        <v>7.5769292598076809</v>
      </c>
    </row>
    <row r="29" spans="1:7" ht="12" x14ac:dyDescent="0.2">
      <c r="A29" s="144" t="s">
        <v>60</v>
      </c>
      <c r="B29" s="126">
        <f>IF(OR(122931.65808="",122931.65808="***"),"-",122931.65808/801858.14608*100)</f>
        <v>15.330848564795316</v>
      </c>
      <c r="C29" s="126">
        <f>IF(133637.42836="","-",133637.42836/831797.47999*100)</f>
        <v>16.066101614254301</v>
      </c>
      <c r="D29" s="126">
        <f>IF(125961.54657="","-",125961.54657/864616.67853*100)</f>
        <v>14.568484473854554</v>
      </c>
      <c r="E29" s="126">
        <f>IF(122925.22967="","-",122925.22967/920807.43432*100)</f>
        <v>13.349721677777083</v>
      </c>
      <c r="F29" s="126">
        <f>IF(314274.95871="","-",314274.95871/1290763.45346*100)</f>
        <v>24.34799016563101</v>
      </c>
      <c r="G29" s="129">
        <f>IF(110298.74645="","-",110298.74645/1485793.22823*100)</f>
        <v>7.4235596417004137</v>
      </c>
    </row>
    <row r="30" spans="1:7" ht="12" x14ac:dyDescent="0.2">
      <c r="A30" s="144" t="s">
        <v>34</v>
      </c>
      <c r="B30" s="126">
        <f>IF(OR(64292.06489="",64292.06489="***"),"-",64292.06489/801858.14608*100)</f>
        <v>8.0178851090184846</v>
      </c>
      <c r="C30" s="126">
        <f>IF(65822.32263="","-",65822.32263/831797.47999*100)</f>
        <v>7.9132630494133407</v>
      </c>
      <c r="D30" s="126">
        <f>IF(67311.15812="","-",67311.15812/864616.67853*100)</f>
        <v>7.7850867085331688</v>
      </c>
      <c r="E30" s="126">
        <f>IF(72596.52068="","-",72596.52068/920807.43432*100)</f>
        <v>7.8840067938429765</v>
      </c>
      <c r="F30" s="126">
        <f>IF(85284.1953="","-",85284.1953/1290763.45346*100)</f>
        <v>6.6072675881385194</v>
      </c>
      <c r="G30" s="129">
        <f>IF(84741.92121="","-",84741.92121/1485793.22823*100)</f>
        <v>5.703480107454225</v>
      </c>
    </row>
    <row r="31" spans="1:7" ht="12" x14ac:dyDescent="0.2">
      <c r="A31" s="144" t="s">
        <v>36</v>
      </c>
      <c r="B31" s="126">
        <f>IF(OR(52463.70175="",52463.70175="***"),"-",52463.70175/801858.14608*100)</f>
        <v>6.5427659501217805</v>
      </c>
      <c r="C31" s="126">
        <f>IF(50454.12397="","-",50454.12397/831797.47999*100)</f>
        <v>6.0656740593403295</v>
      </c>
      <c r="D31" s="126">
        <f>IF(49871.05658="","-",49871.05658/864616.67853*100)</f>
        <v>5.7679961326665055</v>
      </c>
      <c r="E31" s="126">
        <f>IF(57613.10403="","-",57613.10403/920807.43432*100)</f>
        <v>6.256802658478346</v>
      </c>
      <c r="F31" s="126">
        <f>IF(66509.45703="","-",66509.45703/1290763.45346*100)</f>
        <v>5.152722356037879</v>
      </c>
      <c r="G31" s="129">
        <f>IF(62644.06715="","-",62644.06715/1485793.22823*100)</f>
        <v>4.2162035712483901</v>
      </c>
    </row>
    <row r="32" spans="1:7" ht="12" x14ac:dyDescent="0.2">
      <c r="A32" s="144" t="s">
        <v>59</v>
      </c>
      <c r="B32" s="126">
        <f>IF(OR(3064.73268="",3064.73268="***"),"-",3064.73268/801858.14608*100)</f>
        <v>0.38220384677544161</v>
      </c>
      <c r="C32" s="126">
        <f>IF(2698.89543="","-",2698.89543/831797.47999*100)</f>
        <v>0.3244654492139657</v>
      </c>
      <c r="D32" s="126">
        <f>IF(2360.8408="","-",2360.8408/864616.67853*100)</f>
        <v>0.27305057358063495</v>
      </c>
      <c r="E32" s="126">
        <f>IF(3470.04005="","-",3470.04005/920807.43432*100)</f>
        <v>0.37684752757915807</v>
      </c>
      <c r="F32" s="126">
        <f>IF(4532.90542="","-",4532.90542/1290763.45346*100)</f>
        <v>0.35118018005926382</v>
      </c>
      <c r="G32" s="129">
        <f>IF(55554.21246="","-",55554.21246/1485793.22823*100)</f>
        <v>3.7390271677426328</v>
      </c>
    </row>
    <row r="33" spans="1:7" ht="12" x14ac:dyDescent="0.2">
      <c r="A33" s="144" t="s">
        <v>37</v>
      </c>
      <c r="B33" s="126">
        <f>IF(OR(28120.12196="",28120.12196="***"),"-",28120.12196/801858.14608*100)</f>
        <v>3.5068698993044221</v>
      </c>
      <c r="C33" s="126">
        <f>IF(27285.71681="","-",27285.71681/831797.47999*100)</f>
        <v>3.2803317473777431</v>
      </c>
      <c r="D33" s="126">
        <f>IF(33568.67074="","-",33568.67074/864616.67853*100)</f>
        <v>3.8824916952877464</v>
      </c>
      <c r="E33" s="126">
        <f>IF(36876.75672="","-",36876.75672/920807.43432*100)</f>
        <v>4.0048283002007725</v>
      </c>
      <c r="F33" s="126">
        <f>IF(39594.52926="","-",39594.52926/1290763.45346*100)</f>
        <v>3.0675279156582516</v>
      </c>
      <c r="G33" s="129">
        <f>IF(45097.47871="","-",45097.47871/1485793.22823*100)</f>
        <v>3.0352459449370257</v>
      </c>
    </row>
    <row r="34" spans="1:7" ht="12" x14ac:dyDescent="0.2">
      <c r="A34" s="144" t="s">
        <v>40</v>
      </c>
      <c r="B34" s="126">
        <f>IF(OR(17901.4335="",17901.4335="***"),"-",17901.4335/801858.14608*100)</f>
        <v>2.2324938129660161</v>
      </c>
      <c r="C34" s="126">
        <f>IF(16865.48477="","-",16865.48477/831797.47999*100)</f>
        <v>2.0275950788168724</v>
      </c>
      <c r="D34" s="126">
        <f>IF(18753.81488="","-",18753.81488/864616.67853*100)</f>
        <v>2.1690322828244275</v>
      </c>
      <c r="E34" s="126">
        <f>IF(20112.68599="","-",20112.68599/920807.43432*100)</f>
        <v>2.1842445271798727</v>
      </c>
      <c r="F34" s="126">
        <f>IF(30589.549="","-",30589.549/1290763.45346*100)</f>
        <v>2.369880315250803</v>
      </c>
      <c r="G34" s="129">
        <f>IF(36854.58706="","-",36854.58706/1485793.22823*100)</f>
        <v>2.4804654079561419</v>
      </c>
    </row>
    <row r="35" spans="1:7" ht="12" x14ac:dyDescent="0.2">
      <c r="A35" s="144" t="s">
        <v>62</v>
      </c>
      <c r="B35" s="126">
        <f>IF(OR(21625.66642="",21625.66642="***"),"-",21625.66642/801858.14608*100)</f>
        <v>2.6969441572328239</v>
      </c>
      <c r="C35" s="126">
        <f>IF(21836.85881="","-",21836.85881/831797.47999*100)</f>
        <v>2.6252614771401483</v>
      </c>
      <c r="D35" s="126">
        <f>IF(21248.34128="","-",21248.34128/864616.67853*100)</f>
        <v>2.4575446909173562</v>
      </c>
      <c r="E35" s="126">
        <f>IF(28261.70129="","-",28261.70129/920807.43432*100)</f>
        <v>3.0692303555162721</v>
      </c>
      <c r="F35" s="126">
        <f>IF(31958.21513="","-",31958.21513/1290763.45346*100)</f>
        <v>2.4759157105303311</v>
      </c>
      <c r="G35" s="129">
        <f>IF(36555.38821="","-",36555.38821/1485793.22823*100)</f>
        <v>2.4603280938053409</v>
      </c>
    </row>
    <row r="36" spans="1:7" ht="13.5" customHeight="1" x14ac:dyDescent="0.2">
      <c r="A36" s="144" t="s">
        <v>75</v>
      </c>
      <c r="B36" s="126">
        <f>IF(OR(4045.07747="",4045.07747="***"),"-",4045.07747/801858.14608*100)</f>
        <v>0.50446297637243553</v>
      </c>
      <c r="C36" s="126">
        <f>IF(6133.80354="","-",6133.80354/831797.47999*100)</f>
        <v>0.73741549927197914</v>
      </c>
      <c r="D36" s="126">
        <f>IF(6244.8873="","-",6244.8873/864616.67853*100)</f>
        <v>0.72227236127545025</v>
      </c>
      <c r="E36" s="126">
        <f>IF(7026.79031="","-",7026.79031/920807.43432*100)</f>
        <v>0.76311181340419576</v>
      </c>
      <c r="F36" s="126">
        <f>IF(10623.37811="","-",10623.37811/1290763.45346*100)</f>
        <v>0.82303059336884232</v>
      </c>
      <c r="G36" s="129">
        <f>IF(32783.29172="","-",32783.29172/1485793.22823*100)</f>
        <v>2.2064504735328598</v>
      </c>
    </row>
    <row r="37" spans="1:7" ht="12" customHeight="1" x14ac:dyDescent="0.2">
      <c r="A37" s="144" t="s">
        <v>42</v>
      </c>
      <c r="B37" s="126">
        <f>IF(OR(9209.15099="",9209.15099="***"),"-",9209.15099/801858.14608*100)</f>
        <v>1.1484763277669836</v>
      </c>
      <c r="C37" s="126">
        <f>IF(5870.17023="","-",5870.17023/831797.47999*100)</f>
        <v>0.70572108851190218</v>
      </c>
      <c r="D37" s="126">
        <f>IF(8432.96019="","-",8432.96019/864616.67853*100)</f>
        <v>0.9753409111119058</v>
      </c>
      <c r="E37" s="126">
        <f>IF(7445.25802="","-",7445.25802/920807.43432*100)</f>
        <v>0.8085575487884924</v>
      </c>
      <c r="F37" s="126">
        <f>IF(12985.24124="","-",12985.24124/1290763.45346*100)</f>
        <v>1.0060124653507945</v>
      </c>
      <c r="G37" s="129">
        <f>IF(29966.09151="","-",29966.09151/1485793.22823*100)</f>
        <v>2.0168413033957688</v>
      </c>
    </row>
    <row r="38" spans="1:7" ht="11.25" customHeight="1" x14ac:dyDescent="0.2">
      <c r="A38" s="144" t="s">
        <v>90</v>
      </c>
      <c r="B38" s="126">
        <f>IF(OR(269.38437="",269.38437="***"),"-",269.38437/801858.14608*100)</f>
        <v>3.3595015691606382E-2</v>
      </c>
      <c r="C38" s="126">
        <f>IF(1095.81412="","-",1095.81412/831797.47999*100)</f>
        <v>0.13174049529618362</v>
      </c>
      <c r="D38" s="126">
        <f>IF(2000.42767="","-",2000.42767/864616.67853*100)</f>
        <v>0.23136584334702842</v>
      </c>
      <c r="E38" s="126">
        <f>IF(2089.68546="","-",2089.68546/920807.43432*100)</f>
        <v>0.22694055044670614</v>
      </c>
      <c r="F38" s="126">
        <f>IF(2713.74738="","-",2713.74738/1290763.45346*100)</f>
        <v>0.21024358667156026</v>
      </c>
      <c r="G38" s="129">
        <f>IF(25333.65572="","-",25333.65572/1485793.22823*100)</f>
        <v>1.705059306952122</v>
      </c>
    </row>
    <row r="39" spans="1:7" ht="12" x14ac:dyDescent="0.2">
      <c r="A39" s="144" t="s">
        <v>63</v>
      </c>
      <c r="B39" s="126">
        <f>IF(OR(11153.56591="",11153.56591="***"),"-",11153.56591/801858.14608*100)</f>
        <v>1.3909649686201764</v>
      </c>
      <c r="C39" s="126">
        <f>IF(16522.44166="","-",16522.44166/831797.47999*100)</f>
        <v>1.986353897128738</v>
      </c>
      <c r="D39" s="126">
        <f>IF(15185.75085="","-",15185.75085/864616.67853*100)</f>
        <v>1.7563564556513576</v>
      </c>
      <c r="E39" s="126">
        <f>IF(16943.69792="","-",16943.69792/920807.43432*100)</f>
        <v>1.8400913468419833</v>
      </c>
      <c r="F39" s="126">
        <f>IF(17587.36378="","-",17587.36378/1290763.45346*100)</f>
        <v>1.3625551399720524</v>
      </c>
      <c r="G39" s="129">
        <f>IF(20795.28719="","-",20795.28719/1485793.22823*100)</f>
        <v>1.3996084243009419</v>
      </c>
    </row>
    <row r="40" spans="1:7" ht="12" x14ac:dyDescent="0.2">
      <c r="A40" s="144" t="s">
        <v>64</v>
      </c>
      <c r="B40" s="126">
        <f>IF(OR(11219.45494="",11219.45494="***"),"-",11219.45494/801858.14608*100)</f>
        <v>1.3991820117869893</v>
      </c>
      <c r="C40" s="126">
        <f>IF(10565.62619="","-",10565.62619/831797.47999*100)</f>
        <v>1.2702161817233473</v>
      </c>
      <c r="D40" s="126">
        <f>IF(10527.80221="","-",10527.80221/864616.67853*100)</f>
        <v>1.2176265472809418</v>
      </c>
      <c r="E40" s="126">
        <f>IF(10208.36235="","-",10208.36235/920807.43432*100)</f>
        <v>1.1086316171565984</v>
      </c>
      <c r="F40" s="126">
        <f>IF(16520.80571="","-",16520.80571/1290763.45346*100)</f>
        <v>1.2799251222766335</v>
      </c>
      <c r="G40" s="129">
        <f>IF(19414.66732="","-",19414.66732/1485793.22823*100)</f>
        <v>1.3066870242185959</v>
      </c>
    </row>
    <row r="41" spans="1:7" ht="12" x14ac:dyDescent="0.2">
      <c r="A41" s="144" t="s">
        <v>41</v>
      </c>
      <c r="B41" s="126">
        <f>IF(OR(11822.15649="",11822.15649="***"),"-",11822.15649/801858.14608*100)</f>
        <v>1.4743451254806512</v>
      </c>
      <c r="C41" s="126">
        <f>IF(11070.39357="","-",11070.39357/831797.47999*100)</f>
        <v>1.3309001092589376</v>
      </c>
      <c r="D41" s="126">
        <f>IF(12231.45182="","-",12231.45182/864616.67853*100)</f>
        <v>1.4146675774050084</v>
      </c>
      <c r="E41" s="126">
        <f>IF(12461.68483="","-",12461.68483/920807.43432*100)</f>
        <v>1.3533432035334005</v>
      </c>
      <c r="F41" s="126">
        <f>IF(18158.14858="","-",18158.14858/1290763.45346*100)</f>
        <v>1.406775852796696</v>
      </c>
      <c r="G41" s="129">
        <f>IF(18019.8268="","-",18019.8268/1485793.22823*100)</f>
        <v>1.212808515856995</v>
      </c>
    </row>
    <row r="42" spans="1:7" ht="12" x14ac:dyDescent="0.2">
      <c r="A42" s="144" t="s">
        <v>52</v>
      </c>
      <c r="B42" s="126">
        <f>IF(OR(14689.33633="",14689.33633="***"),"-",14689.33633/801858.14608*100)</f>
        <v>1.8319120909117099</v>
      </c>
      <c r="C42" s="126">
        <f>IF(13792.95707="","-",13792.95707/831797.47999*100)</f>
        <v>1.6582109710365822</v>
      </c>
      <c r="D42" s="126">
        <f>IF(10139.14634="","-",10139.14634/864616.67853*100)</f>
        <v>1.1726753128609924</v>
      </c>
      <c r="E42" s="126">
        <f>IF(12142.49875="","-",12142.49875/920807.43432*100)</f>
        <v>1.3186794868752358</v>
      </c>
      <c r="F42" s="126">
        <f>IF(12223.27556="","-",12223.27556/1290763.45346*100)</f>
        <v>0.94698029505208581</v>
      </c>
      <c r="G42" s="129">
        <f>IF(16087.15118="","-",16087.15118/1485793.22823*100)</f>
        <v>1.0827314914582258</v>
      </c>
    </row>
    <row r="43" spans="1:7" ht="12" x14ac:dyDescent="0.2">
      <c r="A43" s="144" t="s">
        <v>39</v>
      </c>
      <c r="B43" s="126">
        <f>IF(OR(11355.32414="",11355.32414="***"),"-",11355.32414/801858.14608*100)</f>
        <v>1.4161263055706488</v>
      </c>
      <c r="C43" s="126">
        <f>IF(16080.80234="","-",16080.80234/831797.47999*100)</f>
        <v>1.9332593241558422</v>
      </c>
      <c r="D43" s="126">
        <f>IF(14656.69517="","-",14656.69517/864616.67853*100)</f>
        <v>1.6951668333438759</v>
      </c>
      <c r="E43" s="126">
        <f>IF(17595.93463="","-",17595.93463/920807.43432*100)</f>
        <v>1.9109244749956091</v>
      </c>
      <c r="F43" s="126">
        <f>IF(23441.63366="","-",23441.63366/1290763.45346*100)</f>
        <v>1.8161060880026256</v>
      </c>
      <c r="G43" s="129">
        <f>IF(14742.76508="","-",14742.76508/1485793.22823*100)</f>
        <v>0.99224877324032512</v>
      </c>
    </row>
    <row r="44" spans="1:7" ht="12" customHeight="1" x14ac:dyDescent="0.2">
      <c r="A44" s="144" t="s">
        <v>80</v>
      </c>
      <c r="B44" s="126">
        <f>IF(OR(8975.29304="",8975.29304="***"),"-",8975.29304/801858.14608*100)</f>
        <v>1.1193118239026472</v>
      </c>
      <c r="C44" s="126">
        <f>IF(7324.83383="","-",7324.83383/831797.47999*100)</f>
        <v>0.88060303213326163</v>
      </c>
      <c r="D44" s="126">
        <f>IF(9097.78512="","-",9097.78512/864616.67853*100)</f>
        <v>1.0522333591190758</v>
      </c>
      <c r="E44" s="126">
        <f>IF(8921.10899="","-",8921.10899/920807.43432*100)</f>
        <v>0.96883546521190733</v>
      </c>
      <c r="F44" s="126">
        <f>IF(11791.39881="","-",11791.39881/1290763.45346*100)</f>
        <v>0.91352127908426328</v>
      </c>
      <c r="G44" s="129">
        <f>IF(13482.59133="","-",13482.59133/1485793.22823*100)</f>
        <v>0.90743389280765385</v>
      </c>
    </row>
    <row r="45" spans="1:7" ht="12" x14ac:dyDescent="0.2">
      <c r="A45" s="144" t="s">
        <v>84</v>
      </c>
      <c r="B45" s="126">
        <f>IF(OR(4499.45642="",4499.45642="***"),"-",4499.45642/801858.14608*100)</f>
        <v>0.56112872856580021</v>
      </c>
      <c r="C45" s="126">
        <f>IF(5379.73784="","-",5379.73784/831797.47999*100)</f>
        <v>0.64676053599785799</v>
      </c>
      <c r="D45" s="126">
        <f>IF(3550.11235="","-",3550.11235/864616.67853*100)</f>
        <v>0.41059956835852546</v>
      </c>
      <c r="E45" s="126">
        <f>IF(4594.81391="","-",4594.81391/920807.43432*100)</f>
        <v>0.49899835065875514</v>
      </c>
      <c r="F45" s="126">
        <f>IF(5787.64853="","-",5787.64853/1290763.45346*100)</f>
        <v>0.44838955693126586</v>
      </c>
      <c r="G45" s="129">
        <f>IF(12907.27935="","-",12907.27935/1485793.22823*100)</f>
        <v>0.86871302848621956</v>
      </c>
    </row>
    <row r="46" spans="1:7" ht="12" x14ac:dyDescent="0.2">
      <c r="A46" s="144" t="s">
        <v>82</v>
      </c>
      <c r="B46" s="126">
        <f>IF(OR(5631.25519="",5631.25519="***"),"-",5631.25519/801858.14608*100)</f>
        <v>0.70227573511963537</v>
      </c>
      <c r="C46" s="126">
        <f>IF(6413.60941="","-",6413.60941/831797.47999*100)</f>
        <v>0.77105420060627083</v>
      </c>
      <c r="D46" s="126">
        <f>IF(8959.11137="","-",8959.11137/864616.67853*100)</f>
        <v>1.03619460420681</v>
      </c>
      <c r="E46" s="126">
        <f>IF(8310.63451="","-",8310.63451/920807.43432*100)</f>
        <v>0.90253772941540777</v>
      </c>
      <c r="F46" s="126">
        <f>IF(8595.30172="","-",8595.30172/1290763.45346*100)</f>
        <v>0.66590835810849547</v>
      </c>
      <c r="G46" s="129">
        <f>IF(12443.14822="","-",12443.14822/1485793.22823*100)</f>
        <v>0.83747509300626621</v>
      </c>
    </row>
    <row r="47" spans="1:7" ht="12" x14ac:dyDescent="0.2">
      <c r="A47" s="144" t="s">
        <v>117</v>
      </c>
      <c r="B47" s="126">
        <f>IF(OR(2098.92917="",2098.92917="***"),"-",2098.92917/801858.14608*100)</f>
        <v>0.26175816511448069</v>
      </c>
      <c r="C47" s="126">
        <f>IF(2008.32072="","-",2008.32072/831797.47999*100)</f>
        <v>0.24144347251739018</v>
      </c>
      <c r="D47" s="126">
        <f>IF(1287.60258="","-",1287.60258/864616.67853*100)</f>
        <v>0.14892178371913323</v>
      </c>
      <c r="E47" s="126">
        <f>IF(1646.21949="","-",1646.21949/920807.43432*100)</f>
        <v>0.17877999553899171</v>
      </c>
      <c r="F47" s="126">
        <f>IF(2438.31458="","-",2438.31458/1290763.45346*100)</f>
        <v>0.18890483561987231</v>
      </c>
      <c r="G47" s="129">
        <f>IF(9764.28457="","-",9764.28457/1485793.22823*100)</f>
        <v>0.65717654277049209</v>
      </c>
    </row>
    <row r="48" spans="1:7" ht="12" x14ac:dyDescent="0.2">
      <c r="A48" s="144" t="s">
        <v>43</v>
      </c>
      <c r="B48" s="126">
        <f>IF(OR(6837.1043="",6837.1043="***"),"-",6837.1043/801858.14608*100)</f>
        <v>0.85265758456457386</v>
      </c>
      <c r="C48" s="126">
        <f>IF(8928.38886="","-",8928.38886/831797.47999*100)</f>
        <v>1.0733849374137727</v>
      </c>
      <c r="D48" s="126">
        <f>IF(8518.32224="","-",8518.32224/864616.67853*100)</f>
        <v>0.98521373130144119</v>
      </c>
      <c r="E48" s="126">
        <f>IF(7913.16923="","-",7913.16923/920807.43432*100)</f>
        <v>0.8593728650598631</v>
      </c>
      <c r="F48" s="126">
        <f>IF(8111.57764="","-",8111.57764/1290763.45346*100)</f>
        <v>0.62843254651007008</v>
      </c>
      <c r="G48" s="129">
        <f>IF(9606.42372="","-",9606.42372/1485793.22823*100)</f>
        <v>0.6465518577873699</v>
      </c>
    </row>
    <row r="49" spans="1:7" ht="12" x14ac:dyDescent="0.2">
      <c r="A49" s="144" t="s">
        <v>83</v>
      </c>
      <c r="B49" s="126">
        <f>IF(OR(5388.70028="",5388.70028="***"),"-",5388.70028/801858.14608*100)</f>
        <v>0.67202663043874333</v>
      </c>
      <c r="C49" s="126">
        <f>IF(5653.41477="","-",5653.41477/831797.47999*100)</f>
        <v>0.6796624065352983</v>
      </c>
      <c r="D49" s="126">
        <f>IF(4818.28868="","-",4818.28868/864616.67853*100)</f>
        <v>0.55727454716602687</v>
      </c>
      <c r="E49" s="126">
        <f>IF(5813.85992="","-",5813.85992/920807.43432*100)</f>
        <v>0.63138716123566407</v>
      </c>
      <c r="F49" s="126">
        <f>IF(6380.14349="","-",6380.14349/1290763.45346*100)</f>
        <v>0.49429223246889187</v>
      </c>
      <c r="G49" s="129">
        <f>IF(9036.97893="","-",9036.97893/1485793.22823*100)</f>
        <v>0.60822587950313911</v>
      </c>
    </row>
    <row r="50" spans="1:7" ht="12" x14ac:dyDescent="0.2">
      <c r="A50" s="145" t="s">
        <v>118</v>
      </c>
      <c r="B50" s="130">
        <f>IF(OR(149.26807="",149.26807="***"),"-",149.26807/801858.14608*100)</f>
        <v>1.8615271383064277E-2</v>
      </c>
      <c r="C50" s="130">
        <f>IF(48.80784="","-",48.80784/831797.47999*100)</f>
        <v>5.8677552137554895E-3</v>
      </c>
      <c r="D50" s="130">
        <f>IF(1216.7106="","-",1216.7106/864616.67853*100)</f>
        <v>0.14072254563358894</v>
      </c>
      <c r="E50" s="130">
        <f>IF(91.27388="","-",91.27388/920807.43432*100)</f>
        <v>9.9123743573382595E-3</v>
      </c>
      <c r="F50" s="130">
        <f>IF(1199.168="","-",1199.168/1290763.45346*100)</f>
        <v>9.290377696901235E-2</v>
      </c>
      <c r="G50" s="110">
        <f>IF(8458.64156="","-",8458.64156/1485793.22823*100)</f>
        <v>0.56930139398176116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60"/>
  <sheetViews>
    <sheetView workbookViewId="0">
      <selection activeCell="A2" sqref="A2:G2"/>
    </sheetView>
  </sheetViews>
  <sheetFormatPr defaultColWidth="9.109375" defaultRowHeight="11.4" x14ac:dyDescent="0.2"/>
  <cols>
    <col min="1" max="1" width="47.109375" style="3" customWidth="1"/>
    <col min="2" max="2" width="13.6640625" style="3" customWidth="1"/>
    <col min="3" max="3" width="11.109375" style="3" customWidth="1"/>
    <col min="4" max="4" width="10.33203125" style="3" customWidth="1"/>
    <col min="5" max="5" width="10.109375" style="3" customWidth="1"/>
    <col min="6" max="16384" width="9.109375" style="3"/>
  </cols>
  <sheetData>
    <row r="2" spans="1:10" ht="13.2" x14ac:dyDescent="0.2">
      <c r="A2" s="147" t="s">
        <v>92</v>
      </c>
      <c r="B2" s="147"/>
      <c r="C2" s="147"/>
      <c r="D2" s="147"/>
      <c r="E2" s="147"/>
      <c r="F2" s="147"/>
      <c r="G2" s="147"/>
    </row>
    <row r="3" spans="1:10" ht="12" x14ac:dyDescent="0.25">
      <c r="A3" s="2"/>
      <c r="B3" s="2"/>
      <c r="C3" s="2"/>
      <c r="D3" s="2"/>
      <c r="E3" s="2"/>
      <c r="F3" s="2"/>
      <c r="G3" s="2"/>
    </row>
    <row r="4" spans="1:10" x14ac:dyDescent="0.2">
      <c r="A4" s="40"/>
      <c r="B4" s="40"/>
      <c r="C4" s="40"/>
      <c r="D4" s="40"/>
      <c r="E4" s="40"/>
      <c r="F4" s="40"/>
      <c r="G4" s="39"/>
      <c r="H4" s="39"/>
      <c r="I4" s="39"/>
      <c r="J4" s="39"/>
    </row>
    <row r="5" spans="1:10" ht="12" x14ac:dyDescent="0.25">
      <c r="A5" s="4"/>
      <c r="B5" s="4"/>
      <c r="C5" s="4"/>
      <c r="D5" s="4"/>
      <c r="E5" s="4"/>
      <c r="F5" s="4"/>
    </row>
    <row r="6" spans="1:10" ht="12" x14ac:dyDescent="0.25">
      <c r="A6" s="4"/>
      <c r="B6" s="4"/>
      <c r="C6" s="4"/>
      <c r="D6" s="4"/>
      <c r="E6" s="4"/>
      <c r="F6" s="4"/>
    </row>
    <row r="7" spans="1:10" ht="12" x14ac:dyDescent="0.25">
      <c r="A7" s="4"/>
      <c r="B7" s="4"/>
      <c r="C7" s="4"/>
      <c r="D7" s="4"/>
      <c r="E7" s="4"/>
      <c r="F7" s="4"/>
    </row>
    <row r="8" spans="1:10" ht="12" x14ac:dyDescent="0.25">
      <c r="A8" s="4"/>
      <c r="B8" s="4"/>
      <c r="C8" s="4"/>
      <c r="D8" s="4"/>
      <c r="E8" s="4"/>
      <c r="F8" s="4"/>
    </row>
    <row r="9" spans="1:10" ht="12" x14ac:dyDescent="0.25">
      <c r="A9" s="4"/>
      <c r="B9" s="4"/>
      <c r="C9" s="4"/>
      <c r="D9" s="4"/>
      <c r="E9" s="4"/>
      <c r="F9" s="4"/>
    </row>
    <row r="10" spans="1:10" ht="12" x14ac:dyDescent="0.25">
      <c r="A10" s="4"/>
      <c r="B10" s="4"/>
      <c r="C10" s="4"/>
      <c r="D10" s="4"/>
      <c r="E10" s="4"/>
      <c r="F10" s="4"/>
    </row>
    <row r="11" spans="1:10" ht="12" x14ac:dyDescent="0.25">
      <c r="A11" s="4"/>
      <c r="B11" s="4"/>
      <c r="C11" s="4"/>
      <c r="D11" s="4"/>
      <c r="E11" s="4"/>
      <c r="F11" s="4"/>
    </row>
    <row r="12" spans="1:10" ht="12" x14ac:dyDescent="0.25">
      <c r="A12" s="4"/>
      <c r="B12" s="4"/>
      <c r="C12" s="4"/>
      <c r="D12" s="4"/>
      <c r="E12" s="4"/>
      <c r="F12" s="4"/>
    </row>
    <row r="13" spans="1:10" ht="12" x14ac:dyDescent="0.25">
      <c r="A13" s="4"/>
      <c r="B13" s="4"/>
      <c r="C13" s="4"/>
      <c r="D13" s="4"/>
      <c r="E13" s="4"/>
      <c r="F13" s="4"/>
    </row>
    <row r="14" spans="1:10" ht="12" x14ac:dyDescent="0.25">
      <c r="A14" s="4"/>
      <c r="B14" s="4"/>
      <c r="C14" s="4"/>
      <c r="D14" s="4"/>
      <c r="E14" s="4"/>
      <c r="F14" s="4"/>
    </row>
    <row r="15" spans="1:10" ht="12" x14ac:dyDescent="0.25">
      <c r="A15" s="4"/>
      <c r="B15" s="4"/>
      <c r="C15" s="4"/>
      <c r="D15" s="4"/>
      <c r="E15" s="4"/>
      <c r="F15" s="4"/>
    </row>
    <row r="16" spans="1:10" ht="12" x14ac:dyDescent="0.25">
      <c r="A16" s="4"/>
      <c r="B16" s="4"/>
      <c r="C16" s="4"/>
      <c r="D16" s="4"/>
      <c r="E16" s="4"/>
      <c r="F16" s="4"/>
    </row>
    <row r="17" spans="1:6" ht="12" x14ac:dyDescent="0.25">
      <c r="A17" s="4"/>
      <c r="B17" s="4"/>
      <c r="C17" s="4"/>
      <c r="D17" s="4"/>
      <c r="E17" s="4"/>
      <c r="F17" s="4"/>
    </row>
    <row r="18" spans="1:6" ht="12" x14ac:dyDescent="0.25">
      <c r="A18" s="4"/>
      <c r="B18" s="4"/>
      <c r="C18" s="4"/>
      <c r="D18" s="4"/>
      <c r="E18" s="4"/>
      <c r="F18" s="4"/>
    </row>
    <row r="19" spans="1:6" ht="12" x14ac:dyDescent="0.25">
      <c r="A19" s="4"/>
      <c r="B19" s="4"/>
      <c r="C19" s="4"/>
      <c r="D19" s="4"/>
      <c r="E19" s="4"/>
      <c r="F19" s="4"/>
    </row>
    <row r="20" spans="1:6" ht="12" x14ac:dyDescent="0.25">
      <c r="A20" s="4"/>
      <c r="B20" s="4"/>
      <c r="C20" s="4"/>
      <c r="D20" s="4"/>
      <c r="E20" s="4"/>
      <c r="F20" s="4"/>
    </row>
    <row r="21" spans="1:6" ht="12" x14ac:dyDescent="0.25">
      <c r="A21" s="5"/>
    </row>
    <row r="22" spans="1:6" ht="12" x14ac:dyDescent="0.25">
      <c r="A22" s="5"/>
    </row>
    <row r="23" spans="1:6" ht="16.5" customHeight="1" x14ac:dyDescent="0.25">
      <c r="A23" s="5"/>
    </row>
    <row r="24" spans="1:6" ht="16.5" customHeight="1" x14ac:dyDescent="0.25">
      <c r="A24" s="5"/>
    </row>
    <row r="25" spans="1:6" ht="9.75" customHeight="1" x14ac:dyDescent="0.25">
      <c r="A25" s="5"/>
    </row>
    <row r="26" spans="1:6" ht="12" x14ac:dyDescent="0.25">
      <c r="A26" s="5"/>
    </row>
    <row r="27" spans="1:6" ht="12" x14ac:dyDescent="0.2">
      <c r="A27" s="103" t="s">
        <v>103</v>
      </c>
      <c r="B27" s="37" t="s">
        <v>44</v>
      </c>
    </row>
    <row r="28" spans="1:6" x14ac:dyDescent="0.2">
      <c r="A28" s="104" t="s">
        <v>86</v>
      </c>
      <c r="B28" s="111">
        <v>9.5</v>
      </c>
    </row>
    <row r="29" spans="1:6" ht="13.5" customHeight="1" x14ac:dyDescent="0.2">
      <c r="A29" s="106" t="s">
        <v>76</v>
      </c>
      <c r="B29" s="112">
        <v>17.2</v>
      </c>
    </row>
    <row r="30" spans="1:6" x14ac:dyDescent="0.2">
      <c r="A30" s="106" t="s">
        <v>70</v>
      </c>
      <c r="B30" s="112">
        <v>6.3</v>
      </c>
    </row>
    <row r="31" spans="1:6" x14ac:dyDescent="0.2">
      <c r="A31" s="106" t="s">
        <v>81</v>
      </c>
      <c r="B31" s="112">
        <v>5.5</v>
      </c>
    </row>
    <row r="32" spans="1:6" x14ac:dyDescent="0.2">
      <c r="A32" s="106" t="s">
        <v>69</v>
      </c>
      <c r="B32" s="112">
        <v>4</v>
      </c>
    </row>
    <row r="33" spans="1:2" x14ac:dyDescent="0.2">
      <c r="A33" s="106" t="s">
        <v>87</v>
      </c>
      <c r="B33" s="112">
        <v>3.7</v>
      </c>
    </row>
    <row r="34" spans="1:2" x14ac:dyDescent="0.2">
      <c r="A34" s="106" t="s">
        <v>119</v>
      </c>
      <c r="B34" s="112">
        <v>2.4</v>
      </c>
    </row>
    <row r="35" spans="1:2" x14ac:dyDescent="0.2">
      <c r="A35" s="106" t="s">
        <v>66</v>
      </c>
      <c r="B35" s="112">
        <v>2.6</v>
      </c>
    </row>
    <row r="36" spans="1:2" x14ac:dyDescent="0.2">
      <c r="A36" s="106" t="s">
        <v>67</v>
      </c>
      <c r="B36" s="112">
        <v>0.9</v>
      </c>
    </row>
    <row r="37" spans="1:2" x14ac:dyDescent="0.2">
      <c r="A37" s="106" t="s">
        <v>65</v>
      </c>
      <c r="B37" s="112">
        <v>2.1</v>
      </c>
    </row>
    <row r="38" spans="1:2" x14ac:dyDescent="0.2">
      <c r="A38" s="106" t="s">
        <v>77</v>
      </c>
      <c r="B38" s="112">
        <v>3.2</v>
      </c>
    </row>
    <row r="39" spans="1:2" x14ac:dyDescent="0.2">
      <c r="A39" s="106" t="s">
        <v>89</v>
      </c>
      <c r="B39" s="112">
        <v>2.2999999999999998</v>
      </c>
    </row>
    <row r="40" spans="1:2" x14ac:dyDescent="0.2">
      <c r="A40" s="106" t="s">
        <v>79</v>
      </c>
      <c r="B40" s="112">
        <v>2.6</v>
      </c>
    </row>
    <row r="41" spans="1:2" x14ac:dyDescent="0.2">
      <c r="A41" s="106" t="s">
        <v>72</v>
      </c>
      <c r="B41" s="112">
        <v>2.1</v>
      </c>
    </row>
    <row r="42" spans="1:2" x14ac:dyDescent="0.2">
      <c r="A42" s="109" t="s">
        <v>73</v>
      </c>
      <c r="B42" s="146">
        <v>35.6</v>
      </c>
    </row>
    <row r="43" spans="1:2" x14ac:dyDescent="0.2">
      <c r="A43" s="64"/>
      <c r="B43" s="33"/>
    </row>
    <row r="44" spans="1:2" ht="11.25" customHeight="1" x14ac:dyDescent="0.2">
      <c r="A44" s="103" t="s">
        <v>104</v>
      </c>
      <c r="B44" s="59" t="s">
        <v>44</v>
      </c>
    </row>
    <row r="45" spans="1:2" x14ac:dyDescent="0.2">
      <c r="A45" s="104" t="s">
        <v>86</v>
      </c>
      <c r="B45" s="111">
        <v>18.5</v>
      </c>
    </row>
    <row r="46" spans="1:2" x14ac:dyDescent="0.2">
      <c r="A46" s="106" t="s">
        <v>76</v>
      </c>
      <c r="B46" s="112">
        <v>12.8</v>
      </c>
    </row>
    <row r="47" spans="1:2" x14ac:dyDescent="0.2">
      <c r="A47" s="106" t="s">
        <v>70</v>
      </c>
      <c r="B47" s="112">
        <v>6.5</v>
      </c>
    </row>
    <row r="48" spans="1:2" x14ac:dyDescent="0.2">
      <c r="A48" s="106" t="s">
        <v>81</v>
      </c>
      <c r="B48" s="112">
        <v>5.5</v>
      </c>
    </row>
    <row r="49" spans="1:2" x14ac:dyDescent="0.2">
      <c r="A49" s="106" t="s">
        <v>69</v>
      </c>
      <c r="B49" s="112">
        <v>3.4</v>
      </c>
    </row>
    <row r="50" spans="1:2" x14ac:dyDescent="0.2">
      <c r="A50" s="106" t="s">
        <v>87</v>
      </c>
      <c r="B50" s="112">
        <v>3.2</v>
      </c>
    </row>
    <row r="51" spans="1:2" x14ac:dyDescent="0.2">
      <c r="A51" s="106" t="s">
        <v>119</v>
      </c>
      <c r="B51" s="112">
        <v>2.7</v>
      </c>
    </row>
    <row r="52" spans="1:2" x14ac:dyDescent="0.2">
      <c r="A52" s="106" t="s">
        <v>66</v>
      </c>
      <c r="B52" s="112">
        <v>2.6</v>
      </c>
    </row>
    <row r="53" spans="1:2" x14ac:dyDescent="0.2">
      <c r="A53" s="106" t="s">
        <v>67</v>
      </c>
      <c r="B53" s="112">
        <v>2.2999999999999998</v>
      </c>
    </row>
    <row r="54" spans="1:2" x14ac:dyDescent="0.2">
      <c r="A54" s="106" t="s">
        <v>65</v>
      </c>
      <c r="B54" s="112">
        <v>2.1</v>
      </c>
    </row>
    <row r="55" spans="1:2" x14ac:dyDescent="0.2">
      <c r="A55" s="106" t="s">
        <v>77</v>
      </c>
      <c r="B55" s="112">
        <v>2.1</v>
      </c>
    </row>
    <row r="56" spans="1:2" x14ac:dyDescent="0.2">
      <c r="A56" s="106" t="s">
        <v>89</v>
      </c>
      <c r="B56" s="112">
        <v>2</v>
      </c>
    </row>
    <row r="57" spans="1:2" x14ac:dyDescent="0.2">
      <c r="A57" s="106" t="s">
        <v>79</v>
      </c>
      <c r="B57" s="112">
        <v>1.9</v>
      </c>
    </row>
    <row r="58" spans="1:2" x14ac:dyDescent="0.2">
      <c r="A58" s="106" t="s">
        <v>72</v>
      </c>
      <c r="B58" s="112">
        <v>1.9</v>
      </c>
    </row>
    <row r="59" spans="1:2" x14ac:dyDescent="0.2">
      <c r="A59" s="109" t="s">
        <v>73</v>
      </c>
      <c r="B59" s="146">
        <v>32.5</v>
      </c>
    </row>
    <row r="60" spans="1:2" x14ac:dyDescent="0.2">
      <c r="A60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M2"/>
    </sheetView>
  </sheetViews>
  <sheetFormatPr defaultColWidth="9.109375" defaultRowHeight="11.4" x14ac:dyDescent="0.2"/>
  <cols>
    <col min="1" max="9" width="9.109375" style="3"/>
    <col min="10" max="10" width="11.44140625" style="3" customWidth="1"/>
    <col min="11" max="11" width="11.5546875" style="3" customWidth="1"/>
    <col min="12" max="12" width="11.33203125" style="3" customWidth="1"/>
    <col min="13" max="13" width="11.6640625" style="3" customWidth="1"/>
    <col min="14" max="16384" width="9.109375" style="3"/>
  </cols>
  <sheetData>
    <row r="2" spans="1:13" ht="13.2" x14ac:dyDescent="0.2">
      <c r="A2" s="155" t="s">
        <v>111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12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ht="12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ht="12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ht="12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ht="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ht="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ht="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ht="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ht="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ht="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ht="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ht="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ht="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ht="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ht="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ht="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ht="12" x14ac:dyDescent="0.25">
      <c r="A22" s="26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37" t="s">
        <v>5</v>
      </c>
      <c r="G22" s="37" t="s">
        <v>6</v>
      </c>
      <c r="H22" s="37" t="s">
        <v>7</v>
      </c>
      <c r="I22" s="37" t="s">
        <v>8</v>
      </c>
      <c r="J22" s="37" t="s">
        <v>9</v>
      </c>
      <c r="K22" s="37" t="s">
        <v>10</v>
      </c>
      <c r="L22" s="37" t="s">
        <v>11</v>
      </c>
      <c r="M22" s="37" t="s">
        <v>12</v>
      </c>
    </row>
    <row r="23" spans="1:13" ht="12" x14ac:dyDescent="0.25">
      <c r="A23" s="28">
        <v>2018</v>
      </c>
      <c r="B23" s="33">
        <v>-154</v>
      </c>
      <c r="C23" s="33">
        <v>-212.1</v>
      </c>
      <c r="D23" s="33">
        <v>-282</v>
      </c>
      <c r="E23" s="33">
        <v>-244.9</v>
      </c>
      <c r="F23" s="33">
        <v>-282.60000000000002</v>
      </c>
      <c r="G23" s="33">
        <v>-244.6</v>
      </c>
      <c r="H23" s="33">
        <v>-269.2</v>
      </c>
      <c r="I23" s="33">
        <v>-262.10000000000002</v>
      </c>
      <c r="J23" s="33">
        <v>-266.7</v>
      </c>
      <c r="K23" s="33">
        <v>-281.60000000000002</v>
      </c>
      <c r="L23" s="33">
        <v>-253.70000000000005</v>
      </c>
      <c r="M23" s="34">
        <v>-300.49999999999994</v>
      </c>
    </row>
    <row r="24" spans="1:13" ht="12" x14ac:dyDescent="0.25">
      <c r="A24" s="28">
        <v>2019</v>
      </c>
      <c r="B24" s="33">
        <v>-138.30000000000001</v>
      </c>
      <c r="C24" s="33">
        <v>-217.9</v>
      </c>
      <c r="D24" s="33">
        <v>-276.60000000000002</v>
      </c>
      <c r="E24" s="33">
        <v>-300</v>
      </c>
      <c r="F24" s="33">
        <v>-271.10000000000002</v>
      </c>
      <c r="G24" s="33">
        <v>-243.2</v>
      </c>
      <c r="H24" s="33">
        <v>-278.89999999999998</v>
      </c>
      <c r="I24" s="33">
        <v>-258.5</v>
      </c>
      <c r="J24" s="33">
        <v>-262.89999999999998</v>
      </c>
      <c r="K24" s="33">
        <v>-257</v>
      </c>
      <c r="L24" s="33">
        <v>-237.5</v>
      </c>
      <c r="M24" s="34">
        <v>-321.39999999999998</v>
      </c>
    </row>
    <row r="25" spans="1:13" ht="12" x14ac:dyDescent="0.25">
      <c r="A25" s="28">
        <v>2020</v>
      </c>
      <c r="B25" s="33">
        <v>-160.30000000000001</v>
      </c>
      <c r="C25" s="33">
        <v>-239.5</v>
      </c>
      <c r="D25" s="33">
        <v>-290.3</v>
      </c>
      <c r="E25" s="33">
        <v>-135.80000000000001</v>
      </c>
      <c r="F25" s="33">
        <v>-173.7</v>
      </c>
      <c r="G25" s="33">
        <v>-223.9</v>
      </c>
      <c r="H25" s="33">
        <v>-305.5</v>
      </c>
      <c r="I25" s="33">
        <v>-269.7</v>
      </c>
      <c r="J25" s="33">
        <v>-296</v>
      </c>
      <c r="K25" s="33">
        <v>-244.2</v>
      </c>
      <c r="L25" s="33">
        <v>-260.89999999999998</v>
      </c>
      <c r="M25" s="34">
        <v>-349</v>
      </c>
    </row>
    <row r="26" spans="1:13" ht="12" x14ac:dyDescent="0.25">
      <c r="A26" s="28">
        <v>2021</v>
      </c>
      <c r="B26" s="33">
        <v>-201</v>
      </c>
      <c r="C26" s="33">
        <v>-294.39999999999998</v>
      </c>
      <c r="D26" s="33">
        <v>-370.8</v>
      </c>
      <c r="E26" s="33">
        <v>-344</v>
      </c>
      <c r="F26" s="33">
        <v>-361.7</v>
      </c>
      <c r="G26" s="33">
        <v>-362.8</v>
      </c>
      <c r="H26" s="33">
        <v>-321.3</v>
      </c>
      <c r="I26" s="33">
        <v>-338.6</v>
      </c>
      <c r="J26" s="33">
        <v>-376.3</v>
      </c>
      <c r="K26" s="33">
        <v>-294.60000000000002</v>
      </c>
      <c r="L26" s="33">
        <v>-337.6</v>
      </c>
      <c r="M26" s="34">
        <v>-429.2</v>
      </c>
    </row>
    <row r="27" spans="1:13" ht="12" x14ac:dyDescent="0.25">
      <c r="A27" s="28">
        <v>2022</v>
      </c>
      <c r="B27" s="33">
        <v>-291.3</v>
      </c>
      <c r="C27" s="33">
        <v>-332.6</v>
      </c>
      <c r="D27" s="33">
        <v>-352.5</v>
      </c>
      <c r="E27" s="33">
        <v>-374.1</v>
      </c>
      <c r="F27" s="33">
        <v>-356.7</v>
      </c>
      <c r="G27" s="33">
        <v>-352</v>
      </c>
      <c r="H27" s="33">
        <v>-422.8</v>
      </c>
      <c r="I27" s="33">
        <v>-450.6</v>
      </c>
      <c r="J27" s="33">
        <v>-525.29999999999995</v>
      </c>
      <c r="K27" s="33">
        <v>-399.2</v>
      </c>
      <c r="L27" s="33">
        <v>-502.5</v>
      </c>
      <c r="M27" s="34">
        <v>-524.29999999999995</v>
      </c>
    </row>
    <row r="28" spans="1:13" ht="12" x14ac:dyDescent="0.25">
      <c r="A28" s="29">
        <v>2023</v>
      </c>
      <c r="B28" s="10">
        <v>-401.7</v>
      </c>
      <c r="C28" s="10">
        <v>-396.7</v>
      </c>
      <c r="D28" s="35"/>
      <c r="E28" s="35"/>
      <c r="F28" s="35"/>
      <c r="G28" s="35"/>
      <c r="H28" s="35"/>
      <c r="I28" s="35"/>
      <c r="J28" s="35"/>
      <c r="K28" s="35"/>
      <c r="L28" s="35"/>
      <c r="M28" s="36"/>
    </row>
  </sheetData>
  <mergeCells count="1">
    <mergeCell ref="A2:M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4"/>
  <sheetViews>
    <sheetView zoomScaleNormal="100" workbookViewId="0">
      <selection activeCell="A2" sqref="A2:F2"/>
    </sheetView>
  </sheetViews>
  <sheetFormatPr defaultColWidth="9.109375" defaultRowHeight="11.4" x14ac:dyDescent="0.2"/>
  <cols>
    <col min="1" max="1" width="20.88671875" style="3" customWidth="1"/>
    <col min="2" max="2" width="21.5546875" style="3" customWidth="1"/>
    <col min="3" max="3" width="21.44140625" style="3" customWidth="1"/>
    <col min="4" max="4" width="22.109375" style="3" customWidth="1"/>
    <col min="5" max="16384" width="9.109375" style="3"/>
  </cols>
  <sheetData>
    <row r="2" spans="1:13" ht="13.2" x14ac:dyDescent="0.2">
      <c r="A2" s="156" t="s">
        <v>112</v>
      </c>
      <c r="B2" s="156"/>
      <c r="C2" s="156"/>
      <c r="D2" s="156"/>
      <c r="E2" s="156"/>
      <c r="F2" s="156"/>
      <c r="G2" s="39"/>
      <c r="H2" s="39"/>
      <c r="I2" s="39"/>
      <c r="J2" s="39"/>
      <c r="K2" s="39"/>
      <c r="L2" s="39"/>
      <c r="M2" s="39"/>
    </row>
    <row r="3" spans="1:13" x14ac:dyDescent="0.2">
      <c r="A3" s="78"/>
      <c r="B3" s="78"/>
      <c r="C3" s="78"/>
      <c r="D3" s="78"/>
      <c r="E3" s="78"/>
      <c r="F3" s="78"/>
      <c r="G3" s="39"/>
      <c r="H3" s="39"/>
      <c r="I3" s="39"/>
      <c r="J3" s="39"/>
      <c r="K3" s="39"/>
      <c r="L3" s="39"/>
      <c r="M3" s="39"/>
    </row>
    <row r="4" spans="1:13" ht="19.5" customHeight="1" x14ac:dyDescent="0.25">
      <c r="A4" s="4"/>
      <c r="B4" s="4"/>
      <c r="C4" s="4"/>
      <c r="D4" s="4"/>
      <c r="E4" s="4"/>
      <c r="F4" s="4"/>
    </row>
    <row r="5" spans="1:13" ht="12" x14ac:dyDescent="0.25">
      <c r="A5" s="4"/>
      <c r="B5" s="4"/>
      <c r="C5" s="4"/>
      <c r="D5" s="4"/>
      <c r="E5" s="4"/>
      <c r="F5" s="4"/>
    </row>
    <row r="6" spans="1:13" ht="12" x14ac:dyDescent="0.25">
      <c r="A6" s="4"/>
      <c r="B6" s="4"/>
      <c r="C6" s="4"/>
      <c r="D6" s="4"/>
      <c r="E6" s="4"/>
      <c r="F6" s="4"/>
    </row>
    <row r="7" spans="1:13" ht="12" x14ac:dyDescent="0.25">
      <c r="A7" s="4"/>
      <c r="B7" s="4"/>
      <c r="C7" s="4"/>
      <c r="D7" s="4"/>
      <c r="E7" s="4"/>
      <c r="F7" s="4"/>
    </row>
    <row r="8" spans="1:13" ht="12" x14ac:dyDescent="0.25">
      <c r="A8" s="4"/>
      <c r="B8" s="4"/>
      <c r="C8" s="4"/>
      <c r="D8" s="4"/>
      <c r="E8" s="4"/>
      <c r="F8" s="4"/>
    </row>
    <row r="9" spans="1:13" ht="12" x14ac:dyDescent="0.25">
      <c r="A9" s="4"/>
      <c r="B9" s="4"/>
      <c r="C9" s="4"/>
      <c r="D9" s="4"/>
      <c r="E9" s="4"/>
      <c r="F9" s="4"/>
    </row>
    <row r="10" spans="1:13" ht="12" x14ac:dyDescent="0.25">
      <c r="A10" s="4"/>
      <c r="B10" s="4"/>
      <c r="C10" s="4"/>
      <c r="D10" s="4"/>
      <c r="E10" s="4"/>
      <c r="F10" s="4"/>
    </row>
    <row r="11" spans="1:13" ht="12" x14ac:dyDescent="0.25">
      <c r="A11" s="4"/>
      <c r="B11" s="4"/>
      <c r="C11" s="4"/>
      <c r="D11" s="4"/>
      <c r="E11" s="4"/>
      <c r="F11" s="4"/>
    </row>
    <row r="12" spans="1:13" ht="12" x14ac:dyDescent="0.25">
      <c r="A12" s="4"/>
      <c r="B12" s="4"/>
      <c r="C12" s="4"/>
      <c r="D12" s="4"/>
      <c r="E12" s="4"/>
      <c r="F12" s="4"/>
    </row>
    <row r="13" spans="1:13" ht="12" x14ac:dyDescent="0.25">
      <c r="A13" s="4"/>
      <c r="B13" s="4"/>
      <c r="C13" s="4"/>
      <c r="D13" s="4"/>
      <c r="E13" s="4"/>
      <c r="F13" s="4"/>
    </row>
    <row r="14" spans="1:13" ht="12" x14ac:dyDescent="0.25">
      <c r="A14" s="4"/>
      <c r="B14" s="4"/>
      <c r="C14" s="4"/>
      <c r="D14" s="4"/>
      <c r="E14" s="4"/>
      <c r="F14" s="4"/>
    </row>
    <row r="15" spans="1:13" ht="12" x14ac:dyDescent="0.25">
      <c r="A15" s="4"/>
      <c r="B15" s="4"/>
      <c r="C15" s="4"/>
      <c r="D15" s="4"/>
      <c r="E15" s="4"/>
      <c r="F15" s="4"/>
    </row>
    <row r="16" spans="1:13" ht="12" x14ac:dyDescent="0.25">
      <c r="A16" s="4"/>
      <c r="B16" s="4"/>
      <c r="C16" s="4"/>
      <c r="D16" s="4"/>
      <c r="E16" s="4"/>
      <c r="F16" s="4"/>
    </row>
    <row r="17" spans="1:6" ht="12" x14ac:dyDescent="0.25">
      <c r="A17" s="4"/>
      <c r="B17" s="4"/>
      <c r="C17" s="4"/>
      <c r="D17" s="4"/>
      <c r="E17" s="4"/>
      <c r="F17" s="4"/>
    </row>
    <row r="18" spans="1:6" ht="12" x14ac:dyDescent="0.25">
      <c r="A18" s="4"/>
      <c r="B18" s="4"/>
      <c r="C18" s="4"/>
      <c r="D18" s="4"/>
      <c r="E18" s="4"/>
      <c r="F18" s="4"/>
    </row>
    <row r="19" spans="1:6" ht="12" x14ac:dyDescent="0.25">
      <c r="A19" s="4"/>
      <c r="B19" s="4"/>
      <c r="C19" s="4"/>
      <c r="D19" s="4"/>
      <c r="E19" s="4"/>
      <c r="F19" s="4"/>
    </row>
    <row r="20" spans="1:6" ht="12" x14ac:dyDescent="0.25">
      <c r="A20" s="4"/>
      <c r="B20" s="4"/>
      <c r="C20" s="4"/>
      <c r="D20" s="4"/>
      <c r="E20" s="4"/>
      <c r="F20" s="4"/>
    </row>
    <row r="21" spans="1:6" ht="12" x14ac:dyDescent="0.25">
      <c r="A21" s="4"/>
      <c r="B21" s="4"/>
      <c r="C21" s="4"/>
      <c r="D21" s="4"/>
      <c r="E21" s="4"/>
      <c r="F21" s="4"/>
    </row>
    <row r="22" spans="1:6" ht="12" x14ac:dyDescent="0.25">
      <c r="A22" s="4"/>
      <c r="B22" s="4"/>
      <c r="C22" s="4"/>
      <c r="D22" s="4"/>
      <c r="E22" s="4"/>
      <c r="F22" s="4"/>
    </row>
    <row r="23" spans="1:6" ht="12" x14ac:dyDescent="0.25">
      <c r="A23" s="4"/>
      <c r="B23" s="4"/>
      <c r="C23" s="4"/>
      <c r="D23" s="4"/>
      <c r="E23" s="4"/>
      <c r="F23" s="4"/>
    </row>
    <row r="24" spans="1:6" ht="12" x14ac:dyDescent="0.25">
      <c r="A24" s="4"/>
      <c r="B24" s="4"/>
      <c r="C24" s="4"/>
      <c r="D24" s="4"/>
      <c r="E24" s="4"/>
      <c r="F24" s="4"/>
    </row>
    <row r="25" spans="1:6" ht="12" x14ac:dyDescent="0.25">
      <c r="A25" s="4"/>
      <c r="B25" s="4"/>
      <c r="C25" s="4"/>
      <c r="D25" s="4"/>
      <c r="E25" s="4"/>
      <c r="F25" s="4"/>
    </row>
    <row r="27" spans="1:6" ht="12" x14ac:dyDescent="0.2">
      <c r="A27" s="101" t="s">
        <v>53</v>
      </c>
      <c r="B27" s="21" t="s">
        <v>54</v>
      </c>
      <c r="C27" s="21" t="s">
        <v>55</v>
      </c>
      <c r="D27" s="22" t="s">
        <v>56</v>
      </c>
    </row>
    <row r="28" spans="1:6" ht="15.75" customHeight="1" x14ac:dyDescent="0.25">
      <c r="A28" s="99" t="s">
        <v>100</v>
      </c>
      <c r="B28" s="117">
        <v>435.79405199000001</v>
      </c>
      <c r="C28" s="117">
        <v>801.85814607999998</v>
      </c>
      <c r="D28" s="126">
        <v>-366.06409408999997</v>
      </c>
    </row>
    <row r="29" spans="1:6" ht="15" customHeight="1" x14ac:dyDescent="0.25">
      <c r="A29" s="100" t="s">
        <v>99</v>
      </c>
      <c r="B29" s="117">
        <v>475.66392916000001</v>
      </c>
      <c r="C29" s="117">
        <v>831.79747999000006</v>
      </c>
      <c r="D29" s="126">
        <v>-356.13355083000005</v>
      </c>
    </row>
    <row r="30" spans="1:6" ht="14.25" customHeight="1" x14ac:dyDescent="0.25">
      <c r="A30" s="100" t="s">
        <v>98</v>
      </c>
      <c r="B30" s="117">
        <v>464.79656014999995</v>
      </c>
      <c r="C30" s="117">
        <v>864.61667853000006</v>
      </c>
      <c r="D30" s="126">
        <v>-399.82011838000011</v>
      </c>
    </row>
    <row r="31" spans="1:6" ht="14.25" customHeight="1" x14ac:dyDescent="0.25">
      <c r="A31" s="100" t="s">
        <v>97</v>
      </c>
      <c r="B31" s="117">
        <v>425.47226165000001</v>
      </c>
      <c r="C31" s="117">
        <v>920.80743431999997</v>
      </c>
      <c r="D31" s="126">
        <v>-495.33517266999996</v>
      </c>
    </row>
    <row r="32" spans="1:6" ht="13.5" customHeight="1" x14ac:dyDescent="0.25">
      <c r="A32" s="100" t="s">
        <v>96</v>
      </c>
      <c r="B32" s="117">
        <v>666.82153755000002</v>
      </c>
      <c r="C32" s="117">
        <v>1290.7634534599999</v>
      </c>
      <c r="D32" s="126">
        <v>-624</v>
      </c>
    </row>
    <row r="33" spans="1:4" ht="13.5" customHeight="1" x14ac:dyDescent="0.25">
      <c r="A33" s="100" t="s">
        <v>95</v>
      </c>
      <c r="B33" s="117">
        <v>687.46643148999999</v>
      </c>
      <c r="C33" s="117">
        <v>1485.7932282300001</v>
      </c>
      <c r="D33" s="126">
        <v>-798.32679674000008</v>
      </c>
    </row>
    <row r="34" spans="1:4" x14ac:dyDescent="0.2">
      <c r="A34" s="1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38"/>
  <sheetViews>
    <sheetView workbookViewId="0">
      <selection activeCell="A2" sqref="A2:S2"/>
    </sheetView>
  </sheetViews>
  <sheetFormatPr defaultColWidth="9.109375" defaultRowHeight="11.4" x14ac:dyDescent="0.2"/>
  <cols>
    <col min="1" max="1" width="17.88671875" style="3" customWidth="1"/>
    <col min="2" max="2" width="5" style="3" customWidth="1"/>
    <col min="3" max="3" width="5.88671875" style="3" customWidth="1"/>
    <col min="4" max="4" width="5.6640625" style="3" customWidth="1"/>
    <col min="5" max="5" width="5.88671875" style="3" customWidth="1"/>
    <col min="6" max="6" width="6.109375" style="3" customWidth="1"/>
    <col min="7" max="8" width="5.5546875" style="3" customWidth="1"/>
    <col min="9" max="9" width="5.44140625" style="3" customWidth="1"/>
    <col min="10" max="10" width="5.6640625" style="3" customWidth="1"/>
    <col min="11" max="11" width="5.5546875" style="3" customWidth="1"/>
    <col min="12" max="12" width="6.109375" style="3" customWidth="1"/>
    <col min="13" max="13" width="6.5546875" style="3" customWidth="1"/>
    <col min="14" max="16" width="6" style="3" customWidth="1"/>
    <col min="17" max="17" width="5.88671875" style="3" customWidth="1"/>
    <col min="18" max="18" width="6.44140625" style="3" customWidth="1"/>
    <col min="19" max="19" width="5.88671875" style="3" customWidth="1"/>
    <col min="20" max="20" width="6.44140625" style="3" customWidth="1"/>
    <col min="21" max="21" width="6" style="3" customWidth="1"/>
    <col min="22" max="22" width="5.88671875" style="3" customWidth="1"/>
    <col min="23" max="23" width="6.88671875" style="3" customWidth="1"/>
    <col min="24" max="24" width="6.109375" style="3" customWidth="1"/>
    <col min="25" max="25" width="7.44140625" style="3" customWidth="1"/>
    <col min="26" max="26" width="6.88671875" style="3" customWidth="1"/>
    <col min="27" max="27" width="7.109375" style="3" customWidth="1"/>
    <col min="28" max="28" width="7.33203125" style="3" customWidth="1"/>
    <col min="29" max="29" width="7.88671875" style="3" customWidth="1"/>
    <col min="30" max="30" width="7" style="3" customWidth="1"/>
    <col min="31" max="31" width="6.88671875" style="3" customWidth="1"/>
    <col min="32" max="16384" width="9.109375" style="3"/>
  </cols>
  <sheetData>
    <row r="2" spans="1:19" ht="15.75" customHeight="1" x14ac:dyDescent="0.2">
      <c r="A2" s="155" t="s">
        <v>94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15.7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9" ht="14.25" customHeight="1" x14ac:dyDescent="0.25">
      <c r="A4" s="4"/>
    </row>
    <row r="5" spans="1:19" ht="14.25" customHeight="1" x14ac:dyDescent="0.25">
      <c r="A5" s="4"/>
    </row>
    <row r="6" spans="1:19" ht="15" customHeight="1" x14ac:dyDescent="0.25">
      <c r="A6" s="4"/>
    </row>
    <row r="7" spans="1:19" ht="16.5" customHeight="1" x14ac:dyDescent="0.25">
      <c r="A7" s="4"/>
    </row>
    <row r="8" spans="1:19" ht="15" customHeight="1" x14ac:dyDescent="0.25">
      <c r="A8" s="4"/>
    </row>
    <row r="9" spans="1:19" ht="14.25" customHeight="1" x14ac:dyDescent="0.25">
      <c r="A9" s="4"/>
    </row>
    <row r="10" spans="1:19" ht="13.5" customHeight="1" x14ac:dyDescent="0.25">
      <c r="A10" s="4"/>
    </row>
    <row r="11" spans="1:19" ht="17.25" customHeight="1" x14ac:dyDescent="0.25">
      <c r="A11" s="4"/>
    </row>
    <row r="12" spans="1:19" ht="17.25" customHeight="1" x14ac:dyDescent="0.25">
      <c r="A12" s="4"/>
    </row>
    <row r="13" spans="1:19" ht="16.5" customHeight="1" x14ac:dyDescent="0.25">
      <c r="A13" s="4"/>
    </row>
    <row r="14" spans="1:19" ht="15" customHeight="1" x14ac:dyDescent="0.25">
      <c r="A14" s="4"/>
    </row>
    <row r="15" spans="1:19" ht="15" customHeight="1" x14ac:dyDescent="0.25">
      <c r="A15" s="4"/>
    </row>
    <row r="16" spans="1:19" ht="15.75" customHeight="1" x14ac:dyDescent="0.25">
      <c r="A16" s="4"/>
    </row>
    <row r="17" spans="1:27" ht="22.5" customHeight="1" x14ac:dyDescent="0.25">
      <c r="A17" s="4"/>
    </row>
    <row r="18" spans="1:27" ht="12" x14ac:dyDescent="0.25">
      <c r="A18" s="4"/>
    </row>
    <row r="19" spans="1:27" ht="12" x14ac:dyDescent="0.25">
      <c r="A19" s="5"/>
    </row>
    <row r="20" spans="1:27" ht="12" x14ac:dyDescent="0.25">
      <c r="A20" s="5"/>
    </row>
    <row r="21" spans="1:27" ht="12" x14ac:dyDescent="0.25">
      <c r="A21" s="5"/>
    </row>
    <row r="22" spans="1:27" ht="19.5" customHeight="1" x14ac:dyDescent="0.25">
      <c r="A22" s="5"/>
    </row>
    <row r="23" spans="1:27" ht="15" customHeight="1" x14ac:dyDescent="0.25">
      <c r="A23" s="150"/>
      <c r="B23" s="152">
        <v>2021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152">
        <v>2022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4"/>
      <c r="Z23" s="148">
        <v>2023</v>
      </c>
      <c r="AA23" s="149"/>
    </row>
    <row r="24" spans="1:27" ht="12" x14ac:dyDescent="0.25">
      <c r="A24" s="151"/>
      <c r="B24" s="20" t="s">
        <v>13</v>
      </c>
      <c r="C24" s="56" t="s">
        <v>14</v>
      </c>
      <c r="D24" s="20" t="s">
        <v>15</v>
      </c>
      <c r="E24" s="20" t="s">
        <v>16</v>
      </c>
      <c r="F24" s="20" t="s">
        <v>17</v>
      </c>
      <c r="G24" s="20" t="s">
        <v>22</v>
      </c>
      <c r="H24" s="20" t="s">
        <v>18</v>
      </c>
      <c r="I24" s="20" t="s">
        <v>23</v>
      </c>
      <c r="J24" s="48" t="s">
        <v>19</v>
      </c>
      <c r="K24" s="27" t="s">
        <v>24</v>
      </c>
      <c r="L24" s="27" t="s">
        <v>20</v>
      </c>
      <c r="M24" s="27" t="s">
        <v>21</v>
      </c>
      <c r="N24" s="95" t="s">
        <v>13</v>
      </c>
      <c r="O24" s="95" t="s">
        <v>14</v>
      </c>
      <c r="P24" s="96" t="s">
        <v>15</v>
      </c>
      <c r="Q24" s="87" t="s">
        <v>16</v>
      </c>
      <c r="R24" s="60" t="s">
        <v>17</v>
      </c>
      <c r="S24" s="60" t="s">
        <v>22</v>
      </c>
      <c r="T24" s="60" t="s">
        <v>18</v>
      </c>
      <c r="U24" s="60" t="s">
        <v>23</v>
      </c>
      <c r="V24" s="60" t="s">
        <v>19</v>
      </c>
      <c r="W24" s="60" t="s">
        <v>24</v>
      </c>
      <c r="X24" s="60" t="s">
        <v>20</v>
      </c>
      <c r="Y24" s="60" t="s">
        <v>21</v>
      </c>
      <c r="Z24" s="20" t="s">
        <v>13</v>
      </c>
      <c r="AA24" s="20" t="s">
        <v>14</v>
      </c>
    </row>
    <row r="25" spans="1:27" ht="28.5" customHeight="1" x14ac:dyDescent="0.25">
      <c r="A25" s="13" t="s">
        <v>57</v>
      </c>
      <c r="B25" s="15">
        <v>90.925213233797848</v>
      </c>
      <c r="C25" s="15">
        <v>114.41147354263464</v>
      </c>
      <c r="D25" s="15">
        <v>114.20579997969134</v>
      </c>
      <c r="E25" s="15">
        <v>84.167356355788357</v>
      </c>
      <c r="F25" s="15">
        <v>92.421884276527052</v>
      </c>
      <c r="G25" s="15">
        <v>112.45124175218632</v>
      </c>
      <c r="H25" s="15">
        <v>106.13290668113962</v>
      </c>
      <c r="I25" s="15">
        <v>98.163759117159898</v>
      </c>
      <c r="J25" s="15">
        <v>124.79747973247373</v>
      </c>
      <c r="K25" s="15">
        <v>119.44752327758337</v>
      </c>
      <c r="L25" s="15">
        <v>103.29810746017232</v>
      </c>
      <c r="M25" s="11">
        <v>89.310814590947814</v>
      </c>
      <c r="N25" s="57">
        <v>101.65548055101389</v>
      </c>
      <c r="O25" s="14">
        <v>101.84864374682041</v>
      </c>
      <c r="P25" s="14">
        <v>117.64360095679429</v>
      </c>
      <c r="Q25" s="58">
        <v>100.12867315249881</v>
      </c>
      <c r="R25" s="14">
        <v>104.95231951698101</v>
      </c>
      <c r="S25" s="14">
        <v>100.11263227721525</v>
      </c>
      <c r="T25" s="14">
        <v>81.219091406345484</v>
      </c>
      <c r="U25" s="14">
        <v>97.395817403540036</v>
      </c>
      <c r="V25" s="14">
        <v>96.775293757579718</v>
      </c>
      <c r="W25" s="84">
        <v>110.41268252711565</v>
      </c>
      <c r="X25" s="84">
        <v>101.07685140675132</v>
      </c>
      <c r="Y25" s="82">
        <v>98.231011775552389</v>
      </c>
      <c r="Z25" s="114">
        <v>95.553720472385507</v>
      </c>
      <c r="AA25" s="82">
        <v>107.23240280044752</v>
      </c>
    </row>
    <row r="26" spans="1:27" ht="40.5" customHeight="1" x14ac:dyDescent="0.25">
      <c r="A26" s="18" t="s">
        <v>58</v>
      </c>
      <c r="B26" s="19">
        <f>IF(219472.10441="","-",198437.26393/219472.10441*100)</f>
        <v>90.415711128050958</v>
      </c>
      <c r="C26" s="10">
        <f>IF(245324.45574="","-",227034.99772/245324.45574*100)</f>
        <v>92.544788099159774</v>
      </c>
      <c r="D26" s="10">
        <f>IF(210230.63314="","-",259287.13538/210230.63314*100)</f>
        <v>123.33461185332185</v>
      </c>
      <c r="E26" s="10">
        <f>IF(149859.83301="","-",218235.12722/149859.83301*100)</f>
        <v>145.62616468779689</v>
      </c>
      <c r="F26" s="10">
        <f>IF(155710.73078="","-",201697.01673/155710.73078*100)</f>
        <v>129.53315145310887</v>
      </c>
      <c r="G26" s="10">
        <f>IF(189578.77956="","-",226810.79989/189578.77956*100)</f>
        <v>119.63933960141166</v>
      </c>
      <c r="H26" s="10">
        <f>IF(191130.33065="","-",240720.89459/191130.33065*100)</f>
        <v>125.94594158412818</v>
      </c>
      <c r="I26" s="10">
        <f>IF(163909.5874="","-",236300.67911/163909.5874*100)</f>
        <v>144.1652577242715</v>
      </c>
      <c r="J26" s="10">
        <f>IF(212259.13319="","-",294897.29212/212259.13319*100)</f>
        <v>138.93267521074247</v>
      </c>
      <c r="K26" s="10">
        <f>IF(249353.22858="","-",352247.51165/249353.22858*100)</f>
        <v>141.26446794210585</v>
      </c>
      <c r="L26" s="10">
        <f>IF(262034.9772="","-",363865.01311/262034.9772*100)</f>
        <v>138.86123791492062</v>
      </c>
      <c r="M26" s="12">
        <f>IF(218242.28602="","-",324970.80722/218242.28602*100)</f>
        <v>148.90368550768355</v>
      </c>
      <c r="N26" s="19">
        <f>IF(198437.26393="","-",330345.74715/198437.26393*100)</f>
        <v>166.47364542706634</v>
      </c>
      <c r="O26" s="83">
        <f>IF(227034.99772="","-",336464.33268/227034.99772*100)</f>
        <v>148.19932435921535</v>
      </c>
      <c r="P26" s="83">
        <f>IF(259287.13538="","-",395828.7569/259287.13538*100)</f>
        <v>152.66039185472528</v>
      </c>
      <c r="Q26" s="83">
        <f>IF(218235.12722="","-",396338.08224/218235.12722*100)</f>
        <v>181.61058088529293</v>
      </c>
      <c r="R26" s="83">
        <f>IF(201697.01673="","-",415966.01044/201697.01673*100)</f>
        <v>206.23310011413275</v>
      </c>
      <c r="S26" s="83">
        <f>IF(226810.79989="","-",416434.52243/226810.79989*100)</f>
        <v>183.60436215205132</v>
      </c>
      <c r="T26" s="83">
        <f>IF(240720.89459="","-",338224.33542/240720.89459*100)</f>
        <v>140.50476839414773</v>
      </c>
      <c r="U26" s="83">
        <f>IF(236300.67911="","-",329416.35614/236300.67911*100)</f>
        <v>139.40559010693906</v>
      </c>
      <c r="V26" s="83">
        <f>IF(294897.29212="","-",318793.64634/294897.29212*100)</f>
        <v>108.10328031438013</v>
      </c>
      <c r="W26" s="10">
        <f>IF(352247.51165="","-",351988.61665/352247.51165*100)</f>
        <v>99.926501964829413</v>
      </c>
      <c r="X26" s="10">
        <f>IF(363865.01311="","-",355779.01102/363865.01311*100)</f>
        <v>97.777746747100537</v>
      </c>
      <c r="Y26" s="12">
        <f>IF(324970.80722="","-",349485.32221/324970.80722*100)</f>
        <v>107.54360528556772</v>
      </c>
      <c r="Z26" s="115">
        <f>IF(330357.20487="","-",331736.93988/330357.20487*100)</f>
        <v>100.41764943814164</v>
      </c>
      <c r="AA26" s="116">
        <f>IF(336464.33268="","-",355729.49161/336464.33268*100)</f>
        <v>105.72576557418421</v>
      </c>
    </row>
    <row r="29" spans="1:27" ht="15.6" x14ac:dyDescent="0.3">
      <c r="N29" s="69"/>
      <c r="O29" s="90"/>
      <c r="P29" s="65"/>
      <c r="Q29" s="91"/>
      <c r="R29" s="65"/>
      <c r="S29" s="65"/>
      <c r="T29" s="65"/>
      <c r="U29" s="65"/>
      <c r="V29" s="65"/>
      <c r="W29" s="80"/>
      <c r="X29" s="80"/>
      <c r="Y29" s="80"/>
    </row>
    <row r="30" spans="1:27" ht="15.6" x14ac:dyDescent="0.3">
      <c r="N30" s="66"/>
      <c r="O30" s="92"/>
      <c r="P30" s="93"/>
      <c r="Q30" s="93"/>
      <c r="R30" s="93"/>
      <c r="S30" s="93"/>
      <c r="T30" s="93"/>
      <c r="U30" s="93"/>
      <c r="V30" s="93"/>
      <c r="W30" s="69"/>
      <c r="X30" s="69"/>
      <c r="Y30" s="89"/>
    </row>
    <row r="33" spans="14:21" ht="15.6" x14ac:dyDescent="0.3">
      <c r="N33" s="69"/>
      <c r="O33" s="70"/>
      <c r="P33" s="71"/>
      <c r="Q33" s="71"/>
      <c r="R33" s="71"/>
      <c r="S33" s="72"/>
      <c r="T33" s="47"/>
      <c r="U33" s="47"/>
    </row>
    <row r="34" spans="14:21" ht="15.6" x14ac:dyDescent="0.3">
      <c r="N34" s="71"/>
      <c r="O34" s="71"/>
      <c r="P34" s="71"/>
      <c r="Q34" s="71"/>
      <c r="R34" s="71"/>
      <c r="S34" s="72"/>
      <c r="T34" s="47"/>
      <c r="U34" s="47"/>
    </row>
    <row r="35" spans="14:21" ht="15.6" x14ac:dyDescent="0.3">
      <c r="N35" s="73"/>
      <c r="O35" s="73"/>
      <c r="P35" s="71"/>
      <c r="Q35" s="71"/>
      <c r="R35" s="73"/>
      <c r="S35" s="74"/>
      <c r="T35" s="74"/>
      <c r="U35" s="74"/>
    </row>
    <row r="36" spans="14:21" ht="15.6" x14ac:dyDescent="0.3">
      <c r="N36" s="73"/>
      <c r="O36" s="73"/>
      <c r="P36" s="71"/>
      <c r="Q36" s="71"/>
      <c r="R36" s="73"/>
      <c r="S36" s="74"/>
      <c r="T36" s="74"/>
      <c r="U36" s="74"/>
    </row>
    <row r="37" spans="14:21" ht="16.8" x14ac:dyDescent="0.3">
      <c r="N37" s="68"/>
      <c r="O37" s="70"/>
      <c r="P37" s="71"/>
      <c r="Q37" s="71"/>
      <c r="R37" s="71"/>
      <c r="S37" s="75"/>
      <c r="T37" s="47"/>
      <c r="U37" s="43"/>
    </row>
    <row r="38" spans="14:21" ht="15.6" x14ac:dyDescent="0.3">
      <c r="N38" s="71"/>
      <c r="O38" s="71"/>
      <c r="P38" s="71"/>
      <c r="Q38" s="71"/>
      <c r="R38" s="71"/>
      <c r="S38" s="72"/>
      <c r="T38" s="47"/>
      <c r="U38" s="47"/>
    </row>
  </sheetData>
  <mergeCells count="5">
    <mergeCell ref="Z23:AA23"/>
    <mergeCell ref="A23:A24"/>
    <mergeCell ref="B23:M23"/>
    <mergeCell ref="N23:Y23"/>
    <mergeCell ref="A2:S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76FF0-9D19-40BF-BBF5-2C06B16AC70D}">
  <dimension ref="A1"/>
  <sheetViews>
    <sheetView workbookViewId="0">
      <selection activeCell="D32" sqref="D32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0"/>
  <sheetViews>
    <sheetView workbookViewId="0">
      <selection activeCell="A2" sqref="A2:G2"/>
    </sheetView>
  </sheetViews>
  <sheetFormatPr defaultColWidth="9.109375" defaultRowHeight="11.4" x14ac:dyDescent="0.2"/>
  <cols>
    <col min="1" max="1" width="24.44140625" style="3" customWidth="1"/>
    <col min="2" max="2" width="14.5546875" style="3" customWidth="1"/>
    <col min="3" max="3" width="14.6640625" style="3" customWidth="1"/>
    <col min="4" max="4" width="14.109375" style="3" customWidth="1"/>
    <col min="5" max="5" width="15" style="3" customWidth="1"/>
    <col min="6" max="7" width="14.33203125" style="3" customWidth="1"/>
    <col min="8" max="8" width="14.88671875" style="3" customWidth="1"/>
    <col min="9" max="16384" width="9.109375" style="3"/>
  </cols>
  <sheetData>
    <row r="2" spans="1:7" ht="13.2" x14ac:dyDescent="0.2">
      <c r="A2" s="156" t="s">
        <v>101</v>
      </c>
      <c r="B2" s="156"/>
      <c r="C2" s="156"/>
      <c r="D2" s="156"/>
      <c r="E2" s="156"/>
      <c r="F2" s="156"/>
      <c r="G2" s="156"/>
    </row>
    <row r="3" spans="1:7" ht="5.25" customHeight="1" x14ac:dyDescent="0.2">
      <c r="A3" s="78"/>
      <c r="B3" s="78"/>
      <c r="C3" s="78"/>
      <c r="D3" s="78"/>
      <c r="E3" s="78"/>
      <c r="F3" s="78"/>
      <c r="G3" s="78"/>
    </row>
    <row r="4" spans="1:7" x14ac:dyDescent="0.2">
      <c r="A4" s="78"/>
      <c r="B4" s="78"/>
      <c r="C4" s="78"/>
      <c r="D4" s="78"/>
      <c r="E4" s="78"/>
      <c r="F4" s="78"/>
      <c r="G4" s="78"/>
    </row>
    <row r="5" spans="1:7" ht="12" x14ac:dyDescent="0.25">
      <c r="A5" s="4"/>
      <c r="B5" s="4"/>
      <c r="C5" s="4"/>
      <c r="D5" s="4"/>
      <c r="E5" s="4"/>
      <c r="F5" s="4"/>
      <c r="G5" s="4"/>
    </row>
    <row r="6" spans="1:7" ht="12" x14ac:dyDescent="0.25">
      <c r="A6" s="4"/>
      <c r="B6" s="4"/>
      <c r="C6" s="4"/>
      <c r="D6" s="4"/>
      <c r="E6" s="4"/>
      <c r="F6" s="4"/>
      <c r="G6" s="4"/>
    </row>
    <row r="7" spans="1:7" ht="12" x14ac:dyDescent="0.25">
      <c r="A7" s="4"/>
      <c r="B7" s="4"/>
      <c r="C7" s="4"/>
      <c r="D7" s="4"/>
      <c r="E7" s="4"/>
      <c r="F7" s="4"/>
      <c r="G7" s="4"/>
    </row>
    <row r="8" spans="1:7" ht="12" x14ac:dyDescent="0.25">
      <c r="A8" s="4"/>
      <c r="B8" s="4"/>
      <c r="C8" s="4"/>
      <c r="D8" s="4"/>
      <c r="E8" s="4"/>
      <c r="F8" s="4"/>
      <c r="G8" s="4"/>
    </row>
    <row r="9" spans="1:7" ht="12" x14ac:dyDescent="0.25">
      <c r="A9" s="4"/>
      <c r="B9" s="4"/>
      <c r="C9" s="4"/>
      <c r="D9" s="4"/>
      <c r="E9" s="4"/>
      <c r="F9" s="4"/>
      <c r="G9" s="4"/>
    </row>
    <row r="10" spans="1:7" ht="12" x14ac:dyDescent="0.25">
      <c r="A10" s="4"/>
      <c r="B10" s="4"/>
      <c r="C10" s="4"/>
      <c r="D10" s="4"/>
      <c r="E10" s="4"/>
      <c r="F10" s="4"/>
      <c r="G10" s="4"/>
    </row>
    <row r="11" spans="1:7" ht="12" x14ac:dyDescent="0.25">
      <c r="A11" s="4"/>
      <c r="B11" s="4"/>
      <c r="C11" s="4"/>
      <c r="D11" s="4"/>
      <c r="E11" s="4"/>
      <c r="F11" s="4"/>
      <c r="G11" s="4"/>
    </row>
    <row r="12" spans="1:7" ht="12" x14ac:dyDescent="0.25">
      <c r="A12" s="4"/>
      <c r="B12" s="4"/>
      <c r="C12" s="4"/>
      <c r="D12" s="4"/>
      <c r="E12" s="4"/>
      <c r="F12" s="4"/>
      <c r="G12" s="4"/>
    </row>
    <row r="13" spans="1:7" ht="12" x14ac:dyDescent="0.25">
      <c r="A13" s="4"/>
      <c r="B13" s="4"/>
      <c r="C13" s="4"/>
      <c r="D13" s="4"/>
      <c r="E13" s="4"/>
      <c r="F13" s="4"/>
      <c r="G13" s="4"/>
    </row>
    <row r="14" spans="1:7" ht="12" x14ac:dyDescent="0.25">
      <c r="A14" s="4"/>
      <c r="B14" s="4"/>
      <c r="C14" s="4"/>
      <c r="D14" s="4"/>
      <c r="E14" s="4"/>
      <c r="F14" s="4"/>
      <c r="G14" s="4"/>
    </row>
    <row r="15" spans="1:7" ht="12" x14ac:dyDescent="0.25">
      <c r="A15" s="4"/>
      <c r="B15" s="4"/>
      <c r="C15" s="4"/>
      <c r="D15" s="4"/>
      <c r="E15" s="4"/>
      <c r="F15" s="4"/>
      <c r="G15" s="4"/>
    </row>
    <row r="16" spans="1:7" ht="12" x14ac:dyDescent="0.25">
      <c r="A16" s="4"/>
      <c r="B16" s="4"/>
      <c r="C16" s="4"/>
      <c r="D16" s="4"/>
      <c r="E16" s="4"/>
      <c r="F16" s="4"/>
      <c r="G16" s="4"/>
    </row>
    <row r="17" spans="1:7" ht="12" x14ac:dyDescent="0.25">
      <c r="A17" s="4"/>
      <c r="B17" s="4"/>
      <c r="C17" s="4"/>
      <c r="D17" s="4"/>
      <c r="E17" s="4"/>
      <c r="F17" s="4"/>
      <c r="G17" s="4"/>
    </row>
    <row r="18" spans="1:7" ht="12" x14ac:dyDescent="0.25">
      <c r="A18" s="4"/>
      <c r="B18" s="4"/>
      <c r="C18" s="4"/>
      <c r="D18" s="4"/>
      <c r="E18" s="4"/>
      <c r="F18" s="4"/>
      <c r="G18" s="4"/>
    </row>
    <row r="19" spans="1:7" ht="12" x14ac:dyDescent="0.25">
      <c r="A19" s="4"/>
      <c r="B19" s="4"/>
      <c r="C19" s="4"/>
      <c r="D19" s="4"/>
      <c r="E19" s="4"/>
      <c r="F19" s="4"/>
      <c r="G19" s="4"/>
    </row>
    <row r="20" spans="1:7" ht="12" x14ac:dyDescent="0.25">
      <c r="A20" s="4"/>
      <c r="B20" s="4"/>
      <c r="C20" s="4"/>
      <c r="D20" s="4"/>
      <c r="E20" s="4"/>
      <c r="F20" s="4"/>
      <c r="G20" s="4"/>
    </row>
    <row r="21" spans="1:7" ht="12" x14ac:dyDescent="0.25">
      <c r="A21" s="4"/>
      <c r="B21" s="4"/>
      <c r="C21" s="4"/>
      <c r="D21" s="4"/>
      <c r="E21" s="4"/>
      <c r="F21" s="4"/>
      <c r="G21" s="4"/>
    </row>
    <row r="23" spans="1:7" ht="30" customHeight="1" x14ac:dyDescent="0.2">
      <c r="A23" s="38" t="s">
        <v>25</v>
      </c>
      <c r="B23" s="24" t="s">
        <v>95</v>
      </c>
      <c r="C23" s="24" t="s">
        <v>96</v>
      </c>
      <c r="D23" s="24" t="s">
        <v>97</v>
      </c>
      <c r="E23" s="24" t="s">
        <v>98</v>
      </c>
      <c r="F23" s="24" t="s">
        <v>99</v>
      </c>
      <c r="G23" s="24" t="s">
        <v>100</v>
      </c>
    </row>
    <row r="24" spans="1:7" ht="12" x14ac:dyDescent="0.25">
      <c r="A24" s="62" t="s">
        <v>26</v>
      </c>
      <c r="B24" s="123">
        <v>13.6</v>
      </c>
      <c r="C24" s="118">
        <v>12.7</v>
      </c>
      <c r="D24" s="118">
        <v>4.2</v>
      </c>
      <c r="E24" s="118">
        <v>10.1</v>
      </c>
      <c r="F24" s="118">
        <v>7.7</v>
      </c>
      <c r="G24" s="120">
        <v>7.8</v>
      </c>
    </row>
    <row r="25" spans="1:7" ht="12" x14ac:dyDescent="0.25">
      <c r="A25" s="62" t="s">
        <v>27</v>
      </c>
      <c r="B25" s="124">
        <v>3.2</v>
      </c>
      <c r="C25" s="117">
        <v>9.1999999999999993</v>
      </c>
      <c r="D25" s="117">
        <v>1.2</v>
      </c>
      <c r="E25" s="117">
        <v>5.7</v>
      </c>
      <c r="F25" s="117">
        <v>6.2</v>
      </c>
      <c r="G25" s="121">
        <v>4.3</v>
      </c>
    </row>
    <row r="26" spans="1:7" ht="12" x14ac:dyDescent="0.25">
      <c r="A26" s="62" t="s">
        <v>28</v>
      </c>
      <c r="B26" s="124">
        <v>81.3</v>
      </c>
      <c r="C26" s="117">
        <v>77.2</v>
      </c>
      <c r="D26" s="117">
        <v>93.7</v>
      </c>
      <c r="E26" s="117">
        <v>82.8</v>
      </c>
      <c r="F26" s="117">
        <v>84.5</v>
      </c>
      <c r="G26" s="121">
        <v>86.3</v>
      </c>
    </row>
    <row r="27" spans="1:7" ht="12" x14ac:dyDescent="0.25">
      <c r="A27" s="62" t="s">
        <v>29</v>
      </c>
      <c r="B27" s="124">
        <v>1.4</v>
      </c>
      <c r="C27" s="117">
        <v>0.9</v>
      </c>
      <c r="D27" s="117">
        <v>0.9</v>
      </c>
      <c r="E27" s="117">
        <v>1.4</v>
      </c>
      <c r="F27" s="117">
        <v>1.5</v>
      </c>
      <c r="G27" s="121">
        <v>1.6</v>
      </c>
    </row>
    <row r="28" spans="1:7" ht="12" x14ac:dyDescent="0.25">
      <c r="A28" s="62" t="s">
        <v>45</v>
      </c>
      <c r="B28" s="124">
        <v>0</v>
      </c>
      <c r="C28" s="117">
        <v>0</v>
      </c>
      <c r="D28" s="117">
        <v>0</v>
      </c>
      <c r="E28" s="117">
        <v>0</v>
      </c>
      <c r="F28" s="117">
        <v>0.1</v>
      </c>
      <c r="G28" s="121">
        <v>0</v>
      </c>
    </row>
    <row r="29" spans="1:7" ht="12" x14ac:dyDescent="0.25">
      <c r="A29" s="63" t="s">
        <v>46</v>
      </c>
      <c r="B29" s="125">
        <v>0.5</v>
      </c>
      <c r="C29" s="119">
        <v>0</v>
      </c>
      <c r="D29" s="119">
        <v>0</v>
      </c>
      <c r="E29" s="119">
        <v>0</v>
      </c>
      <c r="F29" s="119">
        <v>0</v>
      </c>
      <c r="G29" s="122">
        <v>0</v>
      </c>
    </row>
    <row r="30" spans="1:7" ht="13.8" x14ac:dyDescent="0.2">
      <c r="B30" s="85"/>
      <c r="C30" s="85"/>
      <c r="D30" s="85"/>
      <c r="E30" s="85"/>
      <c r="F30" s="85"/>
      <c r="G30" s="85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2"/>
  <sheetViews>
    <sheetView workbookViewId="0">
      <selection activeCell="A2" sqref="A2:G2"/>
    </sheetView>
  </sheetViews>
  <sheetFormatPr defaultColWidth="9.109375" defaultRowHeight="11.4" x14ac:dyDescent="0.2"/>
  <cols>
    <col min="1" max="1" width="21.109375" style="3" bestFit="1" customWidth="1"/>
    <col min="2" max="2" width="14.6640625" style="3" customWidth="1"/>
    <col min="3" max="5" width="14.88671875" style="3" customWidth="1"/>
    <col min="6" max="6" width="15" style="3" customWidth="1"/>
    <col min="7" max="7" width="15.6640625" style="3" bestFit="1" customWidth="1"/>
    <col min="8" max="16384" width="9.109375" style="3"/>
  </cols>
  <sheetData>
    <row r="2" spans="1:13" ht="13.2" x14ac:dyDescent="0.2">
      <c r="A2" s="156" t="s">
        <v>102</v>
      </c>
      <c r="B2" s="156"/>
      <c r="C2" s="156"/>
      <c r="D2" s="156"/>
      <c r="E2" s="156"/>
      <c r="F2" s="156"/>
      <c r="G2" s="156"/>
      <c r="H2" s="39"/>
      <c r="I2" s="39"/>
      <c r="J2" s="39"/>
      <c r="K2" s="39"/>
      <c r="L2" s="39"/>
      <c r="M2" s="39"/>
    </row>
    <row r="3" spans="1:13" ht="11.25" customHeight="1" x14ac:dyDescent="0.2">
      <c r="A3" s="79"/>
      <c r="B3" s="79"/>
      <c r="C3" s="79"/>
      <c r="D3" s="79"/>
      <c r="E3" s="79"/>
      <c r="F3" s="79"/>
      <c r="G3" s="79"/>
      <c r="H3" s="39"/>
      <c r="I3" s="39"/>
      <c r="J3" s="39"/>
      <c r="K3" s="39"/>
      <c r="L3" s="39"/>
      <c r="M3" s="39"/>
    </row>
    <row r="4" spans="1:13" ht="12" x14ac:dyDescent="0.25">
      <c r="A4" s="4"/>
      <c r="B4" s="4"/>
      <c r="C4" s="4"/>
      <c r="D4" s="4"/>
      <c r="E4" s="4"/>
      <c r="F4" s="4"/>
      <c r="G4" s="4"/>
    </row>
    <row r="5" spans="1:13" ht="12" x14ac:dyDescent="0.25">
      <c r="A5" s="4"/>
      <c r="B5" s="4"/>
      <c r="C5" s="4"/>
      <c r="D5" s="4"/>
      <c r="E5" s="4"/>
      <c r="F5" s="4"/>
      <c r="G5" s="4"/>
    </row>
    <row r="6" spans="1:13" ht="12" x14ac:dyDescent="0.25">
      <c r="A6" s="4"/>
      <c r="B6" s="4"/>
      <c r="C6" s="4"/>
      <c r="D6" s="4"/>
      <c r="E6" s="4"/>
      <c r="F6" s="4"/>
      <c r="G6" s="4"/>
    </row>
    <row r="7" spans="1:13" ht="12" x14ac:dyDescent="0.25">
      <c r="A7" s="4"/>
      <c r="B7" s="4"/>
      <c r="C7" s="4"/>
      <c r="D7" s="4"/>
      <c r="E7" s="4"/>
      <c r="F7" s="4"/>
      <c r="G7" s="4"/>
    </row>
    <row r="8" spans="1:13" ht="12" x14ac:dyDescent="0.25">
      <c r="A8" s="4"/>
      <c r="B8" s="4"/>
      <c r="C8" s="4"/>
      <c r="D8" s="4"/>
      <c r="E8" s="4"/>
      <c r="F8" s="4"/>
      <c r="G8" s="4"/>
    </row>
    <row r="9" spans="1:13" ht="12" x14ac:dyDescent="0.25">
      <c r="A9" s="4"/>
      <c r="B9" s="4"/>
      <c r="C9" s="4"/>
      <c r="D9" s="4"/>
      <c r="E9" s="4"/>
      <c r="F9" s="4"/>
      <c r="G9" s="4"/>
    </row>
    <row r="10" spans="1:13" ht="12" x14ac:dyDescent="0.25">
      <c r="A10" s="4"/>
      <c r="B10" s="4"/>
      <c r="C10" s="4"/>
      <c r="D10" s="4"/>
      <c r="E10" s="4"/>
      <c r="F10" s="4"/>
      <c r="G10" s="4"/>
    </row>
    <row r="11" spans="1:13" ht="12" x14ac:dyDescent="0.25">
      <c r="A11" s="4"/>
      <c r="B11" s="4"/>
      <c r="C11" s="4"/>
      <c r="D11" s="4"/>
      <c r="E11" s="4"/>
      <c r="F11" s="4"/>
      <c r="G11" s="4"/>
    </row>
    <row r="12" spans="1:13" ht="12" x14ac:dyDescent="0.25">
      <c r="A12" s="4"/>
      <c r="B12" s="4"/>
      <c r="C12" s="4"/>
      <c r="D12" s="4"/>
      <c r="E12" s="4"/>
      <c r="F12" s="4"/>
      <c r="G12" s="4"/>
    </row>
    <row r="13" spans="1:13" ht="12" x14ac:dyDescent="0.25">
      <c r="A13" s="4"/>
      <c r="B13" s="4"/>
      <c r="C13" s="4"/>
      <c r="D13" s="4"/>
      <c r="E13" s="4"/>
      <c r="F13" s="4"/>
      <c r="G13" s="4"/>
    </row>
    <row r="14" spans="1:13" ht="12" x14ac:dyDescent="0.25">
      <c r="A14" s="4"/>
      <c r="B14" s="4"/>
      <c r="C14" s="4"/>
      <c r="D14" s="4"/>
      <c r="E14" s="4"/>
      <c r="F14" s="4"/>
      <c r="G14" s="4"/>
    </row>
    <row r="15" spans="1:13" ht="12" x14ac:dyDescent="0.25">
      <c r="A15" s="4"/>
      <c r="B15" s="4"/>
      <c r="C15" s="4"/>
      <c r="D15" s="4"/>
      <c r="E15" s="4"/>
      <c r="F15" s="4"/>
      <c r="G15" s="4"/>
    </row>
    <row r="16" spans="1:13" ht="12" x14ac:dyDescent="0.25">
      <c r="A16" s="4"/>
      <c r="B16" s="4"/>
      <c r="C16" s="4"/>
      <c r="D16" s="4"/>
      <c r="E16" s="4"/>
      <c r="F16" s="4"/>
      <c r="G16" s="4"/>
    </row>
    <row r="17" spans="1:8" ht="12" x14ac:dyDescent="0.25">
      <c r="A17" s="4"/>
      <c r="B17" s="4"/>
      <c r="C17" s="4"/>
      <c r="D17" s="4"/>
      <c r="E17" s="4"/>
      <c r="F17" s="4"/>
      <c r="G17" s="4"/>
    </row>
    <row r="18" spans="1:8" ht="12" x14ac:dyDescent="0.25">
      <c r="A18" s="4"/>
      <c r="B18" s="4"/>
      <c r="C18" s="4"/>
      <c r="D18" s="4"/>
      <c r="E18" s="4"/>
      <c r="F18" s="4"/>
      <c r="G18" s="4"/>
    </row>
    <row r="19" spans="1:8" ht="12" x14ac:dyDescent="0.25">
      <c r="A19" s="5"/>
    </row>
    <row r="20" spans="1:8" ht="12" x14ac:dyDescent="0.25">
      <c r="A20" s="5"/>
    </row>
    <row r="21" spans="1:8" ht="30.75" customHeight="1" x14ac:dyDescent="0.2">
      <c r="A21" s="20"/>
      <c r="B21" s="9" t="s">
        <v>100</v>
      </c>
      <c r="C21" s="9" t="s">
        <v>99</v>
      </c>
      <c r="D21" s="9" t="s">
        <v>98</v>
      </c>
      <c r="E21" s="9" t="s">
        <v>97</v>
      </c>
      <c r="F21" s="9" t="s">
        <v>96</v>
      </c>
      <c r="G21" s="9" t="s">
        <v>95</v>
      </c>
    </row>
    <row r="22" spans="1:8" ht="15" customHeight="1" x14ac:dyDescent="0.25">
      <c r="A22" s="16" t="s">
        <v>30</v>
      </c>
      <c r="B22" s="123">
        <v>62.8</v>
      </c>
      <c r="C22" s="118">
        <v>62.9</v>
      </c>
      <c r="D22" s="118">
        <v>66.7</v>
      </c>
      <c r="E22" s="118">
        <v>63.6</v>
      </c>
      <c r="F22" s="118">
        <v>62.2</v>
      </c>
      <c r="G22" s="120">
        <v>62.4</v>
      </c>
      <c r="H22" s="6"/>
    </row>
    <row r="23" spans="1:8" ht="14.25" customHeight="1" x14ac:dyDescent="0.25">
      <c r="A23" s="17" t="s">
        <v>31</v>
      </c>
      <c r="B23" s="124">
        <v>16.2</v>
      </c>
      <c r="C23" s="117">
        <v>13.6</v>
      </c>
      <c r="D23" s="117">
        <v>12.9</v>
      </c>
      <c r="E23" s="117">
        <v>15.8</v>
      </c>
      <c r="F23" s="117">
        <v>11.8</v>
      </c>
      <c r="G23" s="121">
        <v>24.8</v>
      </c>
      <c r="H23" s="6"/>
    </row>
    <row r="24" spans="1:8" ht="15" customHeight="1" x14ac:dyDescent="0.25">
      <c r="A24" s="18" t="s">
        <v>32</v>
      </c>
      <c r="B24" s="125">
        <v>21</v>
      </c>
      <c r="C24" s="119">
        <v>23.5</v>
      </c>
      <c r="D24" s="119">
        <v>20.399999999999999</v>
      </c>
      <c r="E24" s="119">
        <v>20.6</v>
      </c>
      <c r="F24" s="119">
        <v>26</v>
      </c>
      <c r="G24" s="122">
        <v>12.8</v>
      </c>
      <c r="H24" s="6"/>
    </row>
    <row r="30" spans="1:8" ht="15.6" x14ac:dyDescent="0.2">
      <c r="B30" s="54"/>
      <c r="C30" s="54"/>
      <c r="D30" s="54"/>
      <c r="E30" s="55"/>
      <c r="F30" s="54"/>
      <c r="G30" s="54"/>
    </row>
    <row r="31" spans="1:8" ht="15.6" x14ac:dyDescent="0.2">
      <c r="B31" s="54"/>
      <c r="C31" s="54"/>
      <c r="D31" s="54"/>
      <c r="E31" s="55"/>
      <c r="F31" s="54"/>
      <c r="G31" s="54"/>
    </row>
    <row r="32" spans="1:8" ht="15.6" x14ac:dyDescent="0.2">
      <c r="B32" s="54"/>
      <c r="C32" s="54"/>
      <c r="D32" s="54"/>
      <c r="E32" s="55"/>
      <c r="F32" s="54"/>
      <c r="G32" s="54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47"/>
  <sheetViews>
    <sheetView workbookViewId="0">
      <selection activeCell="A2" sqref="A2:G2"/>
    </sheetView>
  </sheetViews>
  <sheetFormatPr defaultColWidth="9.109375" defaultRowHeight="11.4" x14ac:dyDescent="0.2"/>
  <cols>
    <col min="1" max="1" width="21" style="3" customWidth="1"/>
    <col min="2" max="3" width="14.5546875" style="3" customWidth="1"/>
    <col min="4" max="4" width="14.33203125" style="3" customWidth="1"/>
    <col min="5" max="5" width="14.109375" style="3" customWidth="1"/>
    <col min="6" max="6" width="14.33203125" style="3" customWidth="1"/>
    <col min="7" max="7" width="14.44140625" style="3" customWidth="1"/>
    <col min="8" max="16384" width="9.109375" style="3"/>
  </cols>
  <sheetData>
    <row r="2" spans="1:10" ht="13.2" x14ac:dyDescent="0.2">
      <c r="A2" s="156" t="s">
        <v>105</v>
      </c>
      <c r="B2" s="156"/>
      <c r="C2" s="156"/>
      <c r="D2" s="156"/>
      <c r="E2" s="156"/>
      <c r="F2" s="156"/>
      <c r="G2" s="156"/>
      <c r="H2" s="41"/>
      <c r="I2" s="39"/>
      <c r="J2" s="39"/>
    </row>
    <row r="3" spans="1:10" x14ac:dyDescent="0.2">
      <c r="A3" s="78"/>
      <c r="B3" s="78"/>
      <c r="C3" s="78"/>
      <c r="D3" s="78"/>
      <c r="E3" s="78"/>
      <c r="F3" s="78"/>
      <c r="G3" s="78"/>
      <c r="H3" s="41"/>
      <c r="I3" s="39"/>
      <c r="J3" s="39"/>
    </row>
    <row r="4" spans="1:10" ht="15.75" customHeight="1" x14ac:dyDescent="0.25">
      <c r="A4" s="4"/>
      <c r="B4" s="4"/>
      <c r="C4" s="4"/>
      <c r="D4" s="4"/>
      <c r="E4" s="4"/>
      <c r="F4" s="4"/>
      <c r="G4" s="4"/>
      <c r="H4" s="4"/>
    </row>
    <row r="5" spans="1:10" ht="12" x14ac:dyDescent="0.25">
      <c r="A5" s="4"/>
      <c r="B5" s="4"/>
      <c r="C5" s="4"/>
      <c r="D5" s="4"/>
      <c r="E5" s="4"/>
      <c r="F5" s="4"/>
      <c r="G5" s="4"/>
      <c r="H5" s="4"/>
    </row>
    <row r="6" spans="1:10" ht="12" x14ac:dyDescent="0.25">
      <c r="A6" s="4"/>
      <c r="B6" s="4"/>
      <c r="C6" s="4"/>
      <c r="D6" s="4"/>
      <c r="E6" s="4"/>
      <c r="F6" s="4"/>
      <c r="G6" s="4"/>
      <c r="H6" s="4"/>
    </row>
    <row r="7" spans="1:10" ht="12" x14ac:dyDescent="0.25">
      <c r="A7" s="4"/>
      <c r="B7" s="4"/>
      <c r="C7" s="4"/>
      <c r="D7" s="4"/>
      <c r="E7" s="4"/>
      <c r="F7" s="4"/>
      <c r="G7" s="4"/>
      <c r="H7" s="4"/>
    </row>
    <row r="8" spans="1:10" ht="12" x14ac:dyDescent="0.25">
      <c r="A8" s="4"/>
      <c r="B8" s="4"/>
      <c r="C8" s="4"/>
      <c r="D8" s="4"/>
      <c r="E8" s="4"/>
      <c r="F8" s="4"/>
      <c r="G8" s="4"/>
      <c r="H8" s="4"/>
    </row>
    <row r="9" spans="1:10" ht="12" x14ac:dyDescent="0.25">
      <c r="A9" s="4"/>
      <c r="B9" s="4"/>
      <c r="C9" s="4"/>
      <c r="D9" s="4"/>
      <c r="E9" s="4"/>
      <c r="F9" s="4"/>
      <c r="G9" s="4"/>
      <c r="H9" s="4"/>
    </row>
    <row r="10" spans="1:10" ht="12" x14ac:dyDescent="0.25">
      <c r="A10" s="4"/>
      <c r="B10" s="4"/>
      <c r="C10" s="4"/>
      <c r="D10" s="4"/>
      <c r="E10" s="4"/>
      <c r="F10" s="4"/>
      <c r="G10" s="4"/>
      <c r="H10" s="4"/>
    </row>
    <row r="11" spans="1:10" ht="12" x14ac:dyDescent="0.25">
      <c r="A11" s="4"/>
      <c r="B11" s="4"/>
      <c r="C11" s="4"/>
      <c r="D11" s="4"/>
      <c r="E11" s="4"/>
      <c r="F11" s="4"/>
      <c r="G11" s="4"/>
      <c r="H11" s="4"/>
    </row>
    <row r="12" spans="1:10" ht="12" x14ac:dyDescent="0.25">
      <c r="A12" s="4"/>
      <c r="B12" s="4"/>
      <c r="C12" s="4"/>
      <c r="D12" s="4"/>
      <c r="E12" s="4"/>
      <c r="F12" s="4"/>
      <c r="G12" s="4"/>
      <c r="H12" s="4"/>
    </row>
    <row r="13" spans="1:10" ht="12" x14ac:dyDescent="0.25">
      <c r="A13" s="4"/>
      <c r="B13" s="4"/>
      <c r="C13" s="4"/>
      <c r="D13" s="4"/>
      <c r="E13" s="4"/>
      <c r="F13" s="4"/>
      <c r="G13" s="4"/>
      <c r="H13" s="4"/>
    </row>
    <row r="14" spans="1:10" ht="12" x14ac:dyDescent="0.25">
      <c r="A14" s="4"/>
      <c r="B14" s="4"/>
      <c r="C14" s="4"/>
      <c r="D14" s="4"/>
      <c r="E14" s="4"/>
      <c r="F14" s="4"/>
      <c r="G14" s="4"/>
      <c r="H14" s="4"/>
    </row>
    <row r="15" spans="1:10" ht="12" x14ac:dyDescent="0.25">
      <c r="A15" s="4"/>
      <c r="B15" s="4"/>
      <c r="C15" s="4"/>
      <c r="D15" s="4"/>
      <c r="E15" s="4"/>
      <c r="F15" s="4"/>
      <c r="G15" s="4"/>
      <c r="H15" s="4"/>
    </row>
    <row r="16" spans="1:10" ht="12" x14ac:dyDescent="0.25">
      <c r="A16" s="4"/>
      <c r="B16" s="4"/>
      <c r="C16" s="4"/>
      <c r="D16" s="4"/>
      <c r="E16" s="4"/>
      <c r="F16" s="4"/>
      <c r="G16" s="4"/>
      <c r="H16" s="4"/>
    </row>
    <row r="17" spans="1:10" ht="12" x14ac:dyDescent="0.25">
      <c r="A17" s="4"/>
      <c r="B17" s="4"/>
      <c r="C17" s="4"/>
      <c r="D17" s="4"/>
      <c r="E17" s="4"/>
      <c r="F17" s="4"/>
      <c r="G17" s="4"/>
      <c r="H17" s="4"/>
    </row>
    <row r="18" spans="1:10" ht="12" x14ac:dyDescent="0.25">
      <c r="A18" s="4"/>
      <c r="B18" s="4"/>
      <c r="C18" s="4"/>
      <c r="D18" s="4"/>
      <c r="E18" s="4"/>
      <c r="F18" s="4"/>
      <c r="G18" s="4"/>
      <c r="H18" s="4"/>
    </row>
    <row r="19" spans="1:10" ht="12" x14ac:dyDescent="0.25">
      <c r="A19" s="4"/>
      <c r="B19" s="4"/>
      <c r="C19" s="4"/>
      <c r="D19" s="4"/>
      <c r="E19" s="4"/>
      <c r="F19" s="4"/>
      <c r="G19" s="4"/>
      <c r="H19" s="4"/>
    </row>
    <row r="20" spans="1:10" ht="12" x14ac:dyDescent="0.25">
      <c r="A20" s="4"/>
      <c r="B20" s="4"/>
      <c r="C20" s="4"/>
      <c r="D20" s="4"/>
      <c r="E20" s="4"/>
      <c r="F20" s="4"/>
      <c r="G20" s="4"/>
      <c r="H20" s="4"/>
    </row>
    <row r="21" spans="1:10" ht="12" x14ac:dyDescent="0.25">
      <c r="A21" s="4"/>
      <c r="B21" s="4"/>
      <c r="C21" s="4"/>
      <c r="D21" s="4"/>
      <c r="E21" s="4"/>
      <c r="F21" s="4"/>
      <c r="G21" s="4"/>
      <c r="H21" s="4"/>
    </row>
    <row r="22" spans="1:10" ht="12" x14ac:dyDescent="0.25">
      <c r="A22" s="5"/>
    </row>
    <row r="23" spans="1:10" ht="14.25" customHeight="1" x14ac:dyDescent="0.25">
      <c r="A23" s="5"/>
    </row>
    <row r="24" spans="1:10" ht="27" customHeight="1" x14ac:dyDescent="0.2">
      <c r="A24" s="37"/>
      <c r="B24" s="9" t="s">
        <v>100</v>
      </c>
      <c r="C24" s="9" t="s">
        <v>99</v>
      </c>
      <c r="D24" s="9" t="s">
        <v>98</v>
      </c>
      <c r="E24" s="9" t="s">
        <v>97</v>
      </c>
      <c r="F24" s="9" t="s">
        <v>96</v>
      </c>
      <c r="G24" s="9" t="s">
        <v>95</v>
      </c>
      <c r="J24" s="53"/>
    </row>
    <row r="25" spans="1:10" ht="12" x14ac:dyDescent="0.2">
      <c r="A25" s="131" t="s">
        <v>33</v>
      </c>
      <c r="B25" s="127">
        <f>IF(OR(104949.13186="",104949.13186="***"),"-",104949.13186/435794.05199*100)</f>
        <v>24.0822772547635</v>
      </c>
      <c r="C25" s="127">
        <f>IF(122615.69329="","-",122615.69329/475663.92916*100)</f>
        <v>25.777799360681712</v>
      </c>
      <c r="D25" s="127">
        <f>IF(116852.49484="","-",116852.49484/464796.56015*100)</f>
        <v>25.140567908310068</v>
      </c>
      <c r="E25" s="127">
        <f>IF(112773.07662="","-",112773.07662/425472.26165*100)</f>
        <v>26.505388666857176</v>
      </c>
      <c r="F25" s="127">
        <f>IF(186788.68662="","-",186788.68662/666821.53755*100)</f>
        <v>28.011795675689928</v>
      </c>
      <c r="G25" s="128">
        <f>IF(230977.24775="","-",230977.24775/687466.43149*100)</f>
        <v>33.598331084964379</v>
      </c>
      <c r="J25" s="53"/>
    </row>
    <row r="26" spans="1:10" ht="12" x14ac:dyDescent="0.2">
      <c r="A26" s="132" t="s">
        <v>38</v>
      </c>
      <c r="B26" s="126">
        <f>IF(OR(11039.44837="",11039.44837="***"),"-",11039.44837/435794.05199*100)</f>
        <v>2.5331801385516197</v>
      </c>
      <c r="C26" s="126">
        <f>IF(10834.85249="","-",10834.85249/475663.92916*100)</f>
        <v>2.2778377391646738</v>
      </c>
      <c r="D26" s="126">
        <f>IF(12112.66909="","-",12112.66909/464796.56015*100)</f>
        <v>2.6060152179463154</v>
      </c>
      <c r="E26" s="126">
        <f>IF(13702.44004="","-",13702.44004/425472.26165*100)</f>
        <v>3.220524879074687</v>
      </c>
      <c r="F26" s="126">
        <f>IF(15499.89503="","-",15499.89503/666821.53755*100)</f>
        <v>2.3244442713936451</v>
      </c>
      <c r="G26" s="129">
        <f>IF(109719.26261="","-",109719.26261/687466.43149*100)</f>
        <v>15.959944745548787</v>
      </c>
      <c r="J26" s="53"/>
    </row>
    <row r="27" spans="1:10" ht="12" x14ac:dyDescent="0.2">
      <c r="A27" s="132" t="s">
        <v>34</v>
      </c>
      <c r="B27" s="126">
        <f>IF(OR(39183.93116="",39183.93116="***"),"-",39183.93116/435794.05199*100)</f>
        <v>8.991387326438117</v>
      </c>
      <c r="C27" s="126">
        <f>IF(41248.94533="","-",41248.94533/475663.92916*100)</f>
        <v>8.671867425987859</v>
      </c>
      <c r="D27" s="126">
        <f>IF(45193.45809="","-",45193.45809/464796.56015*100)</f>
        <v>9.7232772280877224</v>
      </c>
      <c r="E27" s="126">
        <f>IF(46810.1887="","-",46810.1887/425472.26165*100)</f>
        <v>11.001936652337346</v>
      </c>
      <c r="F27" s="126">
        <f>IF(41643.2799="","-",41643.2799/666821.53755*100)</f>
        <v>6.2450412224241454</v>
      </c>
      <c r="G27" s="129">
        <f>IF(39090.49421="","-",39090.49421/687466.43149*100)</f>
        <v>5.6861677049854054</v>
      </c>
      <c r="J27" s="53"/>
    </row>
    <row r="28" spans="1:10" ht="12" x14ac:dyDescent="0.2">
      <c r="A28" s="132" t="s">
        <v>36</v>
      </c>
      <c r="B28" s="126">
        <f>IF(OR(47689.46772="",47689.46772="***"),"-",47689.46772/435794.05199*100)</f>
        <v>10.943120380425549</v>
      </c>
      <c r="C28" s="126">
        <f>IF(57991.42218="","-",57991.42218/475663.92916*100)</f>
        <v>12.191679592440426</v>
      </c>
      <c r="D28" s="126">
        <f>IF(44883.52811="","-",44883.52811/464796.56015*100)</f>
        <v>9.656596446306553</v>
      </c>
      <c r="E28" s="126">
        <f>IF(25936.12849="","-",25936.12849/425472.26165*100)</f>
        <v>6.0958447418918826</v>
      </c>
      <c r="F28" s="126">
        <f>IF(63638.46567="","-",63638.46567/666821.53755*100)</f>
        <v>9.543552822816288</v>
      </c>
      <c r="G28" s="129">
        <f>IF(38670.64944="","-",38670.64944/687466.43149*100)</f>
        <v>5.6250963928792954</v>
      </c>
      <c r="J28" s="53"/>
    </row>
    <row r="29" spans="1:10" ht="12" x14ac:dyDescent="0.2">
      <c r="A29" s="132" t="s">
        <v>60</v>
      </c>
      <c r="B29" s="126">
        <f>IF(OR(40613.68444="",40613.68444="***"),"-",40613.68444/435794.05199*100)</f>
        <v>9.3194673618289627</v>
      </c>
      <c r="C29" s="126">
        <f>IF(37637.32979="","-",37637.32979/475663.92916*100)</f>
        <v>7.9125885909544893</v>
      </c>
      <c r="D29" s="126">
        <f>IF(33223.298="","-",33223.298/464796.56015*100)</f>
        <v>7.1479225210440713</v>
      </c>
      <c r="E29" s="126">
        <f>IF(39774.30228="","-",39774.30228/425472.26165*100)</f>
        <v>9.3482715243888119</v>
      </c>
      <c r="F29" s="126">
        <f>IF(48779.67899="","-",48779.67899/666821.53755*100)</f>
        <v>7.3152524690824601</v>
      </c>
      <c r="G29" s="129">
        <f>IF(27641.18181="","-",27641.18181/687466.43149*100)</f>
        <v>4.0207318559672931</v>
      </c>
      <c r="J29" s="53"/>
    </row>
    <row r="30" spans="1:10" ht="12" x14ac:dyDescent="0.2">
      <c r="A30" s="132" t="s">
        <v>35</v>
      </c>
      <c r="B30" s="126">
        <f>IF(OR(19142.23418="",19142.23418="***"),"-",19142.23418/435794.05199*100)</f>
        <v>4.3924955130959997</v>
      </c>
      <c r="C30" s="126">
        <f>IF(47631.72599="","-",47631.72599/475663.92916*100)</f>
        <v>10.013735133146499</v>
      </c>
      <c r="D30" s="126">
        <f>IF(33490.1862="","-",33490.1862/464796.56015*100)</f>
        <v>7.2053429546018979</v>
      </c>
      <c r="E30" s="126">
        <f>IF(45599.11614="","-",45599.11614/425472.26165*100)</f>
        <v>10.71729469817013</v>
      </c>
      <c r="F30" s="126">
        <f>IF(92236.38198="","-",92236.38198/666821.53755*100)</f>
        <v>13.832243979234683</v>
      </c>
      <c r="G30" s="129">
        <f>IF(27592.98976="","-",27592.98976/687466.43149*100)</f>
        <v>4.0137217609586475</v>
      </c>
      <c r="J30" s="53"/>
    </row>
    <row r="31" spans="1:10" ht="12" x14ac:dyDescent="0.2">
      <c r="A31" s="132" t="s">
        <v>63</v>
      </c>
      <c r="B31" s="126">
        <f>IF(OR(6236.84933="",6236.84933="***"),"-",6236.84933/435794.05199*100)</f>
        <v>1.4311460428429883</v>
      </c>
      <c r="C31" s="126">
        <f>IF(7978.21117="","-",7978.21117/475663.92916*100)</f>
        <v>1.6772789948754665</v>
      </c>
      <c r="D31" s="126">
        <f>IF(16109.71497="","-",16109.71497/464796.56015*100)</f>
        <v>3.4659712121795923</v>
      </c>
      <c r="E31" s="126">
        <f>IF(13033.75345="","-",13033.75345/425472.26165*100)</f>
        <v>3.0633614984569233</v>
      </c>
      <c r="F31" s="126">
        <f>IF(14559.93607="","-",14559.93607/666821.53755*100)</f>
        <v>2.1834831735482534</v>
      </c>
      <c r="G31" s="129">
        <f>IF(22915.77481="","-",22915.77481/687466.43149*100)</f>
        <v>3.3333663667523141</v>
      </c>
      <c r="J31" s="53"/>
    </row>
    <row r="32" spans="1:10" ht="12" x14ac:dyDescent="0.2">
      <c r="A32" s="132" t="s">
        <v>39</v>
      </c>
      <c r="B32" s="126">
        <f>IF(OR(15720.23514="",15720.23514="***"),"-",15720.23514/435794.05199*100)</f>
        <v>3.607262436973492</v>
      </c>
      <c r="C32" s="126">
        <f>IF(14286.81155="","-",14286.81155/475663.92916*100)</f>
        <v>3.0035515989681691</v>
      </c>
      <c r="D32" s="126">
        <f>IF(10739.30441="","-",10739.30441/464796.56015*100)</f>
        <v>2.3105387024667725</v>
      </c>
      <c r="E32" s="126">
        <f>IF(11102.69359="","-",11102.69359/425472.26165*100)</f>
        <v>2.6094988065598614</v>
      </c>
      <c r="F32" s="126">
        <f>IF(10441.74335="","-",10441.74335/666821.53755*100)</f>
        <v>1.5658977345519602</v>
      </c>
      <c r="G32" s="129">
        <f>IF(19904.40061="","-",19904.40061/687466.43149*100)</f>
        <v>2.8953269131788195</v>
      </c>
      <c r="J32" s="53"/>
    </row>
    <row r="33" spans="1:10" ht="12" x14ac:dyDescent="0.2">
      <c r="A33" s="132" t="s">
        <v>37</v>
      </c>
      <c r="B33" s="126">
        <f>IF(OR(14146.86786="",14146.86786="***"),"-",14146.86786/435794.05199*100)</f>
        <v>3.2462278444141366</v>
      </c>
      <c r="C33" s="126">
        <f>IF(16849.0360199999="","-",16849.0360199999/475663.92916*100)</f>
        <v>3.5422143633540815</v>
      </c>
      <c r="D33" s="126">
        <f>IF(20320.25712="","-",20320.25712/464796.56015*100)</f>
        <v>4.3718604787957567</v>
      </c>
      <c r="E33" s="126">
        <f>IF(17556.90155="","-",17556.90155/425472.26165*100)</f>
        <v>4.1264503311951684</v>
      </c>
      <c r="F33" s="126">
        <f>IF(18539.48644="","-",18539.48644/666821.53755*100)</f>
        <v>2.7802770900467295</v>
      </c>
      <c r="G33" s="129">
        <f>IF(17634.8919="","-",17634.8919/687466.43149*100)</f>
        <v>2.5652004363003607</v>
      </c>
      <c r="J33" s="53"/>
    </row>
    <row r="34" spans="1:10" ht="12" x14ac:dyDescent="0.2">
      <c r="A34" s="132" t="s">
        <v>41</v>
      </c>
      <c r="B34" s="126">
        <f>IF(OR(10242.00963="",10242.00963="***"),"-",10242.00963/435794.05199*100)</f>
        <v>2.3501949104700079</v>
      </c>
      <c r="C34" s="126">
        <f>IF(6725.0276="","-",6725.0276/475663.92916*100)</f>
        <v>1.4138191247497116</v>
      </c>
      <c r="D34" s="126">
        <f>IF(9901.15886="","-",9901.15886/464796.56015*100)</f>
        <v>2.130213454420721</v>
      </c>
      <c r="E34" s="126">
        <f>IF(6940.03151="","-",6940.03151/425472.26165*100)</f>
        <v>1.6311360658592067</v>
      </c>
      <c r="F34" s="126">
        <f>IF(10499.30898="","-",10499.30898/666821.53755*100)</f>
        <v>1.5745305735888493</v>
      </c>
      <c r="G34" s="129">
        <f>IF(13433.27706="","-",13433.27706/687466.43149*100)</f>
        <v>1.9540266178357253</v>
      </c>
      <c r="J34" s="53"/>
    </row>
    <row r="35" spans="1:10" ht="12" x14ac:dyDescent="0.2">
      <c r="A35" s="132" t="s">
        <v>62</v>
      </c>
      <c r="B35" s="126">
        <f>IF(OR(9012.11748="",9012.11748="***"),"-",9012.11748/435794.05199*100)</f>
        <v>2.0679762467723624</v>
      </c>
      <c r="C35" s="126">
        <f>IF(7456.19019="","-",7456.19019/475663.92916*100)</f>
        <v>1.5675332378402709</v>
      </c>
      <c r="D35" s="126">
        <f>IF(9241.62246="","-",9241.62246/464796.56015*100)</f>
        <v>1.9883155884410004</v>
      </c>
      <c r="E35" s="126">
        <f>IF(6193.49374="","-",6193.49374/425472.26165*100)</f>
        <v>1.4556750928912172</v>
      </c>
      <c r="F35" s="126">
        <f>IF(8236.16456="","-",8236.16456/666821.53755*100)</f>
        <v>1.2351377536875718</v>
      </c>
      <c r="G35" s="129">
        <f>IF(11140.33902="","-",11140.33902/687466.43149*100)</f>
        <v>1.6204920720062896</v>
      </c>
      <c r="J35" s="53"/>
    </row>
    <row r="36" spans="1:10" ht="12" x14ac:dyDescent="0.2">
      <c r="A36" s="132" t="s">
        <v>113</v>
      </c>
      <c r="B36" s="126">
        <f>IF(OR(102.90893="",102.90893="***"),"-",102.90893/435794.05199*100)</f>
        <v>2.3614119910558441E-2</v>
      </c>
      <c r="C36" s="126">
        <f>IF(4203.81576="","-",4203.81576/475663.92916*100)</f>
        <v>0.88377854663559219</v>
      </c>
      <c r="D36" s="126">
        <f>IF(3247.95317="","-",3247.95317/464796.56015*100)</f>
        <v>0.69879027696586538</v>
      </c>
      <c r="E36" s="126">
        <f>IF(1293.5791="","-",1293.5791/425472.26165*100)</f>
        <v>0.30403370950281072</v>
      </c>
      <c r="F36" s="126">
        <f>IF(8241.3833="","-",8241.3833/666821.53755*100)</f>
        <v>1.2359203828778609</v>
      </c>
      <c r="G36" s="129">
        <f>IF(11030.2515899999="","-",11030.2515899999/687466.43149*100)</f>
        <v>1.604478573025474</v>
      </c>
      <c r="J36" s="53"/>
    </row>
    <row r="37" spans="1:10" ht="12" x14ac:dyDescent="0.2">
      <c r="A37" s="132" t="s">
        <v>64</v>
      </c>
      <c r="B37" s="126">
        <f>IF(OR(3073.88247="",3073.88247="***"),"-",3073.88247/435794.05199*100)</f>
        <v>0.70535209371571117</v>
      </c>
      <c r="C37" s="126">
        <f>IF(3479.67266999999="","-",3479.67266999999/475663.92916*100)</f>
        <v>0.73154016032809699</v>
      </c>
      <c r="D37" s="126">
        <f>IF(3694.57142="","-",3694.57142/464796.56015*100)</f>
        <v>0.79487925186186437</v>
      </c>
      <c r="E37" s="126">
        <f>IF(2627.16546="","-",2627.16546/425472.26165*100)</f>
        <v>0.61747044326973</v>
      </c>
      <c r="F37" s="126">
        <f>IF(4843.56528="","-",4843.56528/666821.53755*100)</f>
        <v>0.72636605257172226</v>
      </c>
      <c r="G37" s="129">
        <f>IF(10887.75912="","-",10887.75912/687466.43149*100)</f>
        <v>1.5837513835260446</v>
      </c>
      <c r="J37" s="53"/>
    </row>
    <row r="38" spans="1:10" ht="12" x14ac:dyDescent="0.2">
      <c r="A38" s="132" t="s">
        <v>40</v>
      </c>
      <c r="B38" s="126">
        <f>IF(OR(1182.22269="",1182.22269="***"),"-",1182.22269/435794.05199*100)</f>
        <v>0.27128013441246512</v>
      </c>
      <c r="C38" s="126">
        <f>IF(1018.59827="","-",1018.59827/475663.92916*100)</f>
        <v>0.21414242442112361</v>
      </c>
      <c r="D38" s="126">
        <f>IF(3184.15928="","-",3184.15928/464796.56015*100)</f>
        <v>0.68506515602705886</v>
      </c>
      <c r="E38" s="126">
        <f>IF(7236.94171="","-",7236.94171/425472.26165*100)</f>
        <v>1.7009197454928844</v>
      </c>
      <c r="F38" s="126">
        <f>IF(10993.44627="","-",10993.44627/666821.53755*100)</f>
        <v>1.6486339524052465</v>
      </c>
      <c r="G38" s="129">
        <f>IF(9884.78668="","-",9884.78668/687466.43149*100)</f>
        <v>1.4378573596060429</v>
      </c>
      <c r="J38" s="53"/>
    </row>
    <row r="39" spans="1:10" ht="12" x14ac:dyDescent="0.2">
      <c r="A39" s="132" t="s">
        <v>42</v>
      </c>
      <c r="B39" s="126">
        <f>IF(OR(9343.96284="",9343.96284="***"),"-",9343.96284/435794.05199*100)</f>
        <v>2.1441235366412048</v>
      </c>
      <c r="C39" s="126">
        <f>IF(6247.67522="","-",6247.67522/475663.92916*100)</f>
        <v>1.31346415756879</v>
      </c>
      <c r="D39" s="126">
        <f>IF(10354.20923="","-",10354.20923/464796.56015*100)</f>
        <v>2.2276862863740798</v>
      </c>
      <c r="E39" s="126">
        <f>IF(6925.35482="","-",6925.35482/425472.26165*100)</f>
        <v>1.6276865601398249</v>
      </c>
      <c r="F39" s="126">
        <f>IF(21129.79532="","-",21129.79532/666821.53755*100)</f>
        <v>3.1687331812397606</v>
      </c>
      <c r="G39" s="129">
        <f>IF(9522.51271="","-",9522.51271/687466.43149*100)</f>
        <v>1.3851603909388146</v>
      </c>
      <c r="J39" s="53"/>
    </row>
    <row r="40" spans="1:10" ht="12" x14ac:dyDescent="0.2">
      <c r="A40" s="132" t="s">
        <v>90</v>
      </c>
      <c r="B40" s="126">
        <f>IF(OR(1732.12305="",1732.12305="***"),"-",1732.12305/435794.05199*100)</f>
        <v>0.39746367397408772</v>
      </c>
      <c r="C40" s="126">
        <f>IF(751.72265="","-",751.72265/475663.92916*100)</f>
        <v>0.15803650517025891</v>
      </c>
      <c r="D40" s="126">
        <f>IF(2286.38216="","-",2286.38216/464796.56015*100)</f>
        <v>0.49191030141491038</v>
      </c>
      <c r="E40" s="126">
        <f>IF(1162.94538="","-",1162.94538/425472.26165*100)</f>
        <v>0.27333048116698533</v>
      </c>
      <c r="F40" s="126">
        <f>IF(1168.77624="","-",1168.77624/666821.53755*100)</f>
        <v>0.17527571834201022</v>
      </c>
      <c r="G40" s="129">
        <f>IF(9313.2585="","-",9313.2585/687466.43149*100)</f>
        <v>1.354721928722344</v>
      </c>
      <c r="J40" s="53"/>
    </row>
    <row r="41" spans="1:10" ht="12" x14ac:dyDescent="0.2">
      <c r="A41" s="132" t="s">
        <v>43</v>
      </c>
      <c r="B41" s="126">
        <f>IF(OR(19406.63131="",19406.63131="***"),"-",19406.63131/435794.05199*100)</f>
        <v>4.4531657147182262</v>
      </c>
      <c r="C41" s="126">
        <f>IF(7607.37641="","-",7607.37641/475663.92916*100)</f>
        <v>1.5993174894371889</v>
      </c>
      <c r="D41" s="126">
        <f>IF(8220.90733="","-",8220.90733/464796.56015*100)</f>
        <v>1.7687108801637719</v>
      </c>
      <c r="E41" s="126">
        <f>IF(6068.26328="","-",6068.26328/425472.26165*100)</f>
        <v>1.4262418086826649</v>
      </c>
      <c r="F41" s="126">
        <f>IF(16865.77551="","-",16865.77551/666821.53755*100)</f>
        <v>2.5292787590465853</v>
      </c>
      <c r="G41" s="129">
        <f>IF(7541.48521="","-",7541.48521/687466.43149*100)</f>
        <v>1.0969968662549452</v>
      </c>
      <c r="J41" s="53"/>
    </row>
    <row r="42" spans="1:10" ht="12" x14ac:dyDescent="0.2">
      <c r="A42" s="132" t="s">
        <v>80</v>
      </c>
      <c r="B42" s="126">
        <f>IF(OR(7372.49789="",7372.49789="***"),"-",7372.49789/435794.05199*100)</f>
        <v>1.691738989170319</v>
      </c>
      <c r="C42" s="126">
        <f>IF(6809.35646="","-",6809.35646/475663.92916*100)</f>
        <v>1.4315477887980705</v>
      </c>
      <c r="D42" s="126">
        <f>IF(5609.82176="","-",5609.82176/464796.56015*100)</f>
        <v>1.2069413246495602</v>
      </c>
      <c r="E42" s="126">
        <f>IF(6801.47913="","-",6801.47913/425472.26165*100)</f>
        <v>1.5985716915184005</v>
      </c>
      <c r="F42" s="126">
        <f>IF(5441.89833="","-",5441.89833/666821.53755*100)</f>
        <v>0.81609516543126837</v>
      </c>
      <c r="G42" s="129">
        <f>IF(6207.43954="","-",6207.43954/687466.43149*100)</f>
        <v>0.90294438472379357</v>
      </c>
      <c r="J42" s="53"/>
    </row>
    <row r="43" spans="1:10" ht="12" x14ac:dyDescent="0.2">
      <c r="A43" s="132" t="s">
        <v>114</v>
      </c>
      <c r="B43" s="126">
        <f>IF(OR(5469.01356="",5469.01356="***"),"-",5469.01356/435794.05199*100)</f>
        <v>1.2549536954500462</v>
      </c>
      <c r="C43" s="126">
        <f>IF(305.37925="","-",305.37925/475663.92916*100)</f>
        <v>6.4200632269780331E-2</v>
      </c>
      <c r="D43" s="126">
        <f>IF(134.6794="","-",134.6794/464796.56015*100)</f>
        <v>2.8975988969568968E-2</v>
      </c>
      <c r="E43" s="126">
        <f>IF(118.66419="","-",118.66419/425472.26165*100)</f>
        <v>2.7889994412283209E-2</v>
      </c>
      <c r="F43" s="126">
        <f>IF(442.21531="","-",442.21531/666821.53755*100)</f>
        <v>6.6316890666843764E-2</v>
      </c>
      <c r="G43" s="129">
        <f>IF(5327.76667="","-",5327.76667/687466.43149*100)</f>
        <v>0.7749857194412697</v>
      </c>
      <c r="J43" s="53"/>
    </row>
    <row r="44" spans="1:10" ht="12" x14ac:dyDescent="0.2">
      <c r="A44" s="132" t="s">
        <v>61</v>
      </c>
      <c r="B44" s="126">
        <f>IF(OR(15076.10028="",15076.10028="***"),"-",15076.10028/435794.05199*100)</f>
        <v>3.4594552658892059</v>
      </c>
      <c r="C44" s="126">
        <f>IF(15991.42065="","-",15991.42065/475663.92916*100)</f>
        <v>3.3619157707081326</v>
      </c>
      <c r="D44" s="126">
        <f>IF(18384.2484="","-",18384.2484/464796.56015*100)</f>
        <v>3.9553322843153147</v>
      </c>
      <c r="E44" s="126">
        <f>IF(6661.80792="","-",6661.80792/425472.26165*100)</f>
        <v>1.5657443552642463</v>
      </c>
      <c r="F44" s="126">
        <f>IF(25589.85957="","-",25589.85957/666821.53755*100)</f>
        <v>3.8375874396650254</v>
      </c>
      <c r="G44" s="129">
        <f>IF(4967.63672="","-",4967.63672/687466.43149*100)</f>
        <v>0.72260062345637033</v>
      </c>
    </row>
    <row r="45" spans="1:10" ht="12" x14ac:dyDescent="0.2">
      <c r="A45" s="132" t="s">
        <v>59</v>
      </c>
      <c r="B45" s="126">
        <f>IF(OR(8192.50424="",8192.50424="***"),"-",8192.50424/435794.05199*100)</f>
        <v>1.8799027206979846</v>
      </c>
      <c r="C45" s="126">
        <f>IF(6194.48905="","-",6194.48905/475663.92916*100)</f>
        <v>1.3022826979836741</v>
      </c>
      <c r="D45" s="126">
        <f>IF(8039.18712="","-",8039.18712/464796.56015*100)</f>
        <v>1.7296141600973938</v>
      </c>
      <c r="E45" s="126">
        <f>IF(7283.77725="","-",7283.77725/425472.26165*100)</f>
        <v>1.7119276405359998</v>
      </c>
      <c r="F45" s="126">
        <f>IF(12960.43825="","-",12960.43825/666821.53755*100)</f>
        <v>1.9436142236224925</v>
      </c>
      <c r="G45" s="129">
        <f>IF(4661.81858="","-",4661.81858/687466.43149*100)</f>
        <v>0.67811581285446543</v>
      </c>
    </row>
    <row r="46" spans="1:10" ht="12" x14ac:dyDescent="0.2">
      <c r="A46" s="132" t="s">
        <v>115</v>
      </c>
      <c r="B46" s="126">
        <f>IF(OR(1460.72075="",1460.72075="***"),"-",1460.72075/435794.05199*100)</f>
        <v>0.33518602269347142</v>
      </c>
      <c r="C46" s="126">
        <f>IF(1524.37549="","-",1524.37549/475663.92916*100)</f>
        <v>0.32047321576222415</v>
      </c>
      <c r="D46" s="126">
        <f>IF(1188.09688="","-",1188.09688/464796.56015*100)</f>
        <v>0.25561653890394009</v>
      </c>
      <c r="E46" s="126">
        <f>IF(965.40357="","-",965.40357/425472.26165*100)</f>
        <v>0.22690164718520608</v>
      </c>
      <c r="F46" s="126">
        <f>IF(1392.42271="","-",1392.42271/666821.53755*100)</f>
        <v>0.20881489747856152</v>
      </c>
      <c r="G46" s="129">
        <f>IF(3964.50853="","-",3964.50853/687466.43149*100)</f>
        <v>0.57668394388470856</v>
      </c>
    </row>
    <row r="47" spans="1:10" ht="12" x14ac:dyDescent="0.2">
      <c r="A47" s="133" t="s">
        <v>116</v>
      </c>
      <c r="B47" s="130">
        <f>IF(OR(3835.04647="",3835.04647="***"),"-",3835.04647/435794.05199*100)</f>
        <v>0.88001349547744667</v>
      </c>
      <c r="C47" s="130">
        <f>IF(2599.38399="","-",2599.38399/475663.92916*100)</f>
        <v>0.54647490184727465</v>
      </c>
      <c r="D47" s="130">
        <f>IF(3718.93207="","-",3718.93207/464796.56015*100)</f>
        <v>0.80012039435055615</v>
      </c>
      <c r="E47" s="130">
        <f>IF(3000.51633="","-",3000.51633/425472.26165*100)</f>
        <v>0.70522019892997645</v>
      </c>
      <c r="F47" s="130">
        <f>IF(2996.41715="","-",2996.41715/666821.53755*100)</f>
        <v>0.44935818375172398</v>
      </c>
      <c r="G47" s="110">
        <f>IF(3145.85426="","-",3145.85426/687466.43149*100)</f>
        <v>0.45760114471069413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6"/>
  <sheetViews>
    <sheetView workbookViewId="0">
      <selection activeCell="A2" sqref="A2:G2"/>
    </sheetView>
  </sheetViews>
  <sheetFormatPr defaultColWidth="9.109375" defaultRowHeight="11.4" x14ac:dyDescent="0.2"/>
  <cols>
    <col min="1" max="1" width="47.109375" style="3" customWidth="1"/>
    <col min="2" max="2" width="13.5546875" style="3" customWidth="1"/>
    <col min="3" max="3" width="10.6640625" style="3" customWidth="1"/>
    <col min="4" max="4" width="13.33203125" style="3" customWidth="1"/>
    <col min="5" max="5" width="11.88671875" style="3" customWidth="1"/>
    <col min="6" max="6" width="8.33203125" style="3" customWidth="1"/>
    <col min="7" max="7" width="8" style="3" customWidth="1"/>
    <col min="8" max="8" width="6" style="3" customWidth="1"/>
    <col min="9" max="16384" width="9.109375" style="3"/>
  </cols>
  <sheetData>
    <row r="2" spans="1:8" ht="15" customHeight="1" x14ac:dyDescent="0.25">
      <c r="A2" s="158" t="s">
        <v>91</v>
      </c>
      <c r="B2" s="158"/>
      <c r="C2" s="158"/>
      <c r="D2" s="158"/>
      <c r="E2" s="158"/>
      <c r="F2" s="158"/>
      <c r="G2" s="158"/>
    </row>
    <row r="3" spans="1:8" ht="15" customHeight="1" x14ac:dyDescent="0.2">
      <c r="A3" s="49"/>
      <c r="B3" s="49"/>
      <c r="C3" s="49"/>
      <c r="D3" s="49"/>
      <c r="E3" s="49"/>
      <c r="F3" s="49"/>
      <c r="G3" s="49"/>
    </row>
    <row r="4" spans="1:8" ht="15" customHeight="1" x14ac:dyDescent="0.2">
      <c r="A4" s="49"/>
      <c r="B4" s="49"/>
      <c r="C4" s="49"/>
      <c r="D4" s="49"/>
      <c r="E4" s="49"/>
      <c r="F4" s="49"/>
      <c r="G4" s="49"/>
    </row>
    <row r="5" spans="1:8" x14ac:dyDescent="0.2">
      <c r="A5" s="157"/>
      <c r="B5" s="157"/>
      <c r="C5" s="157"/>
      <c r="D5" s="157"/>
      <c r="E5" s="157"/>
      <c r="F5" s="157"/>
      <c r="G5" s="157"/>
      <c r="H5" s="157"/>
    </row>
    <row r="28" spans="1:2" ht="12.75" customHeight="1" x14ac:dyDescent="0.2">
      <c r="A28" s="102" t="s">
        <v>103</v>
      </c>
      <c r="B28" s="37" t="s">
        <v>44</v>
      </c>
    </row>
    <row r="29" spans="1:2" x14ac:dyDescent="0.2">
      <c r="A29" s="104" t="s">
        <v>70</v>
      </c>
      <c r="B29" s="105">
        <v>13.7</v>
      </c>
    </row>
    <row r="30" spans="1:2" x14ac:dyDescent="0.2">
      <c r="A30" s="106" t="s">
        <v>88</v>
      </c>
      <c r="B30" s="107">
        <v>0.2</v>
      </c>
    </row>
    <row r="31" spans="1:2" x14ac:dyDescent="0.2">
      <c r="A31" s="106" t="s">
        <v>65</v>
      </c>
      <c r="B31" s="108">
        <v>19.899999999999999</v>
      </c>
    </row>
    <row r="32" spans="1:2" x14ac:dyDescent="0.2">
      <c r="A32" s="106" t="s">
        <v>66</v>
      </c>
      <c r="B32" s="107">
        <v>9.9</v>
      </c>
    </row>
    <row r="33" spans="1:2" x14ac:dyDescent="0.2">
      <c r="A33" s="106" t="s">
        <v>68</v>
      </c>
      <c r="B33" s="107">
        <v>8.1</v>
      </c>
    </row>
    <row r="34" spans="1:2" ht="13.5" customHeight="1" x14ac:dyDescent="0.2">
      <c r="A34" s="106" t="s">
        <v>72</v>
      </c>
      <c r="B34" s="107">
        <v>6.8</v>
      </c>
    </row>
    <row r="35" spans="1:2" x14ac:dyDescent="0.2">
      <c r="A35" s="106" t="s">
        <v>74</v>
      </c>
      <c r="B35" s="107">
        <v>3.5</v>
      </c>
    </row>
    <row r="36" spans="1:2" x14ac:dyDescent="0.2">
      <c r="A36" s="106" t="s">
        <v>67</v>
      </c>
      <c r="B36" s="107">
        <v>10.199999999999999</v>
      </c>
    </row>
    <row r="37" spans="1:2" x14ac:dyDescent="0.2">
      <c r="A37" s="106" t="s">
        <v>71</v>
      </c>
      <c r="B37" s="107">
        <v>3.8</v>
      </c>
    </row>
    <row r="38" spans="1:2" x14ac:dyDescent="0.2">
      <c r="A38" s="106" t="s">
        <v>85</v>
      </c>
      <c r="B38" s="107">
        <v>1.9</v>
      </c>
    </row>
    <row r="39" spans="1:2" x14ac:dyDescent="0.2">
      <c r="A39" s="106" t="s">
        <v>78</v>
      </c>
      <c r="B39" s="107">
        <v>2</v>
      </c>
    </row>
    <row r="40" spans="1:2" x14ac:dyDescent="0.2">
      <c r="A40" s="106" t="s">
        <v>87</v>
      </c>
      <c r="B40" s="107">
        <v>2.4</v>
      </c>
    </row>
    <row r="41" spans="1:2" x14ac:dyDescent="0.2">
      <c r="A41" s="109" t="s">
        <v>73</v>
      </c>
      <c r="B41" s="110">
        <v>17.600000000000001</v>
      </c>
    </row>
    <row r="42" spans="1:2" x14ac:dyDescent="0.2">
      <c r="A42" s="64"/>
      <c r="B42" s="86"/>
    </row>
    <row r="43" spans="1:2" ht="12" x14ac:dyDescent="0.25">
      <c r="A43" s="102" t="s">
        <v>104</v>
      </c>
      <c r="B43" s="27" t="s">
        <v>44</v>
      </c>
    </row>
    <row r="44" spans="1:2" x14ac:dyDescent="0.2">
      <c r="A44" s="104" t="s">
        <v>70</v>
      </c>
      <c r="B44" s="111">
        <v>14.3</v>
      </c>
    </row>
    <row r="45" spans="1:2" x14ac:dyDescent="0.2">
      <c r="A45" s="106" t="s">
        <v>88</v>
      </c>
      <c r="B45" s="112">
        <v>12.1</v>
      </c>
    </row>
    <row r="46" spans="1:2" x14ac:dyDescent="0.2">
      <c r="A46" s="106" t="s">
        <v>65</v>
      </c>
      <c r="B46" s="112">
        <v>10.8</v>
      </c>
    </row>
    <row r="47" spans="1:2" x14ac:dyDescent="0.2">
      <c r="A47" s="106" t="s">
        <v>66</v>
      </c>
      <c r="B47" s="112">
        <v>8.8000000000000007</v>
      </c>
    </row>
    <row r="48" spans="1:2" x14ac:dyDescent="0.2">
      <c r="A48" s="106" t="s">
        <v>68</v>
      </c>
      <c r="B48" s="112">
        <v>8.5</v>
      </c>
    </row>
    <row r="49" spans="1:2" x14ac:dyDescent="0.2">
      <c r="A49" s="106" t="s">
        <v>72</v>
      </c>
      <c r="B49" s="112">
        <v>6.8</v>
      </c>
    </row>
    <row r="50" spans="1:2" x14ac:dyDescent="0.2">
      <c r="A50" s="106" t="s">
        <v>74</v>
      </c>
      <c r="B50" s="112">
        <v>4.4000000000000004</v>
      </c>
    </row>
    <row r="51" spans="1:2" x14ac:dyDescent="0.2">
      <c r="A51" s="106" t="s">
        <v>67</v>
      </c>
      <c r="B51" s="112">
        <v>4.2</v>
      </c>
    </row>
    <row r="52" spans="1:2" x14ac:dyDescent="0.2">
      <c r="A52" s="106" t="s">
        <v>71</v>
      </c>
      <c r="B52" s="112">
        <v>3.6</v>
      </c>
    </row>
    <row r="53" spans="1:2" x14ac:dyDescent="0.2">
      <c r="A53" s="106" t="s">
        <v>85</v>
      </c>
      <c r="B53" s="112">
        <v>2.9</v>
      </c>
    </row>
    <row r="54" spans="1:2" x14ac:dyDescent="0.2">
      <c r="A54" s="106" t="s">
        <v>78</v>
      </c>
      <c r="B54" s="112">
        <v>2.2999999999999998</v>
      </c>
    </row>
    <row r="55" spans="1:2" x14ac:dyDescent="0.2">
      <c r="A55" s="106" t="s">
        <v>87</v>
      </c>
      <c r="B55" s="112">
        <v>1.9</v>
      </c>
    </row>
    <row r="56" spans="1:2" x14ac:dyDescent="0.2">
      <c r="A56" s="109" t="s">
        <v>73</v>
      </c>
      <c r="B56" s="113">
        <v>19.399999999999999</v>
      </c>
    </row>
  </sheetData>
  <mergeCells count="2">
    <mergeCell ref="A5:H5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30"/>
  <sheetViews>
    <sheetView workbookViewId="0">
      <selection activeCell="A2" sqref="A2:M2"/>
    </sheetView>
  </sheetViews>
  <sheetFormatPr defaultColWidth="9.109375" defaultRowHeight="11.4" x14ac:dyDescent="0.2"/>
  <cols>
    <col min="1" max="1" width="9.88671875" style="3" customWidth="1"/>
    <col min="2" max="2" width="11.33203125" style="3" bestFit="1" customWidth="1"/>
    <col min="3" max="3" width="10" style="3" customWidth="1"/>
    <col min="4" max="4" width="11.33203125" style="3" bestFit="1" customWidth="1"/>
    <col min="5" max="5" width="9.33203125" style="3" bestFit="1" customWidth="1"/>
    <col min="6" max="6" width="11.33203125" style="3" bestFit="1" customWidth="1"/>
    <col min="7" max="7" width="9.33203125" style="3" bestFit="1" customWidth="1"/>
    <col min="8" max="8" width="11.33203125" style="3" bestFit="1" customWidth="1"/>
    <col min="9" max="9" width="9.33203125" style="3" bestFit="1" customWidth="1"/>
    <col min="10" max="10" width="11.88671875" style="3" bestFit="1" customWidth="1"/>
    <col min="11" max="11" width="11.109375" style="3" bestFit="1" customWidth="1"/>
    <col min="12" max="12" width="11.33203125" style="3" bestFit="1" customWidth="1"/>
    <col min="13" max="13" width="11.44140625" style="3" bestFit="1" customWidth="1"/>
    <col min="14" max="14" width="11.33203125" style="3" bestFit="1" customWidth="1"/>
    <col min="15" max="15" width="9.33203125" style="3" bestFit="1" customWidth="1"/>
    <col min="16" max="16" width="11.33203125" style="3" bestFit="1" customWidth="1"/>
    <col min="17" max="17" width="9.33203125" style="3" bestFit="1" customWidth="1"/>
    <col min="18" max="18" width="11.33203125" style="3" bestFit="1" customWidth="1"/>
    <col min="19" max="19" width="9.33203125" style="3" bestFit="1" customWidth="1"/>
    <col min="20" max="20" width="11.33203125" style="3" bestFit="1" customWidth="1"/>
    <col min="21" max="21" width="9.33203125" style="3" bestFit="1" customWidth="1"/>
    <col min="22" max="22" width="11.33203125" style="3" bestFit="1" customWidth="1"/>
    <col min="23" max="23" width="9.33203125" style="3" bestFit="1" customWidth="1"/>
    <col min="24" max="24" width="11.33203125" style="3" bestFit="1" customWidth="1"/>
    <col min="25" max="25" width="9.33203125" style="3" bestFit="1" customWidth="1"/>
    <col min="26" max="16384" width="9.109375" style="3"/>
  </cols>
  <sheetData>
    <row r="2" spans="1:13" ht="13.2" x14ac:dyDescent="0.2">
      <c r="A2" s="156" t="s">
        <v>106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ht="12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2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ht="12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ht="12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ht="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ht="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ht="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ht="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ht="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ht="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ht="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ht="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ht="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ht="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ht="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ht="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ht="12" x14ac:dyDescent="0.2">
      <c r="A22" s="25" t="s">
        <v>0</v>
      </c>
      <c r="B22" s="25" t="s">
        <v>1</v>
      </c>
      <c r="C22" s="37" t="s">
        <v>2</v>
      </c>
      <c r="D22" s="37" t="s">
        <v>3</v>
      </c>
      <c r="E22" s="37" t="s">
        <v>4</v>
      </c>
      <c r="F22" s="37" t="s">
        <v>5</v>
      </c>
      <c r="G22" s="37" t="s">
        <v>6</v>
      </c>
      <c r="H22" s="37" t="s">
        <v>7</v>
      </c>
      <c r="I22" s="37" t="s">
        <v>8</v>
      </c>
      <c r="J22" s="37" t="s">
        <v>9</v>
      </c>
      <c r="K22" s="37" t="s">
        <v>10</v>
      </c>
      <c r="L22" s="37" t="s">
        <v>11</v>
      </c>
      <c r="M22" s="37" t="s">
        <v>12</v>
      </c>
    </row>
    <row r="23" spans="1:13" ht="12" x14ac:dyDescent="0.25">
      <c r="A23" s="28">
        <v>2018</v>
      </c>
      <c r="B23" s="33">
        <v>374.3</v>
      </c>
      <c r="C23" s="33">
        <v>427.6</v>
      </c>
      <c r="D23" s="33">
        <v>524.1</v>
      </c>
      <c r="E23" s="33">
        <v>444.6</v>
      </c>
      <c r="F23" s="33">
        <v>505.6</v>
      </c>
      <c r="G23" s="33">
        <v>458.7</v>
      </c>
      <c r="H23" s="33">
        <v>488</v>
      </c>
      <c r="I23" s="33">
        <v>480.7</v>
      </c>
      <c r="J23" s="33">
        <v>474</v>
      </c>
      <c r="K23" s="33">
        <v>540.6</v>
      </c>
      <c r="L23" s="33">
        <v>522.6</v>
      </c>
      <c r="M23" s="34">
        <v>519.29999999999995</v>
      </c>
    </row>
    <row r="24" spans="1:13" ht="12" x14ac:dyDescent="0.25">
      <c r="A24" s="28">
        <v>2019</v>
      </c>
      <c r="B24" s="33">
        <v>372.6</v>
      </c>
      <c r="C24" s="33">
        <v>459.3</v>
      </c>
      <c r="D24" s="33">
        <v>533.79999999999995</v>
      </c>
      <c r="E24" s="33">
        <v>515.6</v>
      </c>
      <c r="F24" s="33">
        <v>481.6</v>
      </c>
      <c r="G24" s="33">
        <v>445.4</v>
      </c>
      <c r="H24" s="33">
        <v>499.1</v>
      </c>
      <c r="I24" s="33">
        <v>464.3</v>
      </c>
      <c r="J24" s="33">
        <v>501.7</v>
      </c>
      <c r="K24" s="33">
        <v>525.29999999999995</v>
      </c>
      <c r="L24" s="33">
        <v>504.1</v>
      </c>
      <c r="M24" s="34">
        <v>539.70000000000005</v>
      </c>
    </row>
    <row r="25" spans="1:13" ht="12" x14ac:dyDescent="0.25">
      <c r="A25" s="28">
        <v>2020</v>
      </c>
      <c r="B25" s="33">
        <v>379.8</v>
      </c>
      <c r="C25" s="33">
        <v>484.8</v>
      </c>
      <c r="D25" s="33">
        <v>500.5</v>
      </c>
      <c r="E25" s="33">
        <v>285.60000000000002</v>
      </c>
      <c r="F25" s="33">
        <v>329.4</v>
      </c>
      <c r="G25" s="33">
        <v>413.5</v>
      </c>
      <c r="H25" s="33">
        <v>496.6</v>
      </c>
      <c r="I25" s="33">
        <v>433.6</v>
      </c>
      <c r="J25" s="33">
        <v>508.3</v>
      </c>
      <c r="K25" s="33">
        <v>493.6</v>
      </c>
      <c r="L25" s="33">
        <v>522.9</v>
      </c>
      <c r="M25" s="34">
        <v>567.29999999999995</v>
      </c>
    </row>
    <row r="26" spans="1:13" ht="12" x14ac:dyDescent="0.25">
      <c r="A26" s="28">
        <v>2021</v>
      </c>
      <c r="B26" s="33">
        <v>399.4</v>
      </c>
      <c r="C26" s="33">
        <v>521.4</v>
      </c>
      <c r="D26" s="33">
        <v>630.1</v>
      </c>
      <c r="E26" s="33">
        <v>562.20000000000005</v>
      </c>
      <c r="F26" s="33">
        <v>563.4</v>
      </c>
      <c r="G26" s="33">
        <v>589.6</v>
      </c>
      <c r="H26" s="33">
        <v>562</v>
      </c>
      <c r="I26" s="33">
        <v>574.9</v>
      </c>
      <c r="J26" s="33">
        <v>671.2</v>
      </c>
      <c r="K26" s="33">
        <v>646.79999999999995</v>
      </c>
      <c r="L26" s="33">
        <v>701.5</v>
      </c>
      <c r="M26" s="34">
        <v>754.2</v>
      </c>
    </row>
    <row r="27" spans="1:13" ht="12" x14ac:dyDescent="0.25">
      <c r="A27" s="28">
        <v>2022</v>
      </c>
      <c r="B27" s="33">
        <v>621.70000000000005</v>
      </c>
      <c r="C27" s="33">
        <v>669.1</v>
      </c>
      <c r="D27" s="33">
        <v>748.3</v>
      </c>
      <c r="E27" s="33">
        <v>770.4</v>
      </c>
      <c r="F27" s="33">
        <v>772.7</v>
      </c>
      <c r="G27" s="33">
        <v>768.4</v>
      </c>
      <c r="H27" s="33">
        <v>761</v>
      </c>
      <c r="I27" s="33">
        <v>780</v>
      </c>
      <c r="J27" s="33">
        <v>844.1</v>
      </c>
      <c r="K27" s="33">
        <v>751.2</v>
      </c>
      <c r="L27" s="33">
        <v>858.3</v>
      </c>
      <c r="M27" s="34">
        <v>873.8</v>
      </c>
    </row>
    <row r="28" spans="1:13" ht="12" x14ac:dyDescent="0.25">
      <c r="A28" s="29">
        <v>2023</v>
      </c>
      <c r="B28" s="10">
        <v>733.4</v>
      </c>
      <c r="C28" s="10">
        <v>752.4</v>
      </c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30" spans="1:13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mergeCells count="1"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32"/>
  <sheetViews>
    <sheetView workbookViewId="0">
      <selection activeCell="A2" sqref="A2:T2"/>
    </sheetView>
  </sheetViews>
  <sheetFormatPr defaultColWidth="9.109375" defaultRowHeight="11.4" x14ac:dyDescent="0.2"/>
  <cols>
    <col min="1" max="1" width="19.109375" style="3" customWidth="1"/>
    <col min="2" max="2" width="6.6640625" style="3" customWidth="1"/>
    <col min="3" max="4" width="5.44140625" style="3" customWidth="1"/>
    <col min="5" max="5" width="5.5546875" style="3" customWidth="1"/>
    <col min="6" max="6" width="5.44140625" style="3" customWidth="1"/>
    <col min="7" max="7" width="6" style="3" customWidth="1"/>
    <col min="8" max="8" width="5.33203125" style="3" customWidth="1"/>
    <col min="9" max="11" width="5.6640625" style="3" customWidth="1"/>
    <col min="12" max="12" width="5.44140625" style="3" customWidth="1"/>
    <col min="13" max="14" width="5.5546875" style="3" customWidth="1"/>
    <col min="15" max="16" width="5.88671875" style="3" customWidth="1"/>
    <col min="17" max="17" width="5.5546875" style="3" customWidth="1"/>
    <col min="18" max="18" width="5.44140625" style="3" customWidth="1"/>
    <col min="19" max="19" width="6" style="3" customWidth="1"/>
    <col min="20" max="20" width="0.109375" style="3" customWidth="1"/>
    <col min="21" max="24" width="6" style="3" customWidth="1"/>
    <col min="25" max="26" width="6.44140625" style="3" customWidth="1"/>
    <col min="27" max="27" width="6.5546875" style="3" customWidth="1"/>
    <col min="28" max="28" width="7.33203125" style="3" customWidth="1"/>
    <col min="29" max="30" width="6.6640625" style="3" customWidth="1"/>
    <col min="31" max="31" width="6.5546875" style="3" customWidth="1"/>
    <col min="32" max="16384" width="9.109375" style="3"/>
  </cols>
  <sheetData>
    <row r="2" spans="1:20" ht="13.2" x14ac:dyDescent="0.2">
      <c r="A2" s="155" t="s">
        <v>107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2" x14ac:dyDescent="0.25">
      <c r="A3" s="4"/>
    </row>
    <row r="4" spans="1:20" ht="12" x14ac:dyDescent="0.25">
      <c r="A4" s="4"/>
    </row>
    <row r="5" spans="1:20" ht="12" x14ac:dyDescent="0.25">
      <c r="A5" s="4"/>
    </row>
    <row r="6" spans="1:20" ht="12" x14ac:dyDescent="0.25">
      <c r="A6" s="4"/>
    </row>
    <row r="7" spans="1:20" ht="12" x14ac:dyDescent="0.25">
      <c r="A7" s="4"/>
    </row>
    <row r="8" spans="1:20" ht="12" x14ac:dyDescent="0.25">
      <c r="A8" s="4"/>
    </row>
    <row r="9" spans="1:20" ht="12" x14ac:dyDescent="0.25">
      <c r="A9" s="4"/>
    </row>
    <row r="10" spans="1:20" ht="12" x14ac:dyDescent="0.25">
      <c r="A10" s="4"/>
    </row>
    <row r="11" spans="1:20" ht="12" x14ac:dyDescent="0.25">
      <c r="A11" s="4"/>
    </row>
    <row r="12" spans="1:20" ht="12" x14ac:dyDescent="0.25">
      <c r="A12" s="4"/>
    </row>
    <row r="13" spans="1:20" ht="12" x14ac:dyDescent="0.25">
      <c r="A13" s="4"/>
    </row>
    <row r="14" spans="1:20" ht="12" x14ac:dyDescent="0.25">
      <c r="A14" s="4"/>
    </row>
    <row r="15" spans="1:20" ht="12" x14ac:dyDescent="0.25">
      <c r="A15" s="4"/>
    </row>
    <row r="16" spans="1:20" ht="12" x14ac:dyDescent="0.25">
      <c r="A16" s="4"/>
    </row>
    <row r="17" spans="1:29" ht="12" x14ac:dyDescent="0.25">
      <c r="A17" s="4"/>
    </row>
    <row r="18" spans="1:29" ht="12" x14ac:dyDescent="0.25">
      <c r="A18" s="4"/>
    </row>
    <row r="19" spans="1:29" ht="12" x14ac:dyDescent="0.25">
      <c r="A19" s="4"/>
    </row>
    <row r="20" spans="1:29" ht="12" x14ac:dyDescent="0.25">
      <c r="A20" s="4"/>
    </row>
    <row r="21" spans="1:29" ht="15" customHeight="1" x14ac:dyDescent="0.25">
      <c r="A21" s="4"/>
    </row>
    <row r="22" spans="1:29" ht="12" x14ac:dyDescent="0.25">
      <c r="A22" s="4"/>
    </row>
    <row r="23" spans="1:29" ht="12" x14ac:dyDescent="0.25">
      <c r="A23" s="159"/>
      <c r="B23" s="152">
        <v>2021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152">
        <v>2022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4"/>
      <c r="Z23" s="148">
        <v>2023</v>
      </c>
      <c r="AA23" s="149"/>
    </row>
    <row r="24" spans="1:29" ht="12" x14ac:dyDescent="0.25">
      <c r="A24" s="160"/>
      <c r="B24" s="21" t="s">
        <v>13</v>
      </c>
      <c r="C24" s="21" t="s">
        <v>14</v>
      </c>
      <c r="D24" s="22" t="s">
        <v>15</v>
      </c>
      <c r="E24" s="21" t="s">
        <v>16</v>
      </c>
      <c r="F24" s="21" t="s">
        <v>17</v>
      </c>
      <c r="G24" s="21" t="s">
        <v>22</v>
      </c>
      <c r="H24" s="21" t="s">
        <v>18</v>
      </c>
      <c r="I24" s="21" t="s">
        <v>23</v>
      </c>
      <c r="J24" s="42" t="s">
        <v>19</v>
      </c>
      <c r="K24" s="29" t="s">
        <v>24</v>
      </c>
      <c r="L24" s="27" t="s">
        <v>20</v>
      </c>
      <c r="M24" s="27" t="s">
        <v>21</v>
      </c>
      <c r="N24" s="50" t="s">
        <v>13</v>
      </c>
      <c r="O24" s="50" t="s">
        <v>14</v>
      </c>
      <c r="P24" s="50" t="s">
        <v>15</v>
      </c>
      <c r="Q24" s="21" t="s">
        <v>16</v>
      </c>
      <c r="R24" s="21" t="s">
        <v>17</v>
      </c>
      <c r="S24" s="21" t="s">
        <v>22</v>
      </c>
      <c r="T24" s="21" t="s">
        <v>18</v>
      </c>
      <c r="U24" s="21" t="s">
        <v>23</v>
      </c>
      <c r="V24" s="21" t="s">
        <v>19</v>
      </c>
      <c r="W24" s="22" t="s">
        <v>24</v>
      </c>
      <c r="X24" s="97" t="s">
        <v>20</v>
      </c>
      <c r="Y24" s="97" t="s">
        <v>21</v>
      </c>
      <c r="Z24" s="97" t="s">
        <v>13</v>
      </c>
      <c r="AA24" s="97" t="s">
        <v>14</v>
      </c>
    </row>
    <row r="25" spans="1:29" ht="27.75" customHeight="1" x14ac:dyDescent="0.25">
      <c r="A25" s="16" t="s">
        <v>57</v>
      </c>
      <c r="B25" s="57">
        <v>70.397914008513311</v>
      </c>
      <c r="C25" s="14">
        <v>130.56565598353049</v>
      </c>
      <c r="D25" s="14">
        <v>120.83026196604835</v>
      </c>
      <c r="E25" s="58">
        <v>89.231037795592442</v>
      </c>
      <c r="F25" s="14">
        <v>100.2114807539604</v>
      </c>
      <c r="G25" s="14">
        <v>104.66057637383682</v>
      </c>
      <c r="H25" s="14">
        <v>95.30942393156748</v>
      </c>
      <c r="I25" s="14">
        <v>102.30310816744974</v>
      </c>
      <c r="J25" s="14">
        <v>116.7433114933096</v>
      </c>
      <c r="K25" s="14">
        <v>96.368466717330918</v>
      </c>
      <c r="L25" s="15">
        <v>108.45193596997535</v>
      </c>
      <c r="M25" s="11">
        <v>107.60757399325725</v>
      </c>
      <c r="N25" s="98">
        <v>82.42810256467493</v>
      </c>
      <c r="O25" s="15">
        <v>107.62832847463979</v>
      </c>
      <c r="P25" s="15">
        <v>111.83649823538117</v>
      </c>
      <c r="Q25" s="15">
        <v>102.95945766976527</v>
      </c>
      <c r="R25" s="15">
        <v>100.28989015201115</v>
      </c>
      <c r="S25" s="15">
        <v>99.449492493428721</v>
      </c>
      <c r="T25" s="15">
        <v>99.042771669685536</v>
      </c>
      <c r="U25" s="15">
        <v>102.48436324688166</v>
      </c>
      <c r="V25" s="15">
        <v>108.22806008303567</v>
      </c>
      <c r="W25" s="94">
        <v>88.988673647198652</v>
      </c>
      <c r="X25" s="94">
        <v>114.26056736134905</v>
      </c>
      <c r="Y25" s="88">
        <v>101.80484196839581</v>
      </c>
      <c r="Z25" s="114">
        <v>83.933532907691912</v>
      </c>
      <c r="AA25" s="82">
        <v>102.58581619280855</v>
      </c>
    </row>
    <row r="26" spans="1:29" ht="42" customHeight="1" x14ac:dyDescent="0.25">
      <c r="A26" s="18" t="s">
        <v>58</v>
      </c>
      <c r="B26" s="19">
        <f>IF(379831.59944="","-",399368.86107/379831.59944*100)</f>
        <v>105.14366410240868</v>
      </c>
      <c r="C26" s="10">
        <f>IF(484785.07909="","-",521438.57325/484785.07909*100)</f>
        <v>107.56077192573727</v>
      </c>
      <c r="D26" s="10">
        <f>IF(500496.7331="","-",630055.59405/500496.7331*100)</f>
        <v>125.88605526903886</v>
      </c>
      <c r="E26" s="10">
        <f>IF(285604.18681="","-",562205.14526/285604.18681*100)</f>
        <v>196.84765533007069</v>
      </c>
      <c r="F26" s="10">
        <f>IF(329360.04715="","-",563394.10094/329360.04715*100)</f>
        <v>171.05720800538208</v>
      </c>
      <c r="G26" s="10">
        <f>IF(413539.17419="","-",589651.5133/413539.17419*100)</f>
        <v>142.58661575531545</v>
      </c>
      <c r="H26" s="10">
        <f>IF(496638.96559="","-",561993.46053/496638.96559*100)</f>
        <v>113.15935709199938</v>
      </c>
      <c r="I26" s="10">
        <f>IF(433625.62616="","-",574936.77782/433625.62616*100)</f>
        <v>132.58828425602752</v>
      </c>
      <c r="J26" s="10">
        <f>IF(508337.58442="","-",671200.23342/508337.58442*100)</f>
        <v>132.03828597207149</v>
      </c>
      <c r="K26" s="10">
        <f>IF(493580.30765="","-",646825.37355/493580.30765*100)</f>
        <v>131.0476458490858</v>
      </c>
      <c r="L26" s="10">
        <f>IF(522886.87074="","-",701494.63996/522886.87074*100)</f>
        <v>134.15801375299989</v>
      </c>
      <c r="M26" s="12">
        <f>IF(567302.1235="","-",754196.91196/567302.1235*100)</f>
        <v>132.94448949123316</v>
      </c>
      <c r="N26" s="19">
        <f>IF(399368.86107="","-",621670.20413/399368.86107*100)</f>
        <v>155.66316373900662</v>
      </c>
      <c r="O26" s="10">
        <f>IF(521438.57325="","-",669093.24933/521438.57325*100)</f>
        <v>128.31679197795137</v>
      </c>
      <c r="P26" s="10">
        <f>IF(630055.59405="","-",748290.45998/630055.59405*100)</f>
        <v>118.765783058918</v>
      </c>
      <c r="Q26" s="10">
        <f>IF(562205.14526="","-",770435.79939/562205.14526*100)</f>
        <v>137.03819786880473</v>
      </c>
      <c r="R26" s="10">
        <f>IF(563394.10094="","-",772669.2169/563394.10094*100)</f>
        <v>137.1454219365863</v>
      </c>
      <c r="S26" s="10">
        <f>IF(589651.5133="","-",768415.61486/589651.5133*100)</f>
        <v>130.31690711002199</v>
      </c>
      <c r="T26" s="10">
        <f>IF(561993.46053="","-",761060.1229/561993.46053*100)</f>
        <v>135.42152646798874</v>
      </c>
      <c r="U26" s="10">
        <f>IF(574936.77782="","-",779967.62088/574936.77782*100)</f>
        <v>135.66145895856928</v>
      </c>
      <c r="V26" s="10">
        <f>IF(671200.23342="","-",844143.83056/671200.23342*100)</f>
        <v>125.76631957631956</v>
      </c>
      <c r="W26" s="10">
        <f>IF(646825.37355="","-",751192.39849/646825.37355*100)</f>
        <v>116.13527069403568</v>
      </c>
      <c r="X26" s="10">
        <f>IF(701494.63996="","-",858316.69649/701494.63996*100)</f>
        <v>122.35541764637607</v>
      </c>
      <c r="Y26" s="12">
        <f>IF(754196.91196="","-",873807.95645/754196.91196*100)</f>
        <v>115.85939196955289</v>
      </c>
      <c r="Z26" s="115">
        <f>IF(621670.20413="","-",733414.242/621670.20413*100)</f>
        <v>117.97480997603557</v>
      </c>
      <c r="AA26" s="116">
        <f>IF(669093.24933="","-",752378.98623/669093.24933*100)</f>
        <v>112.44755301049571</v>
      </c>
    </row>
    <row r="27" spans="1:29" x14ac:dyDescent="0.2">
      <c r="A27" s="7"/>
      <c r="B27" s="8"/>
      <c r="C27" s="8"/>
      <c r="D27" s="8"/>
      <c r="E27" s="8"/>
      <c r="F27" s="8"/>
      <c r="G27" s="8"/>
      <c r="H27" s="8"/>
    </row>
    <row r="28" spans="1:29" x14ac:dyDescent="0.2">
      <c r="A28" s="7"/>
      <c r="B28" s="8"/>
      <c r="C28" s="8"/>
      <c r="D28" s="8"/>
      <c r="E28" s="8"/>
      <c r="F28" s="8"/>
      <c r="G28" s="8"/>
      <c r="H28" s="8"/>
      <c r="N28" s="61"/>
      <c r="O28" s="15"/>
      <c r="P28" s="15"/>
      <c r="Q28" s="15"/>
      <c r="R28" s="15"/>
      <c r="S28" s="15"/>
      <c r="T28" s="15"/>
      <c r="U28" s="15"/>
      <c r="V28" s="15"/>
      <c r="W28" s="94"/>
      <c r="X28" s="94"/>
      <c r="Y28" s="94"/>
    </row>
    <row r="29" spans="1:29" x14ac:dyDescent="0.2"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9" ht="15.6" x14ac:dyDescent="0.3">
      <c r="N30" s="67"/>
      <c r="O30" s="67"/>
      <c r="P30" s="67"/>
      <c r="Q30" s="15"/>
      <c r="R30" s="15"/>
      <c r="S30" s="15"/>
      <c r="T30" s="15"/>
      <c r="U30" s="15"/>
      <c r="V30" s="72"/>
      <c r="W30" s="81"/>
    </row>
    <row r="31" spans="1:29" ht="15.6" x14ac:dyDescent="0.3">
      <c r="G31" s="43"/>
      <c r="H31" s="43"/>
      <c r="I31" s="46"/>
      <c r="J31" s="43"/>
      <c r="K31" s="43"/>
      <c r="L31" s="43"/>
      <c r="M31" s="46"/>
      <c r="N31" s="43"/>
      <c r="O31" s="46"/>
      <c r="P31" s="43"/>
      <c r="Q31" s="46"/>
      <c r="R31" s="43"/>
      <c r="S31" s="46"/>
      <c r="T31" s="43"/>
      <c r="U31" s="46"/>
      <c r="V31" s="43"/>
      <c r="W31" s="47"/>
      <c r="X31" s="43"/>
      <c r="Y31" s="43"/>
      <c r="Z31" s="43"/>
      <c r="AA31" s="46"/>
      <c r="AB31" s="43"/>
      <c r="AC31" s="45"/>
    </row>
    <row r="32" spans="1:29" ht="15.6" x14ac:dyDescent="0.2">
      <c r="L32" s="46"/>
    </row>
  </sheetData>
  <mergeCells count="5">
    <mergeCell ref="Z23:AA23"/>
    <mergeCell ref="A23:A24"/>
    <mergeCell ref="B23:M23"/>
    <mergeCell ref="N23:Y23"/>
    <mergeCell ref="A2:T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Figura 1</vt:lpstr>
      <vt:lpstr>Figura 2</vt:lpstr>
      <vt:lpstr>Sheet1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Corina Vicol</cp:lastModifiedBy>
  <cp:lastPrinted>2023-02-01T07:21:59Z</cp:lastPrinted>
  <dcterms:created xsi:type="dcterms:W3CDTF">2017-02-13T11:50:10Z</dcterms:created>
  <dcterms:modified xsi:type="dcterms:W3CDTF">2023-04-18T06:31:02Z</dcterms:modified>
</cp:coreProperties>
</file>