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8.xml" ContentType="application/vnd.openxmlformats-officedocument.drawing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tables/table1.xml" ContentType="application/vnd.openxmlformats-officedocument.spreadsheetml.table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D:\CorinaVicol\Desktop\Comert exterior\"/>
    </mc:Choice>
  </mc:AlternateContent>
  <xr:revisionPtr revIDLastSave="0" documentId="13_ncr:1_{BAB34210-2DBA-4E9D-A1CF-A709EEE7ADB2}" xr6:coauthVersionLast="47" xr6:coauthVersionMax="47" xr10:uidLastSave="{00000000-0000-0000-0000-000000000000}"/>
  <bookViews>
    <workbookView xWindow="-120" yWindow="-120" windowWidth="29040" windowHeight="15840" tabRatio="857" xr2:uid="{00000000-000D-0000-FFFF-FFFF00000000}"/>
  </bookViews>
  <sheets>
    <sheet name="Figura 1" sheetId="1" r:id="rId1"/>
    <sheet name="Figura 2" sheetId="2" r:id="rId2"/>
    <sheet name="Sheet1" sheetId="18" state="hidden" r:id="rId3"/>
    <sheet name="Figura 3" sheetId="3" r:id="rId4"/>
    <sheet name="Figura 4" sheetId="4" r:id="rId5"/>
    <sheet name="Figura 5" sheetId="5" r:id="rId6"/>
    <sheet name="Figura 6" sheetId="17" r:id="rId7"/>
    <sheet name="Figura 7" sheetId="7" r:id="rId8"/>
    <sheet name="Figura 8" sheetId="8" r:id="rId9"/>
    <sheet name="Figura 9" sheetId="9" r:id="rId10"/>
    <sheet name="Figura 10" sheetId="10" r:id="rId11"/>
    <sheet name="Figura 11" sheetId="16" r:id="rId12"/>
    <sheet name="Figura 12" sheetId="12" r:id="rId13"/>
    <sheet name="Figura 13" sheetId="13" r:id="rId14"/>
    <sheet name="Figura 14" sheetId="14" r:id="rId15"/>
  </sheets>
  <externalReferences>
    <externalReference r:id="rId16"/>
  </externalReferenc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5" l="1"/>
  <c r="F48" i="5"/>
  <c r="E48" i="5"/>
  <c r="D48" i="5"/>
  <c r="C48" i="5"/>
  <c r="B48" i="5"/>
  <c r="G47" i="5"/>
  <c r="F47" i="5"/>
  <c r="E47" i="5"/>
  <c r="D47" i="5"/>
  <c r="C47" i="5"/>
  <c r="B47" i="5"/>
  <c r="G47" i="16"/>
  <c r="B44" i="5"/>
  <c r="C44" i="5"/>
  <c r="D44" i="5"/>
  <c r="E44" i="5"/>
  <c r="F44" i="5"/>
  <c r="G44" i="5"/>
  <c r="B45" i="5"/>
  <c r="C45" i="5"/>
  <c r="D45" i="5"/>
  <c r="E45" i="5"/>
  <c r="F45" i="5"/>
  <c r="G45" i="5"/>
  <c r="B46" i="5"/>
  <c r="C46" i="5"/>
  <c r="D46" i="5"/>
  <c r="E46" i="5"/>
  <c r="F46" i="5"/>
  <c r="G46" i="5"/>
  <c r="B46" i="16"/>
  <c r="C46" i="16"/>
  <c r="D46" i="16"/>
  <c r="E46" i="16"/>
  <c r="F46" i="16"/>
  <c r="G46" i="16"/>
  <c r="B47" i="16"/>
  <c r="C47" i="16"/>
  <c r="D47" i="16"/>
  <c r="E47" i="16"/>
  <c r="F47" i="16"/>
  <c r="B48" i="16"/>
  <c r="C48" i="16"/>
  <c r="D48" i="16"/>
  <c r="E48" i="16"/>
  <c r="F48" i="16"/>
  <c r="G48" i="16"/>
  <c r="B42" i="16"/>
  <c r="C42" i="16"/>
  <c r="D42" i="16"/>
  <c r="E42" i="16"/>
  <c r="F42" i="16"/>
  <c r="G42" i="16"/>
  <c r="B43" i="16"/>
  <c r="C43" i="16"/>
  <c r="D43" i="16"/>
  <c r="E43" i="16"/>
  <c r="F43" i="16"/>
  <c r="G43" i="16"/>
  <c r="B44" i="16"/>
  <c r="C44" i="16"/>
  <c r="D44" i="16"/>
  <c r="E44" i="16"/>
  <c r="F44" i="16"/>
  <c r="G44" i="16"/>
  <c r="B45" i="16"/>
  <c r="C45" i="16"/>
  <c r="D45" i="16"/>
  <c r="E45" i="16"/>
  <c r="F45" i="16"/>
  <c r="G45" i="16"/>
  <c r="B36" i="5"/>
  <c r="C36" i="5"/>
  <c r="D36" i="5"/>
  <c r="E36" i="5"/>
  <c r="F36" i="5"/>
  <c r="G36" i="5"/>
  <c r="B37" i="5"/>
  <c r="C37" i="5"/>
  <c r="D37" i="5"/>
  <c r="E37" i="5"/>
  <c r="F37" i="5"/>
  <c r="G37" i="5"/>
  <c r="B38" i="5"/>
  <c r="C38" i="5"/>
  <c r="D38" i="5"/>
  <c r="E38" i="5"/>
  <c r="F38" i="5"/>
  <c r="G38" i="5"/>
  <c r="B39" i="5"/>
  <c r="C39" i="5"/>
  <c r="D39" i="5"/>
  <c r="E39" i="5"/>
  <c r="F39" i="5"/>
  <c r="G39" i="5"/>
  <c r="B40" i="5"/>
  <c r="C40" i="5"/>
  <c r="D40" i="5"/>
  <c r="E40" i="5"/>
  <c r="F40" i="5"/>
  <c r="G40" i="5"/>
  <c r="B41" i="5"/>
  <c r="C41" i="5"/>
  <c r="D41" i="5"/>
  <c r="E41" i="5"/>
  <c r="F41" i="5"/>
  <c r="G41" i="5"/>
  <c r="B42" i="5"/>
  <c r="C42" i="5"/>
  <c r="D42" i="5"/>
  <c r="E42" i="5"/>
  <c r="F42" i="5"/>
  <c r="G42" i="5"/>
  <c r="B43" i="5"/>
  <c r="C43" i="5"/>
  <c r="D43" i="5"/>
  <c r="E43" i="5"/>
  <c r="F43" i="5"/>
  <c r="G43" i="5"/>
  <c r="G41" i="16"/>
  <c r="F41" i="16"/>
  <c r="E41" i="16"/>
  <c r="D41" i="16"/>
  <c r="C41" i="16"/>
  <c r="B41" i="16"/>
  <c r="G40" i="16"/>
  <c r="F40" i="16"/>
  <c r="E40" i="16"/>
  <c r="D40" i="16"/>
  <c r="C40" i="16"/>
  <c r="B40" i="16"/>
  <c r="G39" i="16"/>
  <c r="F39" i="16"/>
  <c r="E39" i="16"/>
  <c r="D39" i="16"/>
  <c r="C39" i="16"/>
  <c r="B39" i="16"/>
  <c r="G38" i="16"/>
  <c r="F38" i="16"/>
  <c r="E38" i="16"/>
  <c r="D38" i="16"/>
  <c r="C38" i="16"/>
  <c r="B38" i="16"/>
  <c r="G37" i="16"/>
  <c r="F37" i="16"/>
  <c r="E37" i="16"/>
  <c r="D37" i="16"/>
  <c r="C37" i="16"/>
  <c r="B37" i="16"/>
  <c r="G36" i="16"/>
  <c r="F36" i="16"/>
  <c r="E36" i="16"/>
  <c r="D36" i="16"/>
  <c r="C36" i="16"/>
  <c r="B36" i="16"/>
  <c r="G35" i="16"/>
  <c r="F35" i="16"/>
  <c r="E35" i="16"/>
  <c r="D35" i="16"/>
  <c r="C35" i="16"/>
  <c r="B35" i="16"/>
  <c r="G34" i="16"/>
  <c r="F34" i="16"/>
  <c r="E34" i="16"/>
  <c r="D34" i="16"/>
  <c r="C34" i="16"/>
  <c r="B34" i="16"/>
  <c r="G33" i="16"/>
  <c r="F33" i="16"/>
  <c r="E33" i="16"/>
  <c r="D33" i="16"/>
  <c r="C33" i="16"/>
  <c r="B33" i="16"/>
  <c r="G32" i="16"/>
  <c r="F32" i="16"/>
  <c r="E32" i="16"/>
  <c r="D32" i="16"/>
  <c r="C32" i="16"/>
  <c r="B32" i="16"/>
  <c r="G31" i="16"/>
  <c r="F31" i="16"/>
  <c r="E31" i="16"/>
  <c r="D31" i="16"/>
  <c r="C31" i="16"/>
  <c r="B31" i="16"/>
  <c r="G30" i="16"/>
  <c r="F30" i="16"/>
  <c r="E30" i="16"/>
  <c r="D30" i="16"/>
  <c r="C30" i="16"/>
  <c r="B30" i="16"/>
  <c r="G29" i="16"/>
  <c r="F29" i="16"/>
  <c r="E29" i="16"/>
  <c r="D29" i="16"/>
  <c r="C29" i="16"/>
  <c r="B29" i="16"/>
  <c r="G28" i="16"/>
  <c r="F28" i="16"/>
  <c r="E28" i="16"/>
  <c r="D28" i="16"/>
  <c r="C28" i="16"/>
  <c r="B28" i="16"/>
  <c r="G27" i="16"/>
  <c r="F27" i="16"/>
  <c r="E27" i="16"/>
  <c r="D27" i="16"/>
  <c r="C27" i="16"/>
  <c r="B27" i="16"/>
  <c r="G26" i="16"/>
  <c r="F26" i="16"/>
  <c r="E26" i="16"/>
  <c r="D26" i="16"/>
  <c r="C26" i="16"/>
  <c r="B26" i="16"/>
  <c r="G25" i="16"/>
  <c r="F25" i="16"/>
  <c r="E25" i="16"/>
  <c r="D25" i="16"/>
  <c r="C25" i="16"/>
  <c r="B25" i="16"/>
  <c r="AD26" i="8" l="1"/>
  <c r="G35" i="5" l="1"/>
  <c r="F35" i="5"/>
  <c r="E35" i="5"/>
  <c r="D35" i="5"/>
  <c r="C35" i="5"/>
  <c r="B35" i="5"/>
  <c r="G34" i="5"/>
  <c r="F34" i="5"/>
  <c r="E34" i="5"/>
  <c r="D34" i="5"/>
  <c r="C34" i="5"/>
  <c r="B34" i="5"/>
  <c r="G33" i="5"/>
  <c r="F33" i="5"/>
  <c r="E33" i="5"/>
  <c r="D33" i="5"/>
  <c r="C33" i="5"/>
  <c r="B33" i="5"/>
  <c r="G32" i="5"/>
  <c r="F32" i="5"/>
  <c r="E32" i="5"/>
  <c r="D32" i="5"/>
  <c r="C32" i="5"/>
  <c r="B32" i="5"/>
  <c r="G31" i="5"/>
  <c r="F31" i="5"/>
  <c r="E31" i="5"/>
  <c r="D31" i="5"/>
  <c r="C31" i="5"/>
  <c r="B31" i="5"/>
  <c r="G30" i="5"/>
  <c r="F30" i="5"/>
  <c r="E30" i="5"/>
  <c r="D30" i="5"/>
  <c r="C30" i="5"/>
  <c r="B30" i="5"/>
  <c r="G29" i="5"/>
  <c r="F29" i="5"/>
  <c r="E29" i="5"/>
  <c r="D29" i="5"/>
  <c r="C29" i="5"/>
  <c r="B29" i="5"/>
  <c r="G28" i="5"/>
  <c r="F28" i="5"/>
  <c r="E28" i="5"/>
  <c r="D28" i="5"/>
  <c r="C28" i="5"/>
  <c r="B28" i="5"/>
  <c r="G27" i="5"/>
  <c r="F27" i="5"/>
  <c r="E27" i="5"/>
  <c r="D27" i="5"/>
  <c r="C27" i="5"/>
  <c r="B27" i="5"/>
  <c r="G26" i="5"/>
  <c r="F26" i="5"/>
  <c r="E26" i="5"/>
  <c r="D26" i="5"/>
  <c r="C26" i="5"/>
  <c r="B26" i="5"/>
  <c r="AD26" i="2" l="1"/>
  <c r="AC26" i="8" l="1"/>
  <c r="AB26" i="8"/>
  <c r="AC26" i="2" l="1"/>
  <c r="AB26" i="2"/>
  <c r="AA26" i="8" l="1"/>
  <c r="Z26" i="8"/>
  <c r="AA26" i="2" l="1"/>
  <c r="Z26" i="2"/>
  <c r="Y26" i="8" l="1"/>
  <c r="X26" i="8"/>
  <c r="Y26" i="2"/>
  <c r="X26" i="2"/>
  <c r="W26" i="8"/>
  <c r="V26" i="8"/>
  <c r="U26" i="8"/>
  <c r="T26" i="8"/>
  <c r="S26" i="8"/>
  <c r="R26" i="8"/>
  <c r="Q26" i="8"/>
  <c r="P26" i="8"/>
  <c r="O26" i="8"/>
  <c r="N26" i="8"/>
  <c r="Q26" i="2" l="1"/>
  <c r="W26" i="2"/>
  <c r="V26" i="2"/>
  <c r="U26" i="2"/>
  <c r="T26" i="2"/>
  <c r="S26" i="2"/>
  <c r="R26" i="2"/>
  <c r="P26" i="2"/>
  <c r="O26" i="2"/>
  <c r="N26" i="2"/>
  <c r="L26" i="8" l="1"/>
  <c r="M26" i="8" l="1"/>
  <c r="K26" i="8"/>
  <c r="J26" i="8"/>
  <c r="I26" i="8"/>
  <c r="H26" i="8"/>
  <c r="G26" i="8"/>
  <c r="F26" i="8"/>
  <c r="E26" i="8"/>
  <c r="D26" i="8"/>
  <c r="C26" i="8"/>
  <c r="B26" i="8"/>
  <c r="M26" i="2" l="1"/>
  <c r="L26" i="2"/>
  <c r="K26" i="2"/>
  <c r="J26" i="2"/>
  <c r="I26" i="2"/>
  <c r="H26" i="2"/>
  <c r="G26" i="2"/>
  <c r="F26" i="2"/>
  <c r="E26" i="2"/>
  <c r="D26" i="2"/>
  <c r="C26" i="2"/>
  <c r="B26" i="2"/>
</calcChain>
</file>

<file path=xl/sharedStrings.xml><?xml version="1.0" encoding="utf-8"?>
<sst xmlns="http://schemas.openxmlformats.org/spreadsheetml/2006/main" count="294" uniqueCount="119">
  <si>
    <t xml:space="preserve"> 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</si>
  <si>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</si>
  <si>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</si>
  <si>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</si>
  <si>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</si>
  <si>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</si>
  <si>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</si>
  <si>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</si>
  <si>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</si>
  <si>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</si>
  <si>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</si>
  <si>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</si>
  <si>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</si>
  <si>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I</t>
  </si>
  <si>
    <t>II</t>
  </si>
  <si>
    <t>III</t>
  </si>
  <si>
    <t>IV</t>
  </si>
  <si>
    <t>V</t>
  </si>
  <si>
    <t>VII</t>
  </si>
  <si>
    <t>IX</t>
  </si>
  <si>
    <t>XI</t>
  </si>
  <si>
    <t>XII</t>
  </si>
  <si>
    <t>VI</t>
  </si>
  <si>
    <t>VIII</t>
  </si>
  <si>
    <t>X</t>
  </si>
  <si>
    <t>Moduri de transport</t>
  </si>
  <si>
    <t>Transport maritim</t>
  </si>
  <si>
    <t>Transport feroviar</t>
  </si>
  <si>
    <t>Transport rutier</t>
  </si>
  <si>
    <t>Transport aerian</t>
  </si>
  <si>
    <t xml:space="preserve">Ţările Uniunii Europene </t>
  </si>
  <si>
    <t xml:space="preserve">Ţările CSI </t>
  </si>
  <si>
    <t xml:space="preserve">Celelalte ţări ale lumii </t>
  </si>
  <si>
    <t>România</t>
  </si>
  <si>
    <t>Germania</t>
  </si>
  <si>
    <t>Turcia</t>
  </si>
  <si>
    <t>Italia</t>
  </si>
  <si>
    <t>Polonia</t>
  </si>
  <si>
    <t>Ucraina</t>
  </si>
  <si>
    <t>Belarus</t>
  </si>
  <si>
    <t>Ungaria</t>
  </si>
  <si>
    <t>Spania</t>
  </si>
  <si>
    <t>Bulgaria</t>
  </si>
  <si>
    <t xml:space="preserve">Regatul Unit </t>
  </si>
  <si>
    <t>%</t>
  </si>
  <si>
    <t>Expedieri poştale</t>
  </si>
  <si>
    <t>Instalaţii fixe de transport</t>
  </si>
  <si>
    <t>Autopropulsie</t>
  </si>
  <si>
    <t>Ţările Uniunii Europene - total</t>
  </si>
  <si>
    <t>Ţările CSI - total</t>
  </si>
  <si>
    <t>Celelalte ţări ale lumii - total</t>
  </si>
  <si>
    <t>China</t>
  </si>
  <si>
    <t>Austria</t>
  </si>
  <si>
    <t>Perioada</t>
  </si>
  <si>
    <t>Export</t>
  </si>
  <si>
    <t>Import</t>
  </si>
  <si>
    <t>Balanţa Comercială</t>
  </si>
  <si>
    <t>În % faţă de luna precedentă</t>
  </si>
  <si>
    <t>În % faţă de luna corespunzătoare din anul precedent</t>
  </si>
  <si>
    <t>Grecia</t>
  </si>
  <si>
    <t>Cehia</t>
  </si>
  <si>
    <t>S.U.A.</t>
  </si>
  <si>
    <t>Cereale şi preparate pe bază de cereale</t>
  </si>
  <si>
    <t>Legume şi fructe</t>
  </si>
  <si>
    <t>Seminţe şi fructe oleaginoase</t>
  </si>
  <si>
    <t xml:space="preserve">Grăsimi şi uleiuri vegetale </t>
  </si>
  <si>
    <t>Produse medicinale şi farmaceutice</t>
  </si>
  <si>
    <t xml:space="preserve">Maşini şi aparate electrice </t>
  </si>
  <si>
    <t>Mobilă şi părţile ei</t>
  </si>
  <si>
    <t>Îmbrăcăminte şi accesorii</t>
  </si>
  <si>
    <t>Alte mărfuri</t>
  </si>
  <si>
    <t>Băuturi alcoolice şi nealcoolice</t>
  </si>
  <si>
    <t>India</t>
  </si>
  <si>
    <t>Gaz şi produse industriale obţinute din gaz</t>
  </si>
  <si>
    <t xml:space="preserve">Maşini şi aparate specializate </t>
  </si>
  <si>
    <t xml:space="preserve">Vehicule rutiere </t>
  </si>
  <si>
    <t xml:space="preserve">Maşini şi aparate industriale </t>
  </si>
  <si>
    <t>Netherlands</t>
  </si>
  <si>
    <t>Vehicule rutiere</t>
  </si>
  <si>
    <t>Japonia</t>
  </si>
  <si>
    <t>Belgia</t>
  </si>
  <si>
    <t>Slovacia</t>
  </si>
  <si>
    <t>Articole din minerale nemetalice</t>
  </si>
  <si>
    <t xml:space="preserve">Petrol, produse petroliere </t>
  </si>
  <si>
    <t xml:space="preserve">Fire, tesături, articole textile </t>
  </si>
  <si>
    <t>Petrol, produse petroliere</t>
  </si>
  <si>
    <t xml:space="preserve">Aparate şi echipamente de telecomunicaţii </t>
  </si>
  <si>
    <t>Kazahstan</t>
  </si>
  <si>
    <r>
      <rPr>
        <b/>
        <sz val="10"/>
        <color theme="1"/>
        <rFont val="Arial"/>
        <family val="2"/>
        <charset val="204"/>
      </rPr>
      <t xml:space="preserve">Figura 6. </t>
    </r>
    <r>
      <rPr>
        <b/>
        <i/>
        <sz val="10"/>
        <color theme="1"/>
        <rFont val="Arial"/>
        <family val="2"/>
        <charset val="204"/>
      </rPr>
      <t>Structura exporturilor, pe grupe de mărfuri (%)</t>
    </r>
  </si>
  <si>
    <r>
      <t xml:space="preserve">Figura 12. </t>
    </r>
    <r>
      <rPr>
        <b/>
        <i/>
        <sz val="10"/>
        <color theme="1"/>
        <rFont val="Arial"/>
        <family val="2"/>
        <charset val="204"/>
      </rPr>
      <t>Structura importurilor, pe grupe de mărfuri (%)</t>
    </r>
  </si>
  <si>
    <r>
      <t xml:space="preserve">Figura 2. </t>
    </r>
    <r>
      <rPr>
        <b/>
        <i/>
        <sz val="10"/>
        <color indexed="8"/>
        <rFont val="Arial"/>
        <family val="2"/>
        <charset val="204"/>
      </rPr>
      <t>Evoluţia lunară a indicilor valorici ai exporturilor de mărfuri, în anii 2021-2023 (%)</t>
    </r>
  </si>
  <si>
    <r>
      <rPr>
        <b/>
        <sz val="10"/>
        <color indexed="8"/>
        <rFont val="Arial"/>
        <family val="2"/>
        <charset val="204"/>
      </rPr>
      <t>Figura 7.</t>
    </r>
    <r>
      <rPr>
        <b/>
        <i/>
        <sz val="10"/>
        <color indexed="8"/>
        <rFont val="Arial"/>
        <family val="2"/>
        <charset val="204"/>
      </rPr>
      <t xml:space="preserve"> Evoluţia lunară a importurilor de mărfuri, în anii 2018-2023 (milioane dolari SUA)</t>
    </r>
  </si>
  <si>
    <r>
      <t xml:space="preserve">Figura 8. </t>
    </r>
    <r>
      <rPr>
        <b/>
        <i/>
        <sz val="10"/>
        <color indexed="8"/>
        <rFont val="Arial"/>
        <family val="2"/>
        <charset val="204"/>
      </rPr>
      <t>Evoluţia lunară a indicilor valorici ai importurilor de mărfuri, în anii 2021-2023 (%)</t>
    </r>
  </si>
  <si>
    <r>
      <t xml:space="preserve">Figura 13. </t>
    </r>
    <r>
      <rPr>
        <b/>
        <i/>
        <sz val="10"/>
        <color indexed="8"/>
        <rFont val="Arial"/>
        <family val="2"/>
        <charset val="204"/>
      </rPr>
      <t>Evoluţia lunară a balanţei comerciale, în anii 2018-2023 (milioane dolari SUA)</t>
    </r>
  </si>
  <si>
    <t>Cipru</t>
  </si>
  <si>
    <t>Îngrăşăminte minerale sau chimice</t>
  </si>
  <si>
    <t>Liban</t>
  </si>
  <si>
    <t>Ianuarie-mai 2023</t>
  </si>
  <si>
    <t>Ianuarie-mai 2022</t>
  </si>
  <si>
    <t>Ianuarie-mai 2021</t>
  </si>
  <si>
    <t>Ianuarie-mai 2020</t>
  </si>
  <si>
    <t>Ianuarie-mai 2019</t>
  </si>
  <si>
    <t>Ianuarie-mai 2018</t>
  </si>
  <si>
    <t>Federaţia Rusă</t>
  </si>
  <si>
    <t>Franţa</t>
  </si>
  <si>
    <t>Elveţia</t>
  </si>
  <si>
    <t xml:space="preserve">   Ianuarie - mai 2022</t>
  </si>
  <si>
    <t xml:space="preserve">   Ianuarie - mai 2023</t>
  </si>
  <si>
    <t>Articole prelucrate din metal</t>
  </si>
  <si>
    <t>Egipt</t>
  </si>
  <si>
    <t>Lituania</t>
  </si>
  <si>
    <r>
      <rPr>
        <b/>
        <sz val="10"/>
        <color rgb="FF000000"/>
        <rFont val="Arial"/>
        <family val="2"/>
        <charset val="204"/>
      </rPr>
      <t>Figura 5.</t>
    </r>
    <r>
      <rPr>
        <b/>
        <i/>
        <sz val="10"/>
        <color indexed="8"/>
        <rFont val="Arial"/>
        <family val="2"/>
        <charset val="204"/>
      </rPr>
      <t xml:space="preserve"> Structura exporturilor, în ianuarie-mai 2018-2023, pe principalele ţări de destinaţie a mărfurilor (%)</t>
    </r>
  </si>
  <si>
    <r>
      <rPr>
        <b/>
        <sz val="10"/>
        <color rgb="FF000000"/>
        <rFont val="Arial"/>
        <family val="2"/>
        <charset val="204"/>
      </rPr>
      <t>Figura 4.</t>
    </r>
    <r>
      <rPr>
        <b/>
        <i/>
        <sz val="10"/>
        <color indexed="8"/>
        <rFont val="Arial"/>
        <family val="2"/>
        <charset val="204"/>
      </rPr>
      <t xml:space="preserve"> Structura exporturilor de mărfuri, în ianuarie-mai 2018-2023, pe grupe de ţări (%)</t>
    </r>
  </si>
  <si>
    <r>
      <rPr>
        <b/>
        <sz val="10"/>
        <color rgb="FF000000"/>
        <rFont val="Arial"/>
        <family val="2"/>
        <charset val="204"/>
      </rPr>
      <t xml:space="preserve">Figura 3. </t>
    </r>
    <r>
      <rPr>
        <b/>
        <i/>
        <sz val="10"/>
        <color indexed="8"/>
        <rFont val="Arial"/>
        <family val="2"/>
        <charset val="204"/>
      </rPr>
      <t>Structura exporturilor de mărfuri, în ianuarie-mai 2018-2023, după modul de transport (%)</t>
    </r>
  </si>
  <si>
    <r>
      <t xml:space="preserve">Figura 9. </t>
    </r>
    <r>
      <rPr>
        <b/>
        <i/>
        <sz val="10"/>
        <color rgb="FF000000"/>
        <rFont val="Arial"/>
        <family val="2"/>
        <charset val="204"/>
      </rPr>
      <t>Structura importurilor de mărfuri, în ianuarie-mai 2018-2023, după modul de transport (%)</t>
    </r>
  </si>
  <si>
    <r>
      <t xml:space="preserve"> </t>
    </r>
    <r>
      <rPr>
        <b/>
        <sz val="10"/>
        <color theme="1"/>
        <rFont val="Arial"/>
        <family val="2"/>
        <charset val="204"/>
      </rPr>
      <t xml:space="preserve">   Figura 10.</t>
    </r>
    <r>
      <rPr>
        <b/>
        <i/>
        <sz val="10"/>
        <color theme="1"/>
        <rFont val="Arial"/>
        <family val="2"/>
        <charset val="204"/>
      </rPr>
      <t xml:space="preserve"> Structura importurilor de mărfuri, în ianuarie-mai 2018-2023, pe grupe de ţări (%)</t>
    </r>
  </si>
  <si>
    <r>
      <t xml:space="preserve">Figura 11. </t>
    </r>
    <r>
      <rPr>
        <b/>
        <i/>
        <sz val="10"/>
        <color rgb="FF000000"/>
        <rFont val="Arial"/>
        <family val="2"/>
        <charset val="204"/>
      </rPr>
      <t>Structura importurilor, în ianuarie-mai 2018-2023, pe principalele ţări de origine a mărfurilor (%)</t>
    </r>
  </si>
  <si>
    <r>
      <rPr>
        <b/>
        <sz val="10"/>
        <color rgb="FF000000"/>
        <rFont val="Arial"/>
        <family val="2"/>
        <charset val="204"/>
      </rPr>
      <t xml:space="preserve">Figura 14. </t>
    </r>
    <r>
      <rPr>
        <b/>
        <i/>
        <sz val="10"/>
        <color indexed="8"/>
        <rFont val="Arial"/>
        <family val="2"/>
        <charset val="204"/>
      </rPr>
      <t>Tendinţele comerţului internaţional cu mărfuri, în ianuarie-mai 2018-2023 (milioane dolari SUA)</t>
    </r>
  </si>
  <si>
    <r>
      <t xml:space="preserve">Figura 1. </t>
    </r>
    <r>
      <rPr>
        <b/>
        <i/>
        <sz val="9"/>
        <color theme="1"/>
        <rFont val="Arial"/>
        <family val="2"/>
      </rPr>
      <t>Evoluţia lunară a exporturilor de mărfuri, în anii 2018-2023 (milioane dolari SUA)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</si>
</sst>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.0000"/>
  </numFmts>
  <fonts count="4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38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1"/>
      <color rgb="FF008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b/>
      <sz val="12"/>
      <color rgb="FF008000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1"/>
      <color rgb="FF0066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sz val="11"/>
      <color rgb="FF0000FF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4" fillId="0" borderId="0"/>
    <xf numFmtId="0" fontId="32" fillId="0" borderId="0"/>
    <xf numFmtId="0" fontId="32" fillId="0" borderId="0"/>
  </cellStyleXfs>
  <cellXfs count="18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 vertical="top" wrapText="1"/>
    </xf>
    <xf numFmtId="164" fontId="4" fillId="0" borderId="0" xfId="0" applyNumberFormat="1" applyFont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wrapText="1" indent="1"/>
    </xf>
    <xf numFmtId="165" fontId="4" fillId="0" borderId="2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6" fillId="0" borderId="12" xfId="0" applyFont="1" applyBorder="1" applyAlignment="1">
      <alignment horizontal="left" wrapText="1" indent="1"/>
    </xf>
    <xf numFmtId="0" fontId="6" fillId="0" borderId="13" xfId="0" applyFont="1" applyBorder="1" applyAlignment="1">
      <alignment horizontal="left" wrapText="1" indent="1"/>
    </xf>
    <xf numFmtId="0" fontId="6" fillId="0" borderId="8" xfId="0" applyFont="1" applyBorder="1" applyAlignment="1">
      <alignment horizontal="left" wrapText="1" indent="1"/>
    </xf>
    <xf numFmtId="165" fontId="4" fillId="0" borderId="9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4" xfId="0" applyNumberFormat="1" applyFont="1" applyBorder="1" applyAlignment="1">
      <alignment horizontal="left" indent="1"/>
    </xf>
    <xf numFmtId="2" fontId="3" fillId="0" borderId="5" xfId="0" applyNumberFormat="1" applyFont="1" applyBorder="1" applyAlignment="1">
      <alignment horizontal="left" indent="1"/>
    </xf>
    <xf numFmtId="2" fontId="3" fillId="0" borderId="6" xfId="0" applyNumberFormat="1" applyFont="1" applyBorder="1" applyAlignment="1">
      <alignment horizontal="left" indent="1"/>
    </xf>
    <xf numFmtId="165" fontId="2" fillId="0" borderId="0" xfId="0" applyNumberFormat="1" applyFont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indent="1"/>
    </xf>
    <xf numFmtId="0" fontId="8" fillId="0" borderId="0" xfId="0" applyFont="1"/>
    <xf numFmtId="0" fontId="8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164" fontId="12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 wrapText="1"/>
    </xf>
    <xf numFmtId="165" fontId="12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166" fontId="15" fillId="0" borderId="0" xfId="0" applyNumberFormat="1" applyFont="1" applyAlignment="1">
      <alignment horizontal="center" vertical="top"/>
    </xf>
    <xf numFmtId="166" fontId="15" fillId="0" borderId="0" xfId="0" applyNumberFormat="1" applyFont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5" fontId="4" fillId="0" borderId="0" xfId="0" applyNumberFormat="1" applyFont="1" applyAlignment="1">
      <alignment horizontal="center" wrapText="1"/>
    </xf>
    <xf numFmtId="38" fontId="4" fillId="0" borderId="0" xfId="0" applyNumberFormat="1" applyFont="1" applyAlignment="1">
      <alignment horizontal="left" vertical="top" wrapText="1" indent="1"/>
    </xf>
    <xf numFmtId="165" fontId="18" fillId="0" borderId="0" xfId="0" applyNumberFormat="1" applyFont="1" applyAlignment="1">
      <alignment horizontal="center"/>
    </xf>
    <xf numFmtId="165" fontId="19" fillId="0" borderId="0" xfId="0" applyNumberFormat="1" applyFont="1" applyAlignment="1">
      <alignment horizontal="center"/>
    </xf>
    <xf numFmtId="165" fontId="20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center" wrapText="1"/>
    </xf>
    <xf numFmtId="165" fontId="11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165" fontId="24" fillId="0" borderId="0" xfId="0" applyNumberFormat="1" applyFont="1" applyAlignment="1">
      <alignment horizontal="center"/>
    </xf>
    <xf numFmtId="0" fontId="24" fillId="0" borderId="0" xfId="0" applyFont="1"/>
    <xf numFmtId="164" fontId="2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 vertical="top"/>
    </xf>
    <xf numFmtId="0" fontId="6" fillId="0" borderId="11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/>
    </xf>
    <xf numFmtId="165" fontId="29" fillId="0" borderId="0" xfId="0" applyNumberFormat="1" applyFont="1" applyAlignment="1">
      <alignment horizontal="center"/>
    </xf>
    <xf numFmtId="165" fontId="30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center" vertical="top" wrapText="1"/>
    </xf>
    <xf numFmtId="164" fontId="30" fillId="0" borderId="0" xfId="0" applyNumberFormat="1" applyFont="1" applyAlignment="1">
      <alignment horizontal="center"/>
    </xf>
    <xf numFmtId="164" fontId="29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6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indent="1"/>
    </xf>
    <xf numFmtId="0" fontId="3" fillId="0" borderId="5" xfId="0" applyFont="1" applyBorder="1" applyAlignment="1">
      <alignment horizontal="left" indent="1"/>
    </xf>
    <xf numFmtId="0" fontId="3" fillId="0" borderId="6" xfId="0" applyFont="1" applyBorder="1" applyAlignment="1">
      <alignment horizontal="left" vertical="top" indent="1"/>
    </xf>
    <xf numFmtId="164" fontId="2" fillId="0" borderId="12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38" fontId="15" fillId="0" borderId="0" xfId="0" applyNumberFormat="1" applyFont="1" applyAlignment="1">
      <alignment horizontal="left" vertical="top" wrapText="1"/>
    </xf>
    <xf numFmtId="164" fontId="31" fillId="0" borderId="0" xfId="0" applyNumberFormat="1" applyFont="1" applyAlignment="1">
      <alignment horizontal="center" vertical="center"/>
    </xf>
    <xf numFmtId="165" fontId="15" fillId="0" borderId="0" xfId="0" applyNumberFormat="1" applyFont="1" applyAlignment="1">
      <alignment horizontal="center" vertical="top"/>
    </xf>
    <xf numFmtId="164" fontId="4" fillId="0" borderId="9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5" fontId="4" fillId="0" borderId="0" xfId="0" applyNumberFormat="1" applyFont="1" applyAlignment="1">
      <alignment horizontal="center" vertical="top"/>
    </xf>
    <xf numFmtId="165" fontId="4" fillId="0" borderId="3" xfId="0" applyNumberFormat="1" applyFont="1" applyBorder="1" applyAlignment="1">
      <alignment horizontal="center" vertical="top"/>
    </xf>
    <xf numFmtId="165" fontId="4" fillId="0" borderId="2" xfId="0" applyNumberFormat="1" applyFont="1" applyBorder="1" applyAlignment="1">
      <alignment horizontal="center" vertical="top"/>
    </xf>
    <xf numFmtId="165" fontId="4" fillId="0" borderId="4" xfId="0" applyNumberFormat="1" applyFont="1" applyBorder="1" applyAlignment="1">
      <alignment horizontal="center" vertical="top"/>
    </xf>
    <xf numFmtId="165" fontId="4" fillId="0" borderId="5" xfId="0" applyNumberFormat="1" applyFont="1" applyBorder="1" applyAlignment="1">
      <alignment horizontal="center" vertical="top"/>
    </xf>
    <xf numFmtId="165" fontId="4" fillId="0" borderId="6" xfId="0" applyNumberFormat="1" applyFont="1" applyBorder="1" applyAlignment="1">
      <alignment horizontal="center" vertical="top"/>
    </xf>
    <xf numFmtId="38" fontId="6" fillId="0" borderId="10" xfId="0" applyNumberFormat="1" applyFont="1" applyBorder="1" applyAlignment="1">
      <alignment horizontal="left" vertical="top" wrapText="1" indent="1"/>
    </xf>
    <xf numFmtId="38" fontId="6" fillId="0" borderId="11" xfId="0" applyNumberFormat="1" applyFont="1" applyBorder="1" applyAlignment="1">
      <alignment horizontal="left" vertical="top" wrapText="1" indent="1"/>
    </xf>
    <xf numFmtId="38" fontId="4" fillId="0" borderId="12" xfId="0" applyNumberFormat="1" applyFont="1" applyBorder="1" applyAlignment="1">
      <alignment horizontal="left" vertical="top" wrapText="1" indent="1"/>
    </xf>
    <xf numFmtId="38" fontId="4" fillId="0" borderId="13" xfId="0" applyNumberFormat="1" applyFont="1" applyBorder="1" applyAlignment="1">
      <alignment horizontal="left" vertical="top" wrapText="1" indent="1"/>
    </xf>
    <xf numFmtId="38" fontId="4" fillId="0" borderId="8" xfId="0" applyNumberFormat="1" applyFont="1" applyBorder="1" applyAlignment="1">
      <alignment horizontal="left" vertical="top" wrapText="1" indent="1"/>
    </xf>
    <xf numFmtId="0" fontId="3" fillId="0" borderId="12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38" fontId="6" fillId="0" borderId="0" xfId="0" applyNumberFormat="1" applyFont="1" applyAlignment="1">
      <alignment horizontal="left" vertical="top" wrapText="1" indent="1"/>
    </xf>
    <xf numFmtId="38" fontId="6" fillId="0" borderId="3" xfId="0" applyNumberFormat="1" applyFont="1" applyBorder="1" applyAlignment="1">
      <alignment horizontal="left" vertical="top" wrapText="1" indent="1"/>
    </xf>
    <xf numFmtId="38" fontId="6" fillId="0" borderId="10" xfId="0" applyNumberFormat="1" applyFont="1" applyBorder="1" applyAlignment="1">
      <alignment horizontal="left" wrapText="1" indent="1"/>
    </xf>
    <xf numFmtId="38" fontId="6" fillId="0" borderId="11" xfId="0" applyNumberFormat="1" applyFont="1" applyBorder="1" applyAlignment="1">
      <alignment horizontal="left" wrapText="1" indent="1"/>
    </xf>
    <xf numFmtId="38" fontId="6" fillId="0" borderId="9" xfId="0" applyNumberFormat="1" applyFont="1" applyBorder="1" applyAlignment="1">
      <alignment horizontal="left" wrapText="1" indent="1"/>
    </xf>
    <xf numFmtId="0" fontId="2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35" fillId="0" borderId="0" xfId="0" applyFont="1"/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14" xfId="0" applyFont="1" applyBorder="1"/>
    <xf numFmtId="0" fontId="36" fillId="0" borderId="1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/>
    </xf>
    <xf numFmtId="165" fontId="35" fillId="0" borderId="0" xfId="0" applyNumberFormat="1" applyFont="1" applyAlignment="1">
      <alignment horizontal="center"/>
    </xf>
    <xf numFmtId="165" fontId="35" fillId="0" borderId="5" xfId="0" applyNumberFormat="1" applyFont="1" applyBorder="1" applyAlignment="1">
      <alignment horizontal="center"/>
    </xf>
    <xf numFmtId="165" fontId="37" fillId="0" borderId="0" xfId="0" applyNumberFormat="1" applyFont="1" applyAlignment="1">
      <alignment horizontal="center"/>
    </xf>
    <xf numFmtId="0" fontId="36" fillId="0" borderId="6" xfId="0" applyFont="1" applyBorder="1" applyAlignment="1">
      <alignment horizontal="center"/>
    </xf>
    <xf numFmtId="165" fontId="37" fillId="0" borderId="3" xfId="0" applyNumberFormat="1" applyFont="1" applyBorder="1" applyAlignment="1">
      <alignment horizontal="center"/>
    </xf>
    <xf numFmtId="165" fontId="35" fillId="0" borderId="3" xfId="0" applyNumberFormat="1" applyFont="1" applyBorder="1" applyAlignment="1">
      <alignment horizontal="center"/>
    </xf>
    <xf numFmtId="165" fontId="35" fillId="0" borderId="6" xfId="0" applyNumberFormat="1" applyFont="1" applyBorder="1" applyAlignment="1">
      <alignment horizontal="center"/>
    </xf>
    <xf numFmtId="164" fontId="38" fillId="0" borderId="0" xfId="0" applyNumberFormat="1" applyFont="1" applyAlignment="1">
      <alignment horizontal="center" vertical="center"/>
    </xf>
    <xf numFmtId="16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 vertical="center"/>
    </xf>
    <xf numFmtId="165" fontId="38" fillId="0" borderId="0" xfId="0" applyNumberFormat="1" applyFont="1" applyAlignment="1">
      <alignment horizontal="center" vertical="center" wrapText="1"/>
    </xf>
    <xf numFmtId="165" fontId="38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 vertical="center"/>
    </xf>
  </cellXfs>
  <cellStyles count="5">
    <cellStyle name="Normal" xfId="0" builtinId="0"/>
    <cellStyle name="Normal 2" xfId="1" xr:uid="{00000000-0005-0000-0000-000000000000}"/>
    <cellStyle name="Normal 3" xfId="2" xr:uid="{00000000-0005-0000-0000-000001000000}"/>
    <cellStyle name="Normal 5" xfId="3" xr:uid="{00000000-0005-0000-0000-000002000000}"/>
    <cellStyle name="Normal 6" xfId="4" xr:uid="{00000000-0005-0000-0000-000003000000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0"/>
    </dxf>
    <dxf>
      <font>
        <b/>
        <i val="0"/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415272509924792E-2"/>
          <c:y val="9.2592592592592587E-2"/>
          <c:w val="0.91285405082658511"/>
          <c:h val="0.6755861767279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'[1]Figura 1'!$B$22</c:f>
              <c:strCache>
                <c:ptCount val="1"/>
                <c:pt idx="0">
                  <c:v>Ianuarie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'[1]Figura 1'!$A$23:$A$28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'[1]Figura 1'!$B$23:$B$28</c:f>
              <c:numCache>
                <c:formatCode>#,##0.0</c:formatCode>
                <c:ptCount val="6"/>
                <c:pt idx="0">
                  <c:v>220.3</c:v>
                </c:pt>
                <c:pt idx="1">
                  <c:v>234.3</c:v>
                </c:pt>
                <c:pt idx="2">
                  <c:v>219.5</c:v>
                </c:pt>
                <c:pt idx="3">
                  <c:v>198.4</c:v>
                </c:pt>
                <c:pt idx="4">
                  <c:v>330.4</c:v>
                </c:pt>
                <c:pt idx="5">
                  <c:v>331.1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60-4458-9B15-5DFC41B80035}"/>
            </c:ext>
          </c:extLst>
        </c:ser>
        <c:ser>
          <c:idx val="1"/>
          <c:order val="1"/>
          <c:tx>
            <c:strRef>
              <c:f>'[1]Figura 1'!$C$22</c:f>
              <c:strCache>
                <c:ptCount val="1"/>
                <c:pt idx="0">
                  <c:v>Februarie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'[1]Figura 1'!$A$23:$A$28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'[1]Figura 1'!$C$23:$C$28</c:f>
              <c:numCache>
                <c:formatCode>#,##0.0</c:formatCode>
                <c:ptCount val="6"/>
                <c:pt idx="0">
                  <c:v>215.5</c:v>
                </c:pt>
                <c:pt idx="1">
                  <c:v>241.4</c:v>
                </c:pt>
                <c:pt idx="2">
                  <c:v>245.3</c:v>
                </c:pt>
                <c:pt idx="3">
                  <c:v>227</c:v>
                </c:pt>
                <c:pt idx="4">
                  <c:v>336.5</c:v>
                </c:pt>
                <c:pt idx="5">
                  <c:v>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60-4458-9B15-5DFC41B80035}"/>
            </c:ext>
          </c:extLst>
        </c:ser>
        <c:ser>
          <c:idx val="2"/>
          <c:order val="2"/>
          <c:tx>
            <c:strRef>
              <c:f>'[1]Figura 1'!$D$22</c:f>
              <c:strCache>
                <c:ptCount val="1"/>
                <c:pt idx="0">
                  <c:v>Martie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'[1]Figura 1'!$A$23:$A$28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'[1]Figura 1'!$D$23:$D$28</c:f>
              <c:numCache>
                <c:formatCode>#,##0.0</c:formatCode>
                <c:ptCount val="6"/>
                <c:pt idx="0">
                  <c:v>242.1</c:v>
                </c:pt>
                <c:pt idx="1">
                  <c:v>257.2</c:v>
                </c:pt>
                <c:pt idx="2">
                  <c:v>210.2</c:v>
                </c:pt>
                <c:pt idx="3">
                  <c:v>259.3</c:v>
                </c:pt>
                <c:pt idx="4">
                  <c:v>395.8</c:v>
                </c:pt>
                <c:pt idx="5">
                  <c:v>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60-4458-9B15-5DFC41B80035}"/>
            </c:ext>
          </c:extLst>
        </c:ser>
        <c:ser>
          <c:idx val="3"/>
          <c:order val="3"/>
          <c:tx>
            <c:strRef>
              <c:f>'[1]Figura 1'!$E$22</c:f>
              <c:strCache>
                <c:ptCount val="1"/>
                <c:pt idx="0">
                  <c:v>Aprilie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'[1]Figura 1'!$A$23:$A$28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'[1]Figura 1'!$E$23:$E$28</c:f>
              <c:numCache>
                <c:formatCode>#,##0.0</c:formatCode>
                <c:ptCount val="6"/>
                <c:pt idx="0">
                  <c:v>199.7</c:v>
                </c:pt>
                <c:pt idx="1">
                  <c:v>215.6</c:v>
                </c:pt>
                <c:pt idx="2">
                  <c:v>149.80000000000001</c:v>
                </c:pt>
                <c:pt idx="3">
                  <c:v>218.2</c:v>
                </c:pt>
                <c:pt idx="4">
                  <c:v>396.3</c:v>
                </c:pt>
                <c:pt idx="5">
                  <c:v>316.89999999999998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60-4458-9B15-5DFC41B80035}"/>
            </c:ext>
          </c:extLst>
        </c:ser>
        <c:ser>
          <c:idx val="4"/>
          <c:order val="4"/>
          <c:tx>
            <c:strRef>
              <c:f>'[1]Figura 1'!$F$22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'[1]Figura 1'!$A$23:$A$28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'[1]Figura 1'!$F$23:$F$28</c:f>
              <c:numCache>
                <c:formatCode>#,##0.0</c:formatCode>
                <c:ptCount val="6"/>
                <c:pt idx="0">
                  <c:v>223</c:v>
                </c:pt>
                <c:pt idx="1">
                  <c:v>210.5</c:v>
                </c:pt>
                <c:pt idx="2">
                  <c:v>155.69999999999999</c:v>
                </c:pt>
                <c:pt idx="3">
                  <c:v>201.7</c:v>
                </c:pt>
                <c:pt idx="4">
                  <c:v>416</c:v>
                </c:pt>
                <c:pt idx="5">
                  <c:v>336.5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60-4458-9B15-5DFC41B80035}"/>
            </c:ext>
          </c:extLst>
        </c:ser>
        <c:ser>
          <c:idx val="5"/>
          <c:order val="5"/>
          <c:tx>
            <c:strRef>
              <c:f>'[1]Figura 1'!$G$22</c:f>
              <c:strCache>
                <c:ptCount val="1"/>
                <c:pt idx="0">
                  <c:v>Iunie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'[1]Figura 1'!$A$23:$A$28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'[1]Figura 1'!$G$23:$G$28</c:f>
              <c:numCache>
                <c:formatCode>#,##0.0</c:formatCode>
                <c:ptCount val="6"/>
                <c:pt idx="0">
                  <c:v>214.1</c:v>
                </c:pt>
                <c:pt idx="1">
                  <c:v>202.2</c:v>
                </c:pt>
                <c:pt idx="2">
                  <c:v>189.6</c:v>
                </c:pt>
                <c:pt idx="3">
                  <c:v>226.8</c:v>
                </c:pt>
                <c:pt idx="4">
                  <c:v>416.4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E60-4458-9B15-5DFC41B80035}"/>
            </c:ext>
          </c:extLst>
        </c:ser>
        <c:ser>
          <c:idx val="6"/>
          <c:order val="6"/>
          <c:tx>
            <c:strRef>
              <c:f>'[1]Figura 1'!$H$22</c:f>
              <c:strCache>
                <c:ptCount val="1"/>
                <c:pt idx="0">
                  <c:v>Iulie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'[1]Figura 1'!$A$23:$A$28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'[1]Figura 1'!$H$23:$H$28</c:f>
              <c:numCache>
                <c:formatCode>#,##0.0</c:formatCode>
                <c:ptCount val="6"/>
                <c:pt idx="0">
                  <c:v>218.8</c:v>
                </c:pt>
                <c:pt idx="1">
                  <c:v>220.2</c:v>
                </c:pt>
                <c:pt idx="2">
                  <c:v>191.1</c:v>
                </c:pt>
                <c:pt idx="3">
                  <c:v>240.7</c:v>
                </c:pt>
                <c:pt idx="4">
                  <c:v>338.2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E60-4458-9B15-5DFC41B80035}"/>
            </c:ext>
          </c:extLst>
        </c:ser>
        <c:ser>
          <c:idx val="7"/>
          <c:order val="7"/>
          <c:tx>
            <c:strRef>
              <c:f>'[1]Figura 1'!$I$22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'[1]Figura 1'!$A$23:$A$28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'[1]Figura 1'!$I$23:$I$28</c:f>
              <c:numCache>
                <c:formatCode>#,##0.0</c:formatCode>
                <c:ptCount val="6"/>
                <c:pt idx="0">
                  <c:v>218.6</c:v>
                </c:pt>
                <c:pt idx="1">
                  <c:v>205.8</c:v>
                </c:pt>
                <c:pt idx="2">
                  <c:v>163.9</c:v>
                </c:pt>
                <c:pt idx="3">
                  <c:v>236.3</c:v>
                </c:pt>
                <c:pt idx="4">
                  <c:v>329.4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E60-4458-9B15-5DFC41B80035}"/>
            </c:ext>
          </c:extLst>
        </c:ser>
        <c:ser>
          <c:idx val="8"/>
          <c:order val="8"/>
          <c:tx>
            <c:strRef>
              <c:f>'[1]Figura 1'!$J$22</c:f>
              <c:strCache>
                <c:ptCount val="1"/>
                <c:pt idx="0">
                  <c:v>Septembrie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'[1]Figura 1'!$A$23:$A$28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'[1]Figura 1'!$J$23:$J$28</c:f>
              <c:numCache>
                <c:formatCode>#,##0.0</c:formatCode>
                <c:ptCount val="6"/>
                <c:pt idx="0">
                  <c:v>207.3</c:v>
                </c:pt>
                <c:pt idx="1">
                  <c:v>238.8</c:v>
                </c:pt>
                <c:pt idx="2">
                  <c:v>212.3</c:v>
                </c:pt>
                <c:pt idx="3">
                  <c:v>294.89999999999998</c:v>
                </c:pt>
                <c:pt idx="4">
                  <c:v>318.8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E60-4458-9B15-5DFC41B80035}"/>
            </c:ext>
          </c:extLst>
        </c:ser>
        <c:ser>
          <c:idx val="9"/>
          <c:order val="9"/>
          <c:tx>
            <c:strRef>
              <c:f>'[1]Figura 1'!$K$22</c:f>
              <c:strCache>
                <c:ptCount val="1"/>
                <c:pt idx="0">
                  <c:v>Octombrie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'[1]Figura 1'!$A$23:$A$28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'[1]Figura 1'!$K$23:$K$28</c:f>
              <c:numCache>
                <c:formatCode>#,##0.0</c:formatCode>
                <c:ptCount val="6"/>
                <c:pt idx="0">
                  <c:v>259</c:v>
                </c:pt>
                <c:pt idx="1">
                  <c:v>268.3</c:v>
                </c:pt>
                <c:pt idx="2">
                  <c:v>249.4</c:v>
                </c:pt>
                <c:pt idx="3">
                  <c:v>352.2</c:v>
                </c:pt>
                <c:pt idx="4">
                  <c:v>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E60-4458-9B15-5DFC41B80035}"/>
            </c:ext>
          </c:extLst>
        </c:ser>
        <c:ser>
          <c:idx val="10"/>
          <c:order val="10"/>
          <c:tx>
            <c:strRef>
              <c:f>'[1]Figura 1'!$L$22</c:f>
              <c:strCache>
                <c:ptCount val="1"/>
                <c:pt idx="0">
                  <c:v>Noiembrie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'[1]Figura 1'!$A$23:$A$28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'[1]Figura 1'!$L$23:$L$28</c:f>
              <c:numCache>
                <c:formatCode>#,##0.0</c:formatCode>
                <c:ptCount val="6"/>
                <c:pt idx="0">
                  <c:v>268.89999999999998</c:v>
                </c:pt>
                <c:pt idx="1">
                  <c:v>266.60000000000002</c:v>
                </c:pt>
                <c:pt idx="2">
                  <c:v>262</c:v>
                </c:pt>
                <c:pt idx="3">
                  <c:v>363.9</c:v>
                </c:pt>
                <c:pt idx="4">
                  <c:v>355.8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E60-4458-9B15-5DFC41B80035}"/>
            </c:ext>
          </c:extLst>
        </c:ser>
        <c:ser>
          <c:idx val="11"/>
          <c:order val="11"/>
          <c:tx>
            <c:strRef>
              <c:f>'[1]Figura 1'!$M$22</c:f>
              <c:strCache>
                <c:ptCount val="1"/>
                <c:pt idx="0">
                  <c:v>Decembrie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'[1]Figura 1'!$A$23:$A$28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'[1]Figura 1'!$M$23:$M$28</c:f>
              <c:numCache>
                <c:formatCode>#,##0.0</c:formatCode>
                <c:ptCount val="6"/>
                <c:pt idx="0">
                  <c:v>218.8</c:v>
                </c:pt>
                <c:pt idx="1">
                  <c:v>218.3</c:v>
                </c:pt>
                <c:pt idx="2">
                  <c:v>218.3</c:v>
                </c:pt>
                <c:pt idx="3">
                  <c:v>325</c:v>
                </c:pt>
                <c:pt idx="4">
                  <c:v>349.5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E60-4458-9B15-5DFC41B80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5"/>
        <c:overlap val="15"/>
        <c:axId val="630030432"/>
        <c:axId val="630028272"/>
      </c:barChart>
      <c:catAx>
        <c:axId val="63003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0028272"/>
        <c:crosses val="autoZero"/>
        <c:auto val="1"/>
        <c:lblAlgn val="ctr"/>
        <c:lblOffset val="100"/>
        <c:noMultiLvlLbl val="0"/>
      </c:catAx>
      <c:valAx>
        <c:axId val="630028272"/>
        <c:scaling>
          <c:orientation val="minMax"/>
          <c:max val="500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0030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89044942487555"/>
          <c:y val="2.0914980564138343E-2"/>
          <c:w val="0.76089631576667616"/>
          <c:h val="0.774795840393368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9'!$B$23</c:f>
              <c:strCache>
                <c:ptCount val="1"/>
                <c:pt idx="0">
                  <c:v>Ianuarie-mai 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'Figura 9'!$A$24:$A$30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9'!$B$24:$B$30</c:f>
              <c:numCache>
                <c:formatCode>0.0</c:formatCode>
                <c:ptCount val="7"/>
                <c:pt idx="0">
                  <c:v>7.5</c:v>
                </c:pt>
                <c:pt idx="1">
                  <c:v>4.5</c:v>
                </c:pt>
                <c:pt idx="2">
                  <c:v>76.099999999999994</c:v>
                </c:pt>
                <c:pt idx="3">
                  <c:v>1.7</c:v>
                </c:pt>
                <c:pt idx="4">
                  <c:v>0.1</c:v>
                </c:pt>
                <c:pt idx="5">
                  <c:v>9.4</c:v>
                </c:pt>
                <c:pt idx="6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54-4901-8F26-F774DF753091}"/>
            </c:ext>
          </c:extLst>
        </c:ser>
        <c:ser>
          <c:idx val="1"/>
          <c:order val="1"/>
          <c:tx>
            <c:strRef>
              <c:f>'Figura 9'!$C$23</c:f>
              <c:strCache>
                <c:ptCount val="1"/>
                <c:pt idx="0">
                  <c:v>Ianuarie-mai 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'Figura 9'!$A$24:$A$30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9'!$C$24:$C$30</c:f>
              <c:numCache>
                <c:formatCode>0.0</c:formatCode>
                <c:ptCount val="7"/>
                <c:pt idx="0">
                  <c:v>6.3</c:v>
                </c:pt>
                <c:pt idx="1">
                  <c:v>4.5</c:v>
                </c:pt>
                <c:pt idx="2">
                  <c:v>76.099999999999994</c:v>
                </c:pt>
                <c:pt idx="3">
                  <c:v>1.6</c:v>
                </c:pt>
                <c:pt idx="4">
                  <c:v>0.1</c:v>
                </c:pt>
                <c:pt idx="5">
                  <c:v>10.9</c:v>
                </c:pt>
                <c:pt idx="6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54-4901-8F26-F774DF753091}"/>
            </c:ext>
          </c:extLst>
        </c:ser>
        <c:ser>
          <c:idx val="2"/>
          <c:order val="2"/>
          <c:tx>
            <c:strRef>
              <c:f>'Figura 9'!$D$23</c:f>
              <c:strCache>
                <c:ptCount val="1"/>
                <c:pt idx="0">
                  <c:v>Ianuarie-mai 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'Figura 9'!$A$24:$A$30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9'!$D$24:$D$30</c:f>
              <c:numCache>
                <c:formatCode>0.0</c:formatCode>
                <c:ptCount val="7"/>
                <c:pt idx="0">
                  <c:v>2.1</c:v>
                </c:pt>
                <c:pt idx="1">
                  <c:v>4.5</c:v>
                </c:pt>
                <c:pt idx="2">
                  <c:v>86.4</c:v>
                </c:pt>
                <c:pt idx="3">
                  <c:v>2.4</c:v>
                </c:pt>
                <c:pt idx="4">
                  <c:v>0.2</c:v>
                </c:pt>
                <c:pt idx="5">
                  <c:v>3.9</c:v>
                </c:pt>
                <c:pt idx="6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54-4901-8F26-F774DF753091}"/>
            </c:ext>
          </c:extLst>
        </c:ser>
        <c:ser>
          <c:idx val="3"/>
          <c:order val="3"/>
          <c:tx>
            <c:strRef>
              <c:f>'Figura 9'!$E$23</c:f>
              <c:strCache>
                <c:ptCount val="1"/>
                <c:pt idx="0">
                  <c:v>Ianuarie-mai 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'Figura 9'!$A$24:$A$30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9'!$E$24:$E$30</c:f>
              <c:numCache>
                <c:formatCode>0.0</c:formatCode>
                <c:ptCount val="7"/>
                <c:pt idx="0">
                  <c:v>1.8</c:v>
                </c:pt>
                <c:pt idx="1">
                  <c:v>4.2</c:v>
                </c:pt>
                <c:pt idx="2">
                  <c:v>85.7</c:v>
                </c:pt>
                <c:pt idx="3">
                  <c:v>2.4</c:v>
                </c:pt>
                <c:pt idx="4">
                  <c:v>0.2</c:v>
                </c:pt>
                <c:pt idx="5">
                  <c:v>5.3</c:v>
                </c:pt>
                <c:pt idx="6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54-4901-8F26-F774DF753091}"/>
            </c:ext>
          </c:extLst>
        </c:ser>
        <c:ser>
          <c:idx val="4"/>
          <c:order val="4"/>
          <c:tx>
            <c:strRef>
              <c:f>'Figura 9'!$F$23</c:f>
              <c:strCache>
                <c:ptCount val="1"/>
                <c:pt idx="0">
                  <c:v>Ianuarie-mai 2019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'Figura 9'!$A$24:$A$30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9'!$F$24:$F$30</c:f>
              <c:numCache>
                <c:formatCode>0.0</c:formatCode>
                <c:ptCount val="7"/>
                <c:pt idx="0">
                  <c:v>2.2000000000000002</c:v>
                </c:pt>
                <c:pt idx="1">
                  <c:v>4.7</c:v>
                </c:pt>
                <c:pt idx="2">
                  <c:v>83</c:v>
                </c:pt>
                <c:pt idx="3">
                  <c:v>2.6</c:v>
                </c:pt>
                <c:pt idx="4">
                  <c:v>0.2</c:v>
                </c:pt>
                <c:pt idx="5">
                  <c:v>6.7</c:v>
                </c:pt>
                <c:pt idx="6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54-4901-8F26-F774DF753091}"/>
            </c:ext>
          </c:extLst>
        </c:ser>
        <c:ser>
          <c:idx val="5"/>
          <c:order val="5"/>
          <c:tx>
            <c:strRef>
              <c:f>'Figura 9'!$G$23</c:f>
              <c:strCache>
                <c:ptCount val="1"/>
                <c:pt idx="0">
                  <c:v>Ianuarie-mai 2018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'Figura 9'!$A$24:$A$30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9'!$G$24:$G$30</c:f>
              <c:numCache>
                <c:formatCode>0.0</c:formatCode>
                <c:ptCount val="7"/>
                <c:pt idx="0">
                  <c:v>2.8</c:v>
                </c:pt>
                <c:pt idx="1">
                  <c:v>5.3</c:v>
                </c:pt>
                <c:pt idx="2">
                  <c:v>82.7</c:v>
                </c:pt>
                <c:pt idx="3">
                  <c:v>2.5</c:v>
                </c:pt>
                <c:pt idx="4">
                  <c:v>0.3</c:v>
                </c:pt>
                <c:pt idx="5">
                  <c:v>5.8</c:v>
                </c:pt>
                <c:pt idx="6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254-4901-8F26-F774DF753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7760384"/>
        <c:axId val="136513792"/>
      </c:barChart>
      <c:catAx>
        <c:axId val="167760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6513792"/>
        <c:crossesAt val="0"/>
        <c:auto val="1"/>
        <c:lblAlgn val="ctr"/>
        <c:lblOffset val="100"/>
        <c:noMultiLvlLbl val="0"/>
      </c:catAx>
      <c:valAx>
        <c:axId val="136513792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7760384"/>
        <c:crosses val="autoZero"/>
        <c:crossBetween val="between"/>
        <c:minorUnit val="1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1825203252572743"/>
          <c:y val="0.91909764444001463"/>
          <c:w val="0.81692138384379753"/>
          <c:h val="7.92840293697465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069977473288278E-2"/>
          <c:y val="6.8484183803067242E-2"/>
          <c:w val="0.93986930373860744"/>
          <c:h val="0.672207556789214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10'!$A$23</c:f>
              <c:strCache>
                <c:ptCount val="1"/>
                <c:pt idx="0">
                  <c:v>Ţările Uniunii Europene -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10'!$B$22:$G$22</c:f>
              <c:strCache>
                <c:ptCount val="6"/>
                <c:pt idx="0">
                  <c:v>Ianuarie-mai 2018</c:v>
                </c:pt>
                <c:pt idx="1">
                  <c:v>Ianuarie-mai 2019</c:v>
                </c:pt>
                <c:pt idx="2">
                  <c:v>Ianuarie-mai 2020</c:v>
                </c:pt>
                <c:pt idx="3">
                  <c:v>Ianuarie-mai 2021</c:v>
                </c:pt>
                <c:pt idx="4">
                  <c:v>Ianuarie-mai 2022</c:v>
                </c:pt>
                <c:pt idx="5">
                  <c:v>Ianuarie-mai 2023</c:v>
                </c:pt>
              </c:strCache>
            </c:strRef>
          </c:cat>
          <c:val>
            <c:numRef>
              <c:f>'Figura 10'!$B$23:$G$23</c:f>
              <c:numCache>
                <c:formatCode>General</c:formatCode>
                <c:ptCount val="6"/>
                <c:pt idx="0">
                  <c:v>49.5</c:v>
                </c:pt>
                <c:pt idx="1">
                  <c:v>48.3</c:v>
                </c:pt>
                <c:pt idx="2">
                  <c:v>46.8</c:v>
                </c:pt>
                <c:pt idx="3">
                  <c:v>47.3</c:v>
                </c:pt>
                <c:pt idx="4" formatCode="0.0">
                  <c:v>44.9</c:v>
                </c:pt>
                <c:pt idx="5" formatCode="0.0">
                  <c:v>48.3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9-4350-AC6F-7B3B9B8C79B6}"/>
            </c:ext>
          </c:extLst>
        </c:ser>
        <c:ser>
          <c:idx val="1"/>
          <c:order val="1"/>
          <c:tx>
            <c:strRef>
              <c:f>'Figura 10'!$A$24</c:f>
              <c:strCache>
                <c:ptCount val="1"/>
                <c:pt idx="0">
                  <c:v>Ţările CSI -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10'!$B$22:$G$22</c:f>
              <c:strCache>
                <c:ptCount val="6"/>
                <c:pt idx="0">
                  <c:v>Ianuarie-mai 2018</c:v>
                </c:pt>
                <c:pt idx="1">
                  <c:v>Ianuarie-mai 2019</c:v>
                </c:pt>
                <c:pt idx="2">
                  <c:v>Ianuarie-mai 2020</c:v>
                </c:pt>
                <c:pt idx="3">
                  <c:v>Ianuarie-mai 2021</c:v>
                </c:pt>
                <c:pt idx="4">
                  <c:v>Ianuarie-mai 2022</c:v>
                </c:pt>
                <c:pt idx="5">
                  <c:v>Ianuarie-mai 2023</c:v>
                </c:pt>
              </c:strCache>
            </c:strRef>
          </c:cat>
          <c:val>
            <c:numRef>
              <c:f>'Figura 10'!$B$24:$G$24</c:f>
              <c:numCache>
                <c:formatCode>General</c:formatCode>
                <c:ptCount val="6"/>
                <c:pt idx="0">
                  <c:v>23.4</c:v>
                </c:pt>
                <c:pt idx="1">
                  <c:v>25.4</c:v>
                </c:pt>
                <c:pt idx="2">
                  <c:v>24.7</c:v>
                </c:pt>
                <c:pt idx="3">
                  <c:v>22.9</c:v>
                </c:pt>
                <c:pt idx="4" formatCode="0.0">
                  <c:v>28</c:v>
                </c:pt>
                <c:pt idx="5" formatCode="0.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49-4350-AC6F-7B3B9B8C79B6}"/>
            </c:ext>
          </c:extLst>
        </c:ser>
        <c:ser>
          <c:idx val="2"/>
          <c:order val="2"/>
          <c:tx>
            <c:strRef>
              <c:f>'Figura 10'!$A$25</c:f>
              <c:strCache>
                <c:ptCount val="1"/>
                <c:pt idx="0">
                  <c:v>Celelalte ţări ale lumii - 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10'!$B$22:$G$22</c:f>
              <c:strCache>
                <c:ptCount val="6"/>
                <c:pt idx="0">
                  <c:v>Ianuarie-mai 2018</c:v>
                </c:pt>
                <c:pt idx="1">
                  <c:v>Ianuarie-mai 2019</c:v>
                </c:pt>
                <c:pt idx="2">
                  <c:v>Ianuarie-mai 2020</c:v>
                </c:pt>
                <c:pt idx="3">
                  <c:v>Ianuarie-mai 2021</c:v>
                </c:pt>
                <c:pt idx="4">
                  <c:v>Ianuarie-mai 2022</c:v>
                </c:pt>
                <c:pt idx="5">
                  <c:v>Ianuarie-mai 2023</c:v>
                </c:pt>
              </c:strCache>
            </c:strRef>
          </c:cat>
          <c:val>
            <c:numRef>
              <c:f>'Figura 10'!$B$25:$G$25</c:f>
              <c:numCache>
                <c:formatCode>General</c:formatCode>
                <c:ptCount val="6"/>
                <c:pt idx="0">
                  <c:v>27.1</c:v>
                </c:pt>
                <c:pt idx="1">
                  <c:v>26.3</c:v>
                </c:pt>
                <c:pt idx="2">
                  <c:v>28.5</c:v>
                </c:pt>
                <c:pt idx="3">
                  <c:v>29.8</c:v>
                </c:pt>
                <c:pt idx="4" formatCode="0.0">
                  <c:v>27.1</c:v>
                </c:pt>
                <c:pt idx="5" formatCode="0.0">
                  <c:v>30.7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49-4350-AC6F-7B3B9B8C7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7198336"/>
        <c:axId val="136516096"/>
      </c:barChart>
      <c:catAx>
        <c:axId val="15719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6516096"/>
        <c:crosses val="autoZero"/>
        <c:auto val="0"/>
        <c:lblAlgn val="ctr"/>
        <c:lblOffset val="100"/>
        <c:noMultiLvlLbl val="0"/>
      </c:catAx>
      <c:valAx>
        <c:axId val="136516096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7198336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3.7397860259691489E-2"/>
          <c:y val="0.88875314479330003"/>
          <c:w val="0.93105796047794498"/>
          <c:h val="8.13711001325983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76130067074949E-2"/>
          <c:y val="1.687438654655703E-2"/>
          <c:w val="0.93291119860017502"/>
          <c:h val="0.675516761955143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11'!$B$24</c:f>
              <c:strCache>
                <c:ptCount val="1"/>
                <c:pt idx="0">
                  <c:v>Ianuarie-mai 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'Figura 11'!$A$25:$A$48</c:f>
              <c:strCache>
                <c:ptCount val="24"/>
                <c:pt idx="0">
                  <c:v>România</c:v>
                </c:pt>
                <c:pt idx="1">
                  <c:v>Ucraina</c:v>
                </c:pt>
                <c:pt idx="2">
                  <c:v>China</c:v>
                </c:pt>
                <c:pt idx="3">
                  <c:v>Turcia</c:v>
                </c:pt>
                <c:pt idx="4">
                  <c:v>Germania</c:v>
                </c:pt>
                <c:pt idx="5">
                  <c:v>Italia</c:v>
                </c:pt>
                <c:pt idx="6">
                  <c:v>Federaţia Rusă</c:v>
                </c:pt>
                <c:pt idx="7">
                  <c:v>Polonia</c:v>
                </c:pt>
                <c:pt idx="8">
                  <c:v>Franţa</c:v>
                </c:pt>
                <c:pt idx="9">
                  <c:v>India</c:v>
                </c:pt>
                <c:pt idx="10">
                  <c:v>Ungaria</c:v>
                </c:pt>
                <c:pt idx="11">
                  <c:v>Grecia</c:v>
                </c:pt>
                <c:pt idx="12">
                  <c:v>Bulgaria</c:v>
                </c:pt>
                <c:pt idx="13">
                  <c:v>Cehia</c:v>
                </c:pt>
                <c:pt idx="14">
                  <c:v>Spania</c:v>
                </c:pt>
                <c:pt idx="15">
                  <c:v>S.U.A.</c:v>
                </c:pt>
                <c:pt idx="16">
                  <c:v>Kazahstan</c:v>
                </c:pt>
                <c:pt idx="17">
                  <c:v>Austria</c:v>
                </c:pt>
                <c:pt idx="18">
                  <c:v>Netherlands</c:v>
                </c:pt>
                <c:pt idx="19">
                  <c:v>Japonia</c:v>
                </c:pt>
                <c:pt idx="20">
                  <c:v>Belarus</c:v>
                </c:pt>
                <c:pt idx="21">
                  <c:v>Slovacia</c:v>
                </c:pt>
                <c:pt idx="22">
                  <c:v>Regatul Unit </c:v>
                </c:pt>
                <c:pt idx="23">
                  <c:v>Belgia</c:v>
                </c:pt>
              </c:strCache>
            </c:strRef>
          </c:cat>
          <c:val>
            <c:numRef>
              <c:f>'Figura 11'!$B$25:$B$48</c:f>
              <c:numCache>
                <c:formatCode>#,##0.0</c:formatCode>
                <c:ptCount val="24"/>
                <c:pt idx="0">
                  <c:v>13.745471632837653</c:v>
                </c:pt>
                <c:pt idx="1">
                  <c:v>8.9750311052380436</c:v>
                </c:pt>
                <c:pt idx="2">
                  <c:v>10.49424634241891</c:v>
                </c:pt>
                <c:pt idx="3">
                  <c:v>6.0848046115884848</c:v>
                </c:pt>
                <c:pt idx="4">
                  <c:v>8.6123219738419952</c:v>
                </c:pt>
                <c:pt idx="5">
                  <c:v>7.0410666542882003</c:v>
                </c:pt>
                <c:pt idx="6">
                  <c:v>12.572326241028426</c:v>
                </c:pt>
                <c:pt idx="7">
                  <c:v>3.4683374878214774</c:v>
                </c:pt>
                <c:pt idx="8">
                  <c:v>2.9884990981835489</c:v>
                </c:pt>
                <c:pt idx="9">
                  <c:v>0.57076317835704127</c:v>
                </c:pt>
                <c:pt idx="10">
                  <c:v>2.2853785528109345</c:v>
                </c:pt>
                <c:pt idx="11">
                  <c:v>0.40189467554579678</c:v>
                </c:pt>
                <c:pt idx="12">
                  <c:v>1.1507588581995856</c:v>
                </c:pt>
                <c:pt idx="13">
                  <c:v>1.466999357498288</c:v>
                </c:pt>
                <c:pt idx="14">
                  <c:v>1.5134374774271027</c:v>
                </c:pt>
                <c:pt idx="15">
                  <c:v>1.4505010916243293</c:v>
                </c:pt>
                <c:pt idx="16">
                  <c:v>5.3769070403058783E-2</c:v>
                </c:pt>
                <c:pt idx="17">
                  <c:v>2.0470410331652369</c:v>
                </c:pt>
                <c:pt idx="18">
                  <c:v>1.1240771582749389</c:v>
                </c:pt>
                <c:pt idx="19">
                  <c:v>1.0549995988732999</c:v>
                </c:pt>
                <c:pt idx="20">
                  <c:v>1.7095831621320383</c:v>
                </c:pt>
                <c:pt idx="21">
                  <c:v>0.50459124445619508</c:v>
                </c:pt>
                <c:pt idx="22">
                  <c:v>1.0630852387439038</c:v>
                </c:pt>
                <c:pt idx="23">
                  <c:v>0.8176298261714402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D-4027-9176-5A5FABFE2538}"/>
            </c:ext>
          </c:extLst>
        </c:ser>
        <c:ser>
          <c:idx val="1"/>
          <c:order val="1"/>
          <c:tx>
            <c:strRef>
              <c:f>'Figura 11'!$C$24</c:f>
              <c:strCache>
                <c:ptCount val="1"/>
                <c:pt idx="0">
                  <c:v>Ianuarie-mai 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'Figura 11'!$A$25:$A$48</c:f>
              <c:strCache>
                <c:ptCount val="24"/>
                <c:pt idx="0">
                  <c:v>România</c:v>
                </c:pt>
                <c:pt idx="1">
                  <c:v>Ucraina</c:v>
                </c:pt>
                <c:pt idx="2">
                  <c:v>China</c:v>
                </c:pt>
                <c:pt idx="3">
                  <c:v>Turcia</c:v>
                </c:pt>
                <c:pt idx="4">
                  <c:v>Germania</c:v>
                </c:pt>
                <c:pt idx="5">
                  <c:v>Italia</c:v>
                </c:pt>
                <c:pt idx="6">
                  <c:v>Federaţia Rusă</c:v>
                </c:pt>
                <c:pt idx="7">
                  <c:v>Polonia</c:v>
                </c:pt>
                <c:pt idx="8">
                  <c:v>Franţa</c:v>
                </c:pt>
                <c:pt idx="9">
                  <c:v>India</c:v>
                </c:pt>
                <c:pt idx="10">
                  <c:v>Ungaria</c:v>
                </c:pt>
                <c:pt idx="11">
                  <c:v>Grecia</c:v>
                </c:pt>
                <c:pt idx="12">
                  <c:v>Bulgaria</c:v>
                </c:pt>
                <c:pt idx="13">
                  <c:v>Cehia</c:v>
                </c:pt>
                <c:pt idx="14">
                  <c:v>Spania</c:v>
                </c:pt>
                <c:pt idx="15">
                  <c:v>S.U.A.</c:v>
                </c:pt>
                <c:pt idx="16">
                  <c:v>Kazahstan</c:v>
                </c:pt>
                <c:pt idx="17">
                  <c:v>Austria</c:v>
                </c:pt>
                <c:pt idx="18">
                  <c:v>Netherlands</c:v>
                </c:pt>
                <c:pt idx="19">
                  <c:v>Japonia</c:v>
                </c:pt>
                <c:pt idx="20">
                  <c:v>Belarus</c:v>
                </c:pt>
                <c:pt idx="21">
                  <c:v>Slovacia</c:v>
                </c:pt>
                <c:pt idx="22">
                  <c:v>Regatul Unit </c:v>
                </c:pt>
                <c:pt idx="23">
                  <c:v>Belgia</c:v>
                </c:pt>
              </c:strCache>
            </c:strRef>
          </c:cat>
          <c:val>
            <c:numRef>
              <c:f>'Figura 11'!$C$25:$C$48</c:f>
              <c:numCache>
                <c:formatCode>#,##0.0</c:formatCode>
                <c:ptCount val="24"/>
                <c:pt idx="0">
                  <c:v>13.963487929663396</c:v>
                </c:pt>
                <c:pt idx="1">
                  <c:v>9.4865120613745226</c:v>
                </c:pt>
                <c:pt idx="2">
                  <c:v>9.9099105974919119</c:v>
                </c:pt>
                <c:pt idx="3">
                  <c:v>6.5468461303908834</c:v>
                </c:pt>
                <c:pt idx="4">
                  <c:v>8.437064560428448</c:v>
                </c:pt>
                <c:pt idx="5">
                  <c:v>6.9821505613796848</c:v>
                </c:pt>
                <c:pt idx="6">
                  <c:v>13.220132519426631</c:v>
                </c:pt>
                <c:pt idx="7">
                  <c:v>3.2535577050838178</c:v>
                </c:pt>
                <c:pt idx="8">
                  <c:v>2.7683489853456678</c:v>
                </c:pt>
                <c:pt idx="9">
                  <c:v>0.62993292375388443</c:v>
                </c:pt>
                <c:pt idx="10">
                  <c:v>2.0008887439489902</c:v>
                </c:pt>
                <c:pt idx="11">
                  <c:v>0.35366442261917974</c:v>
                </c:pt>
                <c:pt idx="12">
                  <c:v>0.79762987251359063</c:v>
                </c:pt>
                <c:pt idx="13">
                  <c:v>1.9038195116803132</c:v>
                </c:pt>
                <c:pt idx="14">
                  <c:v>1.4892549102813992</c:v>
                </c:pt>
                <c:pt idx="15">
                  <c:v>1.2731384164883319</c:v>
                </c:pt>
                <c:pt idx="16">
                  <c:v>0.1661584613229049</c:v>
                </c:pt>
                <c:pt idx="17">
                  <c:v>1.6260432483772376</c:v>
                </c:pt>
                <c:pt idx="18">
                  <c:v>1.0341395732746994</c:v>
                </c:pt>
                <c:pt idx="19">
                  <c:v>0.77651596693868796</c:v>
                </c:pt>
                <c:pt idx="20">
                  <c:v>2.2335766481759398</c:v>
                </c:pt>
                <c:pt idx="21">
                  <c:v>0.59690206925329647</c:v>
                </c:pt>
                <c:pt idx="22">
                  <c:v>0.99590120031807405</c:v>
                </c:pt>
                <c:pt idx="23">
                  <c:v>0.73065856453830735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5D-4027-9176-5A5FABFE2538}"/>
            </c:ext>
          </c:extLst>
        </c:ser>
        <c:ser>
          <c:idx val="2"/>
          <c:order val="2"/>
          <c:tx>
            <c:strRef>
              <c:f>'Figura 11'!$D$24</c:f>
              <c:strCache>
                <c:ptCount val="1"/>
                <c:pt idx="0">
                  <c:v>Ianuarie-mai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'Figura 11'!$A$25:$A$48</c:f>
              <c:strCache>
                <c:ptCount val="24"/>
                <c:pt idx="0">
                  <c:v>România</c:v>
                </c:pt>
                <c:pt idx="1">
                  <c:v>Ucraina</c:v>
                </c:pt>
                <c:pt idx="2">
                  <c:v>China</c:v>
                </c:pt>
                <c:pt idx="3">
                  <c:v>Turcia</c:v>
                </c:pt>
                <c:pt idx="4">
                  <c:v>Germania</c:v>
                </c:pt>
                <c:pt idx="5">
                  <c:v>Italia</c:v>
                </c:pt>
                <c:pt idx="6">
                  <c:v>Federaţia Rusă</c:v>
                </c:pt>
                <c:pt idx="7">
                  <c:v>Polonia</c:v>
                </c:pt>
                <c:pt idx="8">
                  <c:v>Franţa</c:v>
                </c:pt>
                <c:pt idx="9">
                  <c:v>India</c:v>
                </c:pt>
                <c:pt idx="10">
                  <c:v>Ungaria</c:v>
                </c:pt>
                <c:pt idx="11">
                  <c:v>Grecia</c:v>
                </c:pt>
                <c:pt idx="12">
                  <c:v>Bulgaria</c:v>
                </c:pt>
                <c:pt idx="13">
                  <c:v>Cehia</c:v>
                </c:pt>
                <c:pt idx="14">
                  <c:v>Spania</c:v>
                </c:pt>
                <c:pt idx="15">
                  <c:v>S.U.A.</c:v>
                </c:pt>
                <c:pt idx="16">
                  <c:v>Kazahstan</c:v>
                </c:pt>
                <c:pt idx="17">
                  <c:v>Austria</c:v>
                </c:pt>
                <c:pt idx="18">
                  <c:v>Netherlands</c:v>
                </c:pt>
                <c:pt idx="19">
                  <c:v>Japonia</c:v>
                </c:pt>
                <c:pt idx="20">
                  <c:v>Belarus</c:v>
                </c:pt>
                <c:pt idx="21">
                  <c:v>Slovacia</c:v>
                </c:pt>
                <c:pt idx="22">
                  <c:v>Regatul Unit </c:v>
                </c:pt>
                <c:pt idx="23">
                  <c:v>Belgia</c:v>
                </c:pt>
              </c:strCache>
            </c:strRef>
          </c:cat>
          <c:val>
            <c:numRef>
              <c:f>'Figura 11'!$D$25:$D$48</c:f>
              <c:numCache>
                <c:formatCode>#,##0.0</c:formatCode>
                <c:ptCount val="24"/>
                <c:pt idx="0">
                  <c:v>12.499526240863791</c:v>
                </c:pt>
                <c:pt idx="1">
                  <c:v>9.2914555456829273</c:v>
                </c:pt>
                <c:pt idx="2">
                  <c:v>10.644625714018236</c:v>
                </c:pt>
                <c:pt idx="3">
                  <c:v>6.8123335077502594</c:v>
                </c:pt>
                <c:pt idx="4">
                  <c:v>8.1982665397765366</c:v>
                </c:pt>
                <c:pt idx="5">
                  <c:v>6.3378267468196583</c:v>
                </c:pt>
                <c:pt idx="6">
                  <c:v>12.908219061977313</c:v>
                </c:pt>
                <c:pt idx="7">
                  <c:v>3.8635628037306065</c:v>
                </c:pt>
                <c:pt idx="8">
                  <c:v>2.9288887139938167</c:v>
                </c:pt>
                <c:pt idx="9">
                  <c:v>0.70404830745140368</c:v>
                </c:pt>
                <c:pt idx="10">
                  <c:v>2.1362023683367424</c:v>
                </c:pt>
                <c:pt idx="11">
                  <c:v>0.49889216728450742</c:v>
                </c:pt>
                <c:pt idx="12">
                  <c:v>1.0837263002181925</c:v>
                </c:pt>
                <c:pt idx="13">
                  <c:v>1.5931759024833725</c:v>
                </c:pt>
                <c:pt idx="14">
                  <c:v>1.5769983363806781</c:v>
                </c:pt>
                <c:pt idx="15">
                  <c:v>1.3672074865495225</c:v>
                </c:pt>
                <c:pt idx="16">
                  <c:v>0.21730527232521221</c:v>
                </c:pt>
                <c:pt idx="17">
                  <c:v>1.1668873218916305</c:v>
                </c:pt>
                <c:pt idx="18">
                  <c:v>1.0893404745031041</c:v>
                </c:pt>
                <c:pt idx="19">
                  <c:v>0.9911007456554819</c:v>
                </c:pt>
                <c:pt idx="20">
                  <c:v>1.8881749028008328</c:v>
                </c:pt>
                <c:pt idx="21">
                  <c:v>0.46590148727481745</c:v>
                </c:pt>
                <c:pt idx="22">
                  <c:v>1.0516903191336735</c:v>
                </c:pt>
                <c:pt idx="23">
                  <c:v>0.77126623665555949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5D-4027-9176-5A5FABFE2538}"/>
            </c:ext>
          </c:extLst>
        </c:ser>
        <c:ser>
          <c:idx val="3"/>
          <c:order val="3"/>
          <c:tx>
            <c:strRef>
              <c:f>'Figura 11'!$E$24</c:f>
              <c:strCache>
                <c:ptCount val="1"/>
                <c:pt idx="0">
                  <c:v>Ianuarie-mai 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'Figura 11'!$A$25:$A$48</c:f>
              <c:strCache>
                <c:ptCount val="24"/>
                <c:pt idx="0">
                  <c:v>România</c:v>
                </c:pt>
                <c:pt idx="1">
                  <c:v>Ucraina</c:v>
                </c:pt>
                <c:pt idx="2">
                  <c:v>China</c:v>
                </c:pt>
                <c:pt idx="3">
                  <c:v>Turcia</c:v>
                </c:pt>
                <c:pt idx="4">
                  <c:v>Germania</c:v>
                </c:pt>
                <c:pt idx="5">
                  <c:v>Italia</c:v>
                </c:pt>
                <c:pt idx="6">
                  <c:v>Federaţia Rusă</c:v>
                </c:pt>
                <c:pt idx="7">
                  <c:v>Polonia</c:v>
                </c:pt>
                <c:pt idx="8">
                  <c:v>Franţa</c:v>
                </c:pt>
                <c:pt idx="9">
                  <c:v>India</c:v>
                </c:pt>
                <c:pt idx="10">
                  <c:v>Ungaria</c:v>
                </c:pt>
                <c:pt idx="11">
                  <c:v>Grecia</c:v>
                </c:pt>
                <c:pt idx="12">
                  <c:v>Bulgaria</c:v>
                </c:pt>
                <c:pt idx="13">
                  <c:v>Cehia</c:v>
                </c:pt>
                <c:pt idx="14">
                  <c:v>Spania</c:v>
                </c:pt>
                <c:pt idx="15">
                  <c:v>S.U.A.</c:v>
                </c:pt>
                <c:pt idx="16">
                  <c:v>Kazahstan</c:v>
                </c:pt>
                <c:pt idx="17">
                  <c:v>Austria</c:v>
                </c:pt>
                <c:pt idx="18">
                  <c:v>Netherlands</c:v>
                </c:pt>
                <c:pt idx="19">
                  <c:v>Japonia</c:v>
                </c:pt>
                <c:pt idx="20">
                  <c:v>Belarus</c:v>
                </c:pt>
                <c:pt idx="21">
                  <c:v>Slovacia</c:v>
                </c:pt>
                <c:pt idx="22">
                  <c:v>Regatul Unit </c:v>
                </c:pt>
                <c:pt idx="23">
                  <c:v>Belgia</c:v>
                </c:pt>
              </c:strCache>
            </c:strRef>
          </c:cat>
          <c:val>
            <c:numRef>
              <c:f>'Figura 11'!$E$25:$E$48</c:f>
              <c:numCache>
                <c:formatCode>#,##0.0</c:formatCode>
                <c:ptCount val="24"/>
                <c:pt idx="0">
                  <c:v>12.48720759696473</c:v>
                </c:pt>
                <c:pt idx="1">
                  <c:v>8.7839077185487628</c:v>
                </c:pt>
                <c:pt idx="2">
                  <c:v>11.758459465697547</c:v>
                </c:pt>
                <c:pt idx="3">
                  <c:v>7.1525939430906487</c:v>
                </c:pt>
                <c:pt idx="4">
                  <c:v>8.4794646050619829</c:v>
                </c:pt>
                <c:pt idx="5">
                  <c:v>6.660348461613923</c:v>
                </c:pt>
                <c:pt idx="6">
                  <c:v>11.851899766118063</c:v>
                </c:pt>
                <c:pt idx="7">
                  <c:v>3.8759707351625825</c:v>
                </c:pt>
                <c:pt idx="8">
                  <c:v>2.7823981790277359</c:v>
                </c:pt>
                <c:pt idx="9">
                  <c:v>0.71029481605729961</c:v>
                </c:pt>
                <c:pt idx="10">
                  <c:v>2.0015501099714421</c:v>
                </c:pt>
                <c:pt idx="11">
                  <c:v>0.43136873923825009</c:v>
                </c:pt>
                <c:pt idx="12">
                  <c:v>1.1240215098803623</c:v>
                </c:pt>
                <c:pt idx="13">
                  <c:v>1.7374890605350006</c:v>
                </c:pt>
                <c:pt idx="14">
                  <c:v>1.4427836755593342</c:v>
                </c:pt>
                <c:pt idx="15">
                  <c:v>1.4789075237893763</c:v>
                </c:pt>
                <c:pt idx="16">
                  <c:v>0.21407196523704075</c:v>
                </c:pt>
                <c:pt idx="17">
                  <c:v>1.4571698391028445</c:v>
                </c:pt>
                <c:pt idx="18">
                  <c:v>1.0712451384956045</c:v>
                </c:pt>
                <c:pt idx="19">
                  <c:v>0.96562499892333398</c:v>
                </c:pt>
                <c:pt idx="20">
                  <c:v>1.7740767527772656</c:v>
                </c:pt>
                <c:pt idx="21">
                  <c:v>0.53534892892529196</c:v>
                </c:pt>
                <c:pt idx="22">
                  <c:v>0.9686196676979153</c:v>
                </c:pt>
                <c:pt idx="23">
                  <c:v>0.71751223592663194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5D-4027-9176-5A5FABFE2538}"/>
            </c:ext>
          </c:extLst>
        </c:ser>
        <c:ser>
          <c:idx val="4"/>
          <c:order val="4"/>
          <c:tx>
            <c:strRef>
              <c:f>'Figura 11'!$F$24</c:f>
              <c:strCache>
                <c:ptCount val="1"/>
                <c:pt idx="0">
                  <c:v>Ianuarie-mai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'Figura 11'!$A$25:$A$48</c:f>
              <c:strCache>
                <c:ptCount val="24"/>
                <c:pt idx="0">
                  <c:v>România</c:v>
                </c:pt>
                <c:pt idx="1">
                  <c:v>Ucraina</c:v>
                </c:pt>
                <c:pt idx="2">
                  <c:v>China</c:v>
                </c:pt>
                <c:pt idx="3">
                  <c:v>Turcia</c:v>
                </c:pt>
                <c:pt idx="4">
                  <c:v>Germania</c:v>
                </c:pt>
                <c:pt idx="5">
                  <c:v>Italia</c:v>
                </c:pt>
                <c:pt idx="6">
                  <c:v>Federaţia Rusă</c:v>
                </c:pt>
                <c:pt idx="7">
                  <c:v>Polonia</c:v>
                </c:pt>
                <c:pt idx="8">
                  <c:v>Franţa</c:v>
                </c:pt>
                <c:pt idx="9">
                  <c:v>India</c:v>
                </c:pt>
                <c:pt idx="10">
                  <c:v>Ungaria</c:v>
                </c:pt>
                <c:pt idx="11">
                  <c:v>Grecia</c:v>
                </c:pt>
                <c:pt idx="12">
                  <c:v>Bulgaria</c:v>
                </c:pt>
                <c:pt idx="13">
                  <c:v>Cehia</c:v>
                </c:pt>
                <c:pt idx="14">
                  <c:v>Spania</c:v>
                </c:pt>
                <c:pt idx="15">
                  <c:v>S.U.A.</c:v>
                </c:pt>
                <c:pt idx="16">
                  <c:v>Kazahstan</c:v>
                </c:pt>
                <c:pt idx="17">
                  <c:v>Austria</c:v>
                </c:pt>
                <c:pt idx="18">
                  <c:v>Netherlands</c:v>
                </c:pt>
                <c:pt idx="19">
                  <c:v>Japonia</c:v>
                </c:pt>
                <c:pt idx="20">
                  <c:v>Belarus</c:v>
                </c:pt>
                <c:pt idx="21">
                  <c:v>Slovacia</c:v>
                </c:pt>
                <c:pt idx="22">
                  <c:v>Regatul Unit </c:v>
                </c:pt>
                <c:pt idx="23">
                  <c:v>Belgia</c:v>
                </c:pt>
              </c:strCache>
            </c:strRef>
          </c:cat>
          <c:val>
            <c:numRef>
              <c:f>'Figura 11'!$F$25:$F$48</c:f>
              <c:numCache>
                <c:formatCode>#,##0.0</c:formatCode>
                <c:ptCount val="24"/>
                <c:pt idx="0">
                  <c:v>14.934533392417718</c:v>
                </c:pt>
                <c:pt idx="1">
                  <c:v>8.6852944900870241</c:v>
                </c:pt>
                <c:pt idx="2">
                  <c:v>9.276124347588496</c:v>
                </c:pt>
                <c:pt idx="3">
                  <c:v>7.0362669430470506</c:v>
                </c:pt>
                <c:pt idx="4">
                  <c:v>6.6792198719679341</c:v>
                </c:pt>
                <c:pt idx="5">
                  <c:v>5.2994987306246806</c:v>
                </c:pt>
                <c:pt idx="6">
                  <c:v>17.13463753927477</c:v>
                </c:pt>
                <c:pt idx="7">
                  <c:v>3.2472766753754176</c:v>
                </c:pt>
                <c:pt idx="8">
                  <c:v>2.5225863925253305</c:v>
                </c:pt>
                <c:pt idx="9">
                  <c:v>2.2028729274149699</c:v>
                </c:pt>
                <c:pt idx="10">
                  <c:v>2.2033180938722046</c:v>
                </c:pt>
                <c:pt idx="11">
                  <c:v>0.43584638443657181</c:v>
                </c:pt>
                <c:pt idx="12">
                  <c:v>1.3960263776953434</c:v>
                </c:pt>
                <c:pt idx="13">
                  <c:v>1.4773090350848486</c:v>
                </c:pt>
                <c:pt idx="14">
                  <c:v>1.3019280041691284</c:v>
                </c:pt>
                <c:pt idx="15">
                  <c:v>1.6819207626430239</c:v>
                </c:pt>
                <c:pt idx="16">
                  <c:v>0.20803256824123345</c:v>
                </c:pt>
                <c:pt idx="17">
                  <c:v>0.97540888875730591</c:v>
                </c:pt>
                <c:pt idx="18">
                  <c:v>1.0360129761969337</c:v>
                </c:pt>
                <c:pt idx="19">
                  <c:v>0.62323759408638923</c:v>
                </c:pt>
                <c:pt idx="20">
                  <c:v>1.3150062686791653</c:v>
                </c:pt>
                <c:pt idx="21">
                  <c:v>0.57798024532542303</c:v>
                </c:pt>
                <c:pt idx="22">
                  <c:v>0.83688878042771819</c:v>
                </c:pt>
                <c:pt idx="23">
                  <c:v>0.58027447826182132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5D-4027-9176-5A5FABFE2538}"/>
            </c:ext>
          </c:extLst>
        </c:ser>
        <c:ser>
          <c:idx val="5"/>
          <c:order val="5"/>
          <c:tx>
            <c:strRef>
              <c:f>'Figura 11'!$G$24</c:f>
              <c:strCache>
                <c:ptCount val="1"/>
                <c:pt idx="0">
                  <c:v>Ianuarie-mai 2023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'Figura 11'!$A$25:$A$48</c:f>
              <c:strCache>
                <c:ptCount val="24"/>
                <c:pt idx="0">
                  <c:v>România</c:v>
                </c:pt>
                <c:pt idx="1">
                  <c:v>Ucraina</c:v>
                </c:pt>
                <c:pt idx="2">
                  <c:v>China</c:v>
                </c:pt>
                <c:pt idx="3">
                  <c:v>Turcia</c:v>
                </c:pt>
                <c:pt idx="4">
                  <c:v>Germania</c:v>
                </c:pt>
                <c:pt idx="5">
                  <c:v>Italia</c:v>
                </c:pt>
                <c:pt idx="6">
                  <c:v>Federaţia Rusă</c:v>
                </c:pt>
                <c:pt idx="7">
                  <c:v>Polonia</c:v>
                </c:pt>
                <c:pt idx="8">
                  <c:v>Franţa</c:v>
                </c:pt>
                <c:pt idx="9">
                  <c:v>India</c:v>
                </c:pt>
                <c:pt idx="10">
                  <c:v>Ungaria</c:v>
                </c:pt>
                <c:pt idx="11">
                  <c:v>Grecia</c:v>
                </c:pt>
                <c:pt idx="12">
                  <c:v>Bulgaria</c:v>
                </c:pt>
                <c:pt idx="13">
                  <c:v>Cehia</c:v>
                </c:pt>
                <c:pt idx="14">
                  <c:v>Spania</c:v>
                </c:pt>
                <c:pt idx="15">
                  <c:v>S.U.A.</c:v>
                </c:pt>
                <c:pt idx="16">
                  <c:v>Kazahstan</c:v>
                </c:pt>
                <c:pt idx="17">
                  <c:v>Austria</c:v>
                </c:pt>
                <c:pt idx="18">
                  <c:v>Netherlands</c:v>
                </c:pt>
                <c:pt idx="19">
                  <c:v>Japonia</c:v>
                </c:pt>
                <c:pt idx="20">
                  <c:v>Belarus</c:v>
                </c:pt>
                <c:pt idx="21">
                  <c:v>Slovacia</c:v>
                </c:pt>
                <c:pt idx="22">
                  <c:v>Regatul Unit </c:v>
                </c:pt>
                <c:pt idx="23">
                  <c:v>Belgia</c:v>
                </c:pt>
              </c:strCache>
            </c:strRef>
          </c:cat>
          <c:val>
            <c:numRef>
              <c:f>'Figura 11'!$G$25:$G$48</c:f>
              <c:numCache>
                <c:formatCode>#,##0.0</c:formatCode>
                <c:ptCount val="24"/>
                <c:pt idx="0">
                  <c:v>15.622470878527508</c:v>
                </c:pt>
                <c:pt idx="1">
                  <c:v>13.310975986010739</c:v>
                </c:pt>
                <c:pt idx="2">
                  <c:v>10.277777873914347</c:v>
                </c:pt>
                <c:pt idx="3">
                  <c:v>8.4559799131505571</c:v>
                </c:pt>
                <c:pt idx="4">
                  <c:v>6.9399095660958618</c:v>
                </c:pt>
                <c:pt idx="5">
                  <c:v>5.1371436771011245</c:v>
                </c:pt>
                <c:pt idx="6">
                  <c:v>4.7667520057605532</c:v>
                </c:pt>
                <c:pt idx="7">
                  <c:v>3.2651057388621565</c:v>
                </c:pt>
                <c:pt idx="8">
                  <c:v>2.6631623882826321</c:v>
                </c:pt>
                <c:pt idx="9">
                  <c:v>2.3564603052167468</c:v>
                </c:pt>
                <c:pt idx="10">
                  <c:v>2.2145956140941991</c:v>
                </c:pt>
                <c:pt idx="11">
                  <c:v>1.8374027313431129</c:v>
                </c:pt>
                <c:pt idx="12">
                  <c:v>1.703328422524359</c:v>
                </c:pt>
                <c:pt idx="13">
                  <c:v>1.6437242788180428</c:v>
                </c:pt>
                <c:pt idx="14">
                  <c:v>1.3624178731688692</c:v>
                </c:pt>
                <c:pt idx="15">
                  <c:v>1.3476448432369086</c:v>
                </c:pt>
                <c:pt idx="16">
                  <c:v>1.210200076399681</c:v>
                </c:pt>
                <c:pt idx="17">
                  <c:v>1.0396201968048815</c:v>
                </c:pt>
                <c:pt idx="18">
                  <c:v>0.9981900167975235</c:v>
                </c:pt>
                <c:pt idx="19">
                  <c:v>0.97827678792331341</c:v>
                </c:pt>
                <c:pt idx="20">
                  <c:v>0.95383791605890311</c:v>
                </c:pt>
                <c:pt idx="21">
                  <c:v>0.94564079088600528</c:v>
                </c:pt>
                <c:pt idx="22">
                  <c:v>0.82103648490045567</c:v>
                </c:pt>
                <c:pt idx="23">
                  <c:v>0.69224035358285074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95D-4027-9176-5A5FABFE2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7394944"/>
        <c:axId val="138070272"/>
      </c:barChart>
      <c:catAx>
        <c:axId val="15739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8070272"/>
        <c:crosses val="autoZero"/>
        <c:auto val="1"/>
        <c:lblAlgn val="ctr"/>
        <c:lblOffset val="100"/>
        <c:noMultiLvlLbl val="0"/>
      </c:catAx>
      <c:valAx>
        <c:axId val="13807027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7394944"/>
        <c:crosses val="autoZero"/>
        <c:crossBetween val="between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4.3316992307925573E-2"/>
          <c:y val="0.9374981850672921"/>
          <c:w val="0.95668300769207448"/>
          <c:h val="6.25018149327078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Ianuarie - </a:t>
            </a:r>
            <a:r>
              <a:rPr lang="en-US" sz="9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mai 202</a:t>
            </a:r>
            <a:r>
              <a:rPr lang="ro-RO" sz="9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3</a:t>
            </a:r>
            <a:endParaRPr lang="en-US" sz="9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6581800272677584"/>
          <c:y val="1.2036436621892855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1342054211186989"/>
          <c:y val="0.12491082658988956"/>
          <c:w val="0.52192988462254575"/>
          <c:h val="0.6318098603325553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3D3-4FE3-A741-BA04960B805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3D3-4FE3-A741-BA04960B805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3D3-4FE3-A741-BA04960B805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3D3-4FE3-A741-BA04960B805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3D3-4FE3-A741-BA04960B8052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3D3-4FE3-A741-BA04960B8052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3D3-4FE3-A741-BA04960B8052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3D3-4FE3-A741-BA04960B8052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FCD-4C13-890E-399C32D1EBED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8FCD-4C13-890E-399C32D1EBED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8FCD-4C13-890E-399C32D1EBED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B027-44E0-9897-C542FAFF950C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028B-4A15-95E9-C59FB398DFD6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DB53-4333-94CE-1214A088B112}"/>
              </c:ext>
            </c:extLst>
          </c:dPt>
          <c:dLbls>
            <c:dLbl>
              <c:idx val="0"/>
              <c:layout>
                <c:manualLayout>
                  <c:x val="-3.6613272311212815E-2"/>
                  <c:y val="1.13314481293295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D3-4FE3-A741-BA04960B8052}"/>
                </c:ext>
              </c:extLst>
            </c:dLbl>
            <c:dLbl>
              <c:idx val="1"/>
              <c:layout>
                <c:manualLayout>
                  <c:x val="-5.4919908466819219E-2"/>
                  <c:y val="-0.11793910997274504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2051868802441"/>
                      <c:h val="0.169588058735565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3D3-4FE3-A741-BA04960B8052}"/>
                </c:ext>
              </c:extLst>
            </c:dLbl>
            <c:dLbl>
              <c:idx val="2"/>
              <c:layout>
                <c:manualLayout>
                  <c:x val="-9.1533180778032037E-3"/>
                  <c:y val="-0.1765320653214859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D3-4FE3-A741-BA04960B8052}"/>
                </c:ext>
              </c:extLst>
            </c:dLbl>
            <c:dLbl>
              <c:idx val="3"/>
              <c:layout>
                <c:manualLayout>
                  <c:x val="5.6445581602070798E-2"/>
                  <c:y val="-0.1998926932681086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35545385202132"/>
                      <c:h val="0.127473830477072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3D3-4FE3-A741-BA04960B8052}"/>
                </c:ext>
              </c:extLst>
            </c:dLbl>
            <c:dLbl>
              <c:idx val="4"/>
              <c:layout>
                <c:manualLayout>
                  <c:x val="0.11227565661843746"/>
                  <c:y val="-0.149551917066885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D3-4FE3-A741-BA04960B8052}"/>
                </c:ext>
              </c:extLst>
            </c:dLbl>
            <c:dLbl>
              <c:idx val="5"/>
              <c:layout>
                <c:manualLayout>
                  <c:x val="7.8405977284875999E-2"/>
                  <c:y val="-8.64054148261739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3D3-4FE3-A741-BA04960B8052}"/>
                </c:ext>
              </c:extLst>
            </c:dLbl>
            <c:dLbl>
              <c:idx val="6"/>
              <c:layout>
                <c:manualLayout>
                  <c:x val="4.6997243193571056E-2"/>
                  <c:y val="-1.5052088971794508E-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997699658252098"/>
                      <c:h val="0.147309865678554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B3D3-4FE3-A741-BA04960B8052}"/>
                </c:ext>
              </c:extLst>
            </c:dLbl>
            <c:dLbl>
              <c:idx val="7"/>
              <c:layout>
                <c:manualLayout>
                  <c:x val="1.6178309519090377E-2"/>
                  <c:y val="2.44539193724339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3D3-4FE3-A741-BA04960B8052}"/>
                </c:ext>
              </c:extLst>
            </c:dLbl>
            <c:dLbl>
              <c:idx val="8"/>
              <c:layout>
                <c:manualLayout>
                  <c:x val="-4.5741364709274042E-2"/>
                  <c:y val="1.355907402142089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CD-4C13-890E-399C32D1EBED}"/>
                </c:ext>
              </c:extLst>
            </c:dLbl>
            <c:dLbl>
              <c:idx val="9"/>
              <c:layout>
                <c:manualLayout>
                  <c:x val="-9.4534075689051464E-2"/>
                  <c:y val="-8.13110217813631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FCD-4C13-890E-399C32D1EBED}"/>
                </c:ext>
              </c:extLst>
            </c:dLbl>
            <c:dLbl>
              <c:idx val="10"/>
              <c:layout>
                <c:manualLayout>
                  <c:x val="-0.12381460326612491"/>
                  <c:y val="-0.177285413303417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CD-4C13-890E-399C32D1EBED}"/>
                </c:ext>
              </c:extLst>
            </c:dLbl>
            <c:dLbl>
              <c:idx val="11"/>
              <c:layout>
                <c:manualLayout>
                  <c:x val="-0.11553385346282516"/>
                  <c:y val="-0.3176761073590766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027-44E0-9897-C542FAFF950C}"/>
                </c:ext>
              </c:extLst>
            </c:dLbl>
            <c:dLbl>
              <c:idx val="12"/>
              <c:layout>
                <c:manualLayout>
                  <c:x val="-6.8612407430764522E-2"/>
                  <c:y val="-0.4546768842027121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28B-4A15-95E9-C59FB398DFD6}"/>
                </c:ext>
              </c:extLst>
            </c:dLbl>
            <c:dLbl>
              <c:idx val="13"/>
              <c:layout>
                <c:manualLayout>
                  <c:x val="2.2883295194508008E-2"/>
                  <c:y val="-0.57521241260509104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118993135011443"/>
                      <c:h val="0.1580055401662050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DB53-4333-94CE-1214A088B112}"/>
                </c:ext>
              </c:extLst>
            </c:dLbl>
            <c:dLbl>
              <c:idx val="14"/>
              <c:layout>
                <c:manualLayout>
                  <c:x val="0.18001525553012968"/>
                  <c:y val="-0.1920590951061865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B97-4E3F-92C2-65E44EC9663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'Figura 12'!$A$46:$A$60</c:f>
              <c:strCache>
                <c:ptCount val="15"/>
                <c:pt idx="0">
                  <c:v>Petrol, produse petroliere </c:v>
                </c:pt>
                <c:pt idx="1">
                  <c:v>Gaz şi produse industriale obţinute din gaz</c:v>
                </c:pt>
                <c:pt idx="2">
                  <c:v>Maşini şi aparate electrice </c:v>
                </c:pt>
                <c:pt idx="3">
                  <c:v>Vehicule rutiere</c:v>
                </c:pt>
                <c:pt idx="4">
                  <c:v>Fire, tesături, articole textile </c:v>
                </c:pt>
                <c:pt idx="5">
                  <c:v>Produse medicinale şi farmaceutice</c:v>
                </c:pt>
                <c:pt idx="6">
                  <c:v>Legume şi fructe</c:v>
                </c:pt>
                <c:pt idx="7">
                  <c:v>Maşini şi aparate industriale </c:v>
                </c:pt>
                <c:pt idx="8">
                  <c:v>Maşini şi aparate specializate </c:v>
                </c:pt>
                <c:pt idx="9">
                  <c:v>Aparate şi echipamente de telecomunicaţii </c:v>
                </c:pt>
                <c:pt idx="10">
                  <c:v>Îmbrăcăminte şi accesorii</c:v>
                </c:pt>
                <c:pt idx="11">
                  <c:v>Îngrăşăminte minerale sau chimice</c:v>
                </c:pt>
                <c:pt idx="12">
                  <c:v>Articole prelucrate din metal</c:v>
                </c:pt>
                <c:pt idx="13">
                  <c:v>Cereale şi preparate pe bază de cereale</c:v>
                </c:pt>
                <c:pt idx="14">
                  <c:v>Alte mărfuri</c:v>
                </c:pt>
              </c:strCache>
            </c:strRef>
          </c:cat>
          <c:val>
            <c:numRef>
              <c:f>'Figura 12'!$B$46:$B$60</c:f>
              <c:numCache>
                <c:formatCode>0.0</c:formatCode>
                <c:ptCount val="15"/>
                <c:pt idx="0">
                  <c:v>16.100000000000001</c:v>
                </c:pt>
                <c:pt idx="1">
                  <c:v>9.3000000000000007</c:v>
                </c:pt>
                <c:pt idx="2">
                  <c:v>7.1</c:v>
                </c:pt>
                <c:pt idx="3">
                  <c:v>6.2</c:v>
                </c:pt>
                <c:pt idx="4">
                  <c:v>3.4</c:v>
                </c:pt>
                <c:pt idx="5">
                  <c:v>3.4</c:v>
                </c:pt>
                <c:pt idx="6">
                  <c:v>3</c:v>
                </c:pt>
                <c:pt idx="7">
                  <c:v>2.6</c:v>
                </c:pt>
                <c:pt idx="8">
                  <c:v>2.4</c:v>
                </c:pt>
                <c:pt idx="9">
                  <c:v>2.2999999999999998</c:v>
                </c:pt>
                <c:pt idx="10">
                  <c:v>2.2000000000000002</c:v>
                </c:pt>
                <c:pt idx="11">
                  <c:v>2.2000000000000002</c:v>
                </c:pt>
                <c:pt idx="12">
                  <c:v>2</c:v>
                </c:pt>
                <c:pt idx="13">
                  <c:v>1.9</c:v>
                </c:pt>
                <c:pt idx="14">
                  <c:v>35.9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3D3-4FE3-A741-BA04960B8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Ianuarie - </a:t>
            </a:r>
            <a:r>
              <a:rPr lang="en-US" sz="9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mai</a:t>
            </a:r>
            <a:r>
              <a:rPr lang="ro-RO" sz="9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2022</a:t>
            </a:r>
            <a:endParaRPr lang="en-US" sz="9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6319716334156549"/>
          <c:y val="1.091272364429370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278201881303409"/>
          <c:y val="0.11184088515881624"/>
          <c:w val="0.53981480000639726"/>
          <c:h val="0.65779810457824517"/>
        </c:manualLayout>
      </c:layout>
      <c:pieChart>
        <c:varyColors val="1"/>
        <c:ser>
          <c:idx val="0"/>
          <c:order val="0"/>
          <c:tx>
            <c:strRef>
              <c:f>'Figura 12'!$B$27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3D9-44C7-A51E-FDC47C6964E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3D9-44C7-A51E-FDC47C6964E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3D9-44C7-A51E-FDC47C6964E7}"/>
              </c:ext>
            </c:extLst>
          </c:dPt>
          <c:dPt>
            <c:idx val="3"/>
            <c:bubble3D val="0"/>
            <c:explosion val="1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3D9-44C7-A51E-FDC47C6964E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3D9-44C7-A51E-FDC47C6964E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3D9-44C7-A51E-FDC47C6964E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3D9-44C7-A51E-FDC47C6964E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3D9-44C7-A51E-FDC47C6964E7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3D9-44C7-A51E-FDC47C6964E7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13D9-44C7-A51E-FDC47C6964E7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13D9-44C7-A51E-FDC47C6964E7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13D9-44C7-A51E-FDC47C6964E7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13D9-44C7-A51E-FDC47C6964E7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79F0-4C23-A26D-005511921D52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79F0-4C23-A26D-005511921D52}"/>
              </c:ext>
            </c:extLst>
          </c:dPt>
          <c:dLbls>
            <c:dLbl>
              <c:idx val="0"/>
              <c:layout>
                <c:manualLayout>
                  <c:x val="-3.6036045331642536E-2"/>
                  <c:y val="1.80473973006239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D9-44C7-A51E-FDC47C6964E7}"/>
                </c:ext>
              </c:extLst>
            </c:dLbl>
            <c:dLbl>
              <c:idx val="1"/>
              <c:layout>
                <c:manualLayout>
                  <c:x val="-2.6208032968467299E-2"/>
                  <c:y val="-7.7049447946308233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561008225091921"/>
                      <c:h val="0.1726762552737437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13D9-44C7-A51E-FDC47C6964E7}"/>
                </c:ext>
              </c:extLst>
            </c:dLbl>
            <c:dLbl>
              <c:idx val="2"/>
              <c:layout>
                <c:manualLayout>
                  <c:x val="0"/>
                  <c:y val="-0.15609616090973671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314489172935356"/>
                      <c:h val="0.14815776356931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3D9-44C7-A51E-FDC47C6964E7}"/>
                </c:ext>
              </c:extLst>
            </c:dLbl>
            <c:dLbl>
              <c:idx val="3"/>
              <c:layout>
                <c:manualLayout>
                  <c:x val="6.7158213458237651E-2"/>
                  <c:y val="-0.178939093989603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141677633971799"/>
                      <c:h val="0.1550879106651344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13D9-44C7-A51E-FDC47C6964E7}"/>
                </c:ext>
              </c:extLst>
            </c:dLbl>
            <c:dLbl>
              <c:idx val="4"/>
              <c:layout>
                <c:manualLayout>
                  <c:x val="6.5520082421168135E-2"/>
                  <c:y val="-0.1384940355509452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3D9-44C7-A51E-FDC47C6964E7}"/>
                </c:ext>
              </c:extLst>
            </c:dLbl>
            <c:dLbl>
              <c:idx val="5"/>
              <c:layout>
                <c:manualLayout>
                  <c:x val="5.3860861140245478E-2"/>
                  <c:y val="-8.2938178385473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763314119268217"/>
                      <c:h val="0.1909360018443325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13D9-44C7-A51E-FDC47C6964E7}"/>
                </c:ext>
              </c:extLst>
            </c:dLbl>
            <c:dLbl>
              <c:idx val="6"/>
              <c:layout>
                <c:manualLayout>
                  <c:x val="1.3104016484233649E-2"/>
                  <c:y val="3.08368728215216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3D9-44C7-A51E-FDC47C6964E7}"/>
                </c:ext>
              </c:extLst>
            </c:dLbl>
            <c:dLbl>
              <c:idx val="7"/>
              <c:layout>
                <c:manualLayout>
                  <c:x val="-3.6036045331642536E-2"/>
                  <c:y val="1.44598024353413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3D9-44C7-A51E-FDC47C6964E7}"/>
                </c:ext>
              </c:extLst>
            </c:dLbl>
            <c:dLbl>
              <c:idx val="8"/>
              <c:layout>
                <c:manualLayout>
                  <c:x val="-7.6507851833814242E-2"/>
                  <c:y val="-1.4786888406902047E-7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171994859511015"/>
                      <c:h val="0.1754582174234208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13D9-44C7-A51E-FDC47C6964E7}"/>
                </c:ext>
              </c:extLst>
            </c:dLbl>
            <c:dLbl>
              <c:idx val="9"/>
              <c:layout>
                <c:manualLayout>
                  <c:x val="-0.12185200509508926"/>
                  <c:y val="-9.34467763696059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04169914725866"/>
                      <c:h val="0.195509139201911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13D9-44C7-A51E-FDC47C6964E7}"/>
                </c:ext>
              </c:extLst>
            </c:dLbl>
            <c:dLbl>
              <c:idx val="10"/>
              <c:layout>
                <c:manualLayout>
                  <c:x val="-0.14414418132657014"/>
                  <c:y val="-0.2031892952391543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067162727637145"/>
                      <c:h val="0.1771908152199538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13D9-44C7-A51E-FDC47C6964E7}"/>
                </c:ext>
              </c:extLst>
            </c:dLbl>
            <c:dLbl>
              <c:idx val="11"/>
              <c:layout>
                <c:manualLayout>
                  <c:x val="-0.15397219368974538"/>
                  <c:y val="-0.3185329395683530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3D9-44C7-A51E-FDC47C6964E7}"/>
                </c:ext>
              </c:extLst>
            </c:dLbl>
            <c:dLbl>
              <c:idx val="12"/>
              <c:layout>
                <c:manualLayout>
                  <c:x val="-9.828012363175237E-2"/>
                  <c:y val="-0.455358088161794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3D9-44C7-A51E-FDC47C6964E7}"/>
                </c:ext>
              </c:extLst>
            </c:dLbl>
            <c:dLbl>
              <c:idx val="13"/>
              <c:layout>
                <c:manualLayout>
                  <c:x val="8.1898813261058311E-3"/>
                  <c:y val="-0.601717674531122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746115355585738"/>
                      <c:h val="0.195509139201911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B-79F0-4C23-A26D-005511921D52}"/>
                </c:ext>
              </c:extLst>
            </c:dLbl>
            <c:dLbl>
              <c:idx val="14"/>
              <c:layout>
                <c:manualLayout>
                  <c:x val="0.18018022665821268"/>
                  <c:y val="-0.1953223748689142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9F0-4C23-A26D-005511921D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'Figura 12'!$A$28:$A$42</c:f>
              <c:strCache>
                <c:ptCount val="15"/>
                <c:pt idx="0">
                  <c:v>Petrol, produse petroliere </c:v>
                </c:pt>
                <c:pt idx="1">
                  <c:v>Gaz şi produse industriale obţinute din gaz</c:v>
                </c:pt>
                <c:pt idx="2">
                  <c:v>Maşini şi aparate electrice </c:v>
                </c:pt>
                <c:pt idx="3">
                  <c:v>Vehicule rutiere</c:v>
                </c:pt>
                <c:pt idx="4">
                  <c:v>Fire, tesături, articole textile </c:v>
                </c:pt>
                <c:pt idx="5">
                  <c:v>Produse medicinale şi farmaceutice</c:v>
                </c:pt>
                <c:pt idx="6">
                  <c:v>Legume şi fructe</c:v>
                </c:pt>
                <c:pt idx="7">
                  <c:v>Maşini şi aparate industriale </c:v>
                </c:pt>
                <c:pt idx="8">
                  <c:v>Maşini şi aparate specializate </c:v>
                </c:pt>
                <c:pt idx="9">
                  <c:v>Aparate şi echipamente de telecomunicaţii </c:v>
                </c:pt>
                <c:pt idx="10">
                  <c:v>Îmbrăcăminte şi accesorii</c:v>
                </c:pt>
                <c:pt idx="11">
                  <c:v>Îngrăşăminte minerale sau chimice</c:v>
                </c:pt>
                <c:pt idx="12">
                  <c:v>Articole prelucrate din metal</c:v>
                </c:pt>
                <c:pt idx="13">
                  <c:v>Cereale şi preparate pe bază de cereale</c:v>
                </c:pt>
                <c:pt idx="14">
                  <c:v>Alte mărfuri</c:v>
                </c:pt>
              </c:strCache>
            </c:strRef>
          </c:cat>
          <c:val>
            <c:numRef>
              <c:f>'Figura 12'!$B$28:$B$42</c:f>
              <c:numCache>
                <c:formatCode>0.0</c:formatCode>
                <c:ptCount val="15"/>
                <c:pt idx="0">
                  <c:v>13.1</c:v>
                </c:pt>
                <c:pt idx="1">
                  <c:v>11.3</c:v>
                </c:pt>
                <c:pt idx="2">
                  <c:v>6.1</c:v>
                </c:pt>
                <c:pt idx="3">
                  <c:v>5.4</c:v>
                </c:pt>
                <c:pt idx="4">
                  <c:v>3.8</c:v>
                </c:pt>
                <c:pt idx="5">
                  <c:v>3.7</c:v>
                </c:pt>
                <c:pt idx="6">
                  <c:v>2.6</c:v>
                </c:pt>
                <c:pt idx="7">
                  <c:v>2.7</c:v>
                </c:pt>
                <c:pt idx="8">
                  <c:v>3.5</c:v>
                </c:pt>
                <c:pt idx="9">
                  <c:v>1.9</c:v>
                </c:pt>
                <c:pt idx="10">
                  <c:v>2.1</c:v>
                </c:pt>
                <c:pt idx="11">
                  <c:v>2.2000000000000002</c:v>
                </c:pt>
                <c:pt idx="12">
                  <c:v>2.2000000000000002</c:v>
                </c:pt>
                <c:pt idx="13">
                  <c:v>1.9</c:v>
                </c:pt>
                <c:pt idx="14">
                  <c:v>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13D9-44C7-A51E-FDC47C696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39292310683395E-2"/>
          <c:y val="8.3241273945234451E-2"/>
          <c:w val="0.93642881088462071"/>
          <c:h val="0.70397265640302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'Figura 13'!$B$22</c:f>
              <c:strCache>
                <c:ptCount val="1"/>
                <c:pt idx="0">
                  <c:v>Ianuarie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13'!$B$23:$B$28</c:f>
              <c:numCache>
                <c:formatCode>#,##0.0</c:formatCode>
                <c:ptCount val="6"/>
                <c:pt idx="0">
                  <c:v>-154</c:v>
                </c:pt>
                <c:pt idx="1">
                  <c:v>-138.30000000000001</c:v>
                </c:pt>
                <c:pt idx="2">
                  <c:v>-160.30000000000001</c:v>
                </c:pt>
                <c:pt idx="3">
                  <c:v>-201</c:v>
                </c:pt>
                <c:pt idx="4">
                  <c:v>-291.3</c:v>
                </c:pt>
                <c:pt idx="5">
                  <c:v>-402.2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33-4221-BB37-7103809F1204}"/>
            </c:ext>
          </c:extLst>
        </c:ser>
        <c:ser>
          <c:idx val="2"/>
          <c:order val="1"/>
          <c:tx>
            <c:strRef>
              <c:f>'Figura 13'!$C$22</c:f>
              <c:strCache>
                <c:ptCount val="1"/>
                <c:pt idx="0">
                  <c:v>Februarie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13'!$C$23:$C$28</c:f>
              <c:numCache>
                <c:formatCode>#,##0.0</c:formatCode>
                <c:ptCount val="6"/>
                <c:pt idx="0">
                  <c:v>-212.1</c:v>
                </c:pt>
                <c:pt idx="1">
                  <c:v>-217.9</c:v>
                </c:pt>
                <c:pt idx="2">
                  <c:v>-239.5</c:v>
                </c:pt>
                <c:pt idx="3">
                  <c:v>-294.39999999999998</c:v>
                </c:pt>
                <c:pt idx="4">
                  <c:v>-332.6</c:v>
                </c:pt>
                <c:pt idx="5">
                  <c:v>-396.5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33-4221-BB37-7103809F1204}"/>
            </c:ext>
          </c:extLst>
        </c:ser>
        <c:ser>
          <c:idx val="3"/>
          <c:order val="2"/>
          <c:tx>
            <c:strRef>
              <c:f>'Figura 13'!$D$22</c:f>
              <c:strCache>
                <c:ptCount val="1"/>
                <c:pt idx="0">
                  <c:v>Martie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13'!$D$23:$D$28</c:f>
              <c:numCache>
                <c:formatCode>#,##0.0</c:formatCode>
                <c:ptCount val="6"/>
                <c:pt idx="0">
                  <c:v>-282</c:v>
                </c:pt>
                <c:pt idx="1">
                  <c:v>-276.60000000000002</c:v>
                </c:pt>
                <c:pt idx="2">
                  <c:v>-290.3</c:v>
                </c:pt>
                <c:pt idx="3">
                  <c:v>-370.8</c:v>
                </c:pt>
                <c:pt idx="4">
                  <c:v>-352.5</c:v>
                </c:pt>
                <c:pt idx="5">
                  <c:v>-436.3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33-4221-BB37-7103809F1204}"/>
            </c:ext>
          </c:extLst>
        </c:ser>
        <c:ser>
          <c:idx val="4"/>
          <c:order val="3"/>
          <c:tx>
            <c:strRef>
              <c:f>'Figura 13'!$E$22</c:f>
              <c:strCache>
                <c:ptCount val="1"/>
                <c:pt idx="0">
                  <c:v>Aprilie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13'!$E$23:$E$28</c:f>
              <c:numCache>
                <c:formatCode>#,##0.0</c:formatCode>
                <c:ptCount val="6"/>
                <c:pt idx="0">
                  <c:v>-244.9</c:v>
                </c:pt>
                <c:pt idx="1">
                  <c:v>-300</c:v>
                </c:pt>
                <c:pt idx="2">
                  <c:v>-135.80000000000001</c:v>
                </c:pt>
                <c:pt idx="3">
                  <c:v>-344</c:v>
                </c:pt>
                <c:pt idx="4">
                  <c:v>-374.1</c:v>
                </c:pt>
                <c:pt idx="5">
                  <c:v>-373.6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33-4221-BB37-7103809F1204}"/>
            </c:ext>
          </c:extLst>
        </c:ser>
        <c:ser>
          <c:idx val="5"/>
          <c:order val="4"/>
          <c:tx>
            <c:strRef>
              <c:f>'Figura 13'!$F$22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13'!$F$23:$F$28</c:f>
              <c:numCache>
                <c:formatCode>#,##0.0</c:formatCode>
                <c:ptCount val="6"/>
                <c:pt idx="0">
                  <c:v>-282.60000000000002</c:v>
                </c:pt>
                <c:pt idx="1">
                  <c:v>-271.10000000000002</c:v>
                </c:pt>
                <c:pt idx="2">
                  <c:v>-173.7</c:v>
                </c:pt>
                <c:pt idx="3">
                  <c:v>-361.7</c:v>
                </c:pt>
                <c:pt idx="4">
                  <c:v>-356.7</c:v>
                </c:pt>
                <c:pt idx="5">
                  <c:v>-372.6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33-4221-BB37-7103809F1204}"/>
            </c:ext>
          </c:extLst>
        </c:ser>
        <c:ser>
          <c:idx val="6"/>
          <c:order val="5"/>
          <c:tx>
            <c:strRef>
              <c:f>'Figura 13'!$G$22</c:f>
              <c:strCache>
                <c:ptCount val="1"/>
                <c:pt idx="0">
                  <c:v>Iunie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13'!$G$23:$G$28</c:f>
              <c:numCache>
                <c:formatCode>#,##0.0</c:formatCode>
                <c:ptCount val="6"/>
                <c:pt idx="0">
                  <c:v>-244.6</c:v>
                </c:pt>
                <c:pt idx="1">
                  <c:v>-243.2</c:v>
                </c:pt>
                <c:pt idx="2">
                  <c:v>-223.9</c:v>
                </c:pt>
                <c:pt idx="3">
                  <c:v>-362.8</c:v>
                </c:pt>
                <c:pt idx="4">
                  <c:v>-352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33-4221-BB37-7103809F1204}"/>
            </c:ext>
          </c:extLst>
        </c:ser>
        <c:ser>
          <c:idx val="7"/>
          <c:order val="6"/>
          <c:tx>
            <c:strRef>
              <c:f>'Figura 13'!$H$22</c:f>
              <c:strCache>
                <c:ptCount val="1"/>
                <c:pt idx="0">
                  <c:v>Iulie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13'!$H$23:$H$28</c:f>
              <c:numCache>
                <c:formatCode>#,##0.0</c:formatCode>
                <c:ptCount val="6"/>
                <c:pt idx="0">
                  <c:v>-269.2</c:v>
                </c:pt>
                <c:pt idx="1">
                  <c:v>-278.89999999999998</c:v>
                </c:pt>
                <c:pt idx="2">
                  <c:v>-305.5</c:v>
                </c:pt>
                <c:pt idx="3">
                  <c:v>-321.3</c:v>
                </c:pt>
                <c:pt idx="4">
                  <c:v>-422.8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733-4221-BB37-7103809F1204}"/>
            </c:ext>
          </c:extLst>
        </c:ser>
        <c:ser>
          <c:idx val="8"/>
          <c:order val="7"/>
          <c:tx>
            <c:strRef>
              <c:f>'Figura 13'!$I$22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13'!$I$23:$I$28</c:f>
              <c:numCache>
                <c:formatCode>#,##0.0</c:formatCode>
                <c:ptCount val="6"/>
                <c:pt idx="0">
                  <c:v>-262.10000000000002</c:v>
                </c:pt>
                <c:pt idx="1">
                  <c:v>-258.5</c:v>
                </c:pt>
                <c:pt idx="2">
                  <c:v>-269.7</c:v>
                </c:pt>
                <c:pt idx="3">
                  <c:v>-338.6</c:v>
                </c:pt>
                <c:pt idx="4">
                  <c:v>-450.6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733-4221-BB37-7103809F1204}"/>
            </c:ext>
          </c:extLst>
        </c:ser>
        <c:ser>
          <c:idx val="9"/>
          <c:order val="8"/>
          <c:tx>
            <c:strRef>
              <c:f>'Figura 13'!$J$22</c:f>
              <c:strCache>
                <c:ptCount val="1"/>
                <c:pt idx="0">
                  <c:v>Septembrie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13'!$J$23:$J$28</c:f>
              <c:numCache>
                <c:formatCode>#,##0.0</c:formatCode>
                <c:ptCount val="6"/>
                <c:pt idx="0">
                  <c:v>-266.7</c:v>
                </c:pt>
                <c:pt idx="1">
                  <c:v>-262.89999999999998</c:v>
                </c:pt>
                <c:pt idx="2">
                  <c:v>-296</c:v>
                </c:pt>
                <c:pt idx="3">
                  <c:v>-376.3</c:v>
                </c:pt>
                <c:pt idx="4">
                  <c:v>-525.29999999999995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733-4221-BB37-7103809F1204}"/>
            </c:ext>
          </c:extLst>
        </c:ser>
        <c:ser>
          <c:idx val="10"/>
          <c:order val="9"/>
          <c:tx>
            <c:strRef>
              <c:f>'Figura 13'!$K$22</c:f>
              <c:strCache>
                <c:ptCount val="1"/>
                <c:pt idx="0">
                  <c:v>Octombrie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13'!$K$23:$K$28</c:f>
              <c:numCache>
                <c:formatCode>#,##0.0</c:formatCode>
                <c:ptCount val="6"/>
                <c:pt idx="0">
                  <c:v>-281.60000000000002</c:v>
                </c:pt>
                <c:pt idx="1">
                  <c:v>-257</c:v>
                </c:pt>
                <c:pt idx="2">
                  <c:v>-244.2</c:v>
                </c:pt>
                <c:pt idx="3">
                  <c:v>-294.60000000000002</c:v>
                </c:pt>
                <c:pt idx="4">
                  <c:v>-399.2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733-4221-BB37-7103809F1204}"/>
            </c:ext>
          </c:extLst>
        </c:ser>
        <c:ser>
          <c:idx val="11"/>
          <c:order val="10"/>
          <c:tx>
            <c:strRef>
              <c:f>'Figura 13'!$L$22</c:f>
              <c:strCache>
                <c:ptCount val="1"/>
                <c:pt idx="0">
                  <c:v>Noiembrie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13'!$L$23:$L$28</c:f>
              <c:numCache>
                <c:formatCode>#,##0.0</c:formatCode>
                <c:ptCount val="6"/>
                <c:pt idx="0">
                  <c:v>-253.70000000000005</c:v>
                </c:pt>
                <c:pt idx="1">
                  <c:v>-237.5</c:v>
                </c:pt>
                <c:pt idx="2">
                  <c:v>-260.89999999999998</c:v>
                </c:pt>
                <c:pt idx="3">
                  <c:v>-337.6</c:v>
                </c:pt>
                <c:pt idx="4">
                  <c:v>-502.5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733-4221-BB37-7103809F1204}"/>
            </c:ext>
          </c:extLst>
        </c:ser>
        <c:ser>
          <c:idx val="12"/>
          <c:order val="11"/>
          <c:tx>
            <c:strRef>
              <c:f>'Figura 13'!$M$22</c:f>
              <c:strCache>
                <c:ptCount val="1"/>
                <c:pt idx="0">
                  <c:v>Decembrie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13'!$M$23:$M$28</c:f>
              <c:numCache>
                <c:formatCode>#,##0.0</c:formatCode>
                <c:ptCount val="6"/>
                <c:pt idx="0">
                  <c:v>-300.49999999999994</c:v>
                </c:pt>
                <c:pt idx="1">
                  <c:v>-321.39999999999998</c:v>
                </c:pt>
                <c:pt idx="2">
                  <c:v>-349</c:v>
                </c:pt>
                <c:pt idx="3">
                  <c:v>-429.2</c:v>
                </c:pt>
                <c:pt idx="4">
                  <c:v>-524.29999999999995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B1-46B9-BC71-3BBF0CA16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57897728"/>
        <c:axId val="138072576"/>
      </c:barChart>
      <c:catAx>
        <c:axId val="15789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22225" cap="flat" cmpd="sng" algn="ctr">
            <a:gradFill>
              <a:gsLst>
                <a:gs pos="0">
                  <a:schemeClr val="tx1">
                    <a:alpha val="98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80725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8072576"/>
        <c:scaling>
          <c:orientation val="minMax"/>
          <c:min val="-6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7897728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egendEntry>
        <c:idx val="7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"/>
          <c:y val="0.9095502632723057"/>
          <c:w val="1"/>
          <c:h val="7.38586594586124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62778414308116E-2"/>
          <c:y val="6.8799149302478671E-2"/>
          <c:w val="0.90019805713940926"/>
          <c:h val="0.792567509429552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14'!$B$27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2194475690538683E-2"/>
                  <c:y val="1.63592268642251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13-450B-8629-87951D3C5A06}"/>
                </c:ext>
              </c:extLst>
            </c:dLbl>
            <c:dLbl>
              <c:idx val="1"/>
              <c:layout>
                <c:manualLayout>
                  <c:x val="-1.5403217454960988E-2"/>
                  <c:y val="8.78438427864839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13-450B-8629-87951D3C5A06}"/>
                </c:ext>
              </c:extLst>
            </c:dLbl>
            <c:dLbl>
              <c:idx val="2"/>
              <c:layout>
                <c:manualLayout>
                  <c:x val="-1.0793793632938807E-2"/>
                  <c:y val="4.55420521910221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13-450B-8629-87951D3C5A06}"/>
                </c:ext>
              </c:extLst>
            </c:dLbl>
            <c:dLbl>
              <c:idx val="3"/>
              <c:layout>
                <c:manualLayout>
                  <c:x val="-1.4134233220847461E-2"/>
                  <c:y val="1.60028858214282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9864016997875265E-2"/>
                      <c:h val="6.7576708367975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713-450B-8629-87951D3C5A06}"/>
                </c:ext>
              </c:extLst>
            </c:dLbl>
            <c:dLbl>
              <c:idx val="4"/>
              <c:layout>
                <c:manualLayout>
                  <c:x val="-1.7658221293766849E-2"/>
                  <c:y val="4.44103001716344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13-450B-8629-87951D3C5A06}"/>
                </c:ext>
              </c:extLst>
            </c:dLbl>
            <c:dLbl>
              <c:idx val="5"/>
              <c:layout>
                <c:manualLayout>
                  <c:x val="-1.2661703001410538E-2"/>
                  <c:y val="4.28720532408903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13-450B-8629-87951D3C5A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14'!$A$28:$A$33</c:f>
              <c:strCache>
                <c:ptCount val="6"/>
                <c:pt idx="0">
                  <c:v>Ianuarie-mai 2018</c:v>
                </c:pt>
                <c:pt idx="1">
                  <c:v>Ianuarie-mai 2019</c:v>
                </c:pt>
                <c:pt idx="2">
                  <c:v>Ianuarie-mai 2020</c:v>
                </c:pt>
                <c:pt idx="3">
                  <c:v>Ianuarie-mai 2021</c:v>
                </c:pt>
                <c:pt idx="4">
                  <c:v>Ianuarie-mai 2022</c:v>
                </c:pt>
                <c:pt idx="5">
                  <c:v>Ianuarie-mai 2023</c:v>
                </c:pt>
              </c:strCache>
            </c:strRef>
          </c:cat>
          <c:val>
            <c:numRef>
              <c:f>'Figura 14'!$B$28:$B$33</c:f>
              <c:numCache>
                <c:formatCode>0.0</c:formatCode>
                <c:ptCount val="6"/>
                <c:pt idx="0">
                  <c:v>1100.6743613900001</c:v>
                </c:pt>
                <c:pt idx="1">
                  <c:v>1159.0011391400001</c:v>
                </c:pt>
                <c:pt idx="2">
                  <c:v>980.59775708000006</c:v>
                </c:pt>
                <c:pt idx="3">
                  <c:v>1104.6915409800001</c:v>
                </c:pt>
                <c:pt idx="4">
                  <c:v>1874.95438713</c:v>
                </c:pt>
                <c:pt idx="5">
                  <c:v>1725.4837506700001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2C-4A3E-9B06-2ADBC8010143}"/>
            </c:ext>
          </c:extLst>
        </c:ser>
        <c:ser>
          <c:idx val="1"/>
          <c:order val="1"/>
          <c:tx>
            <c:strRef>
              <c:f>'Figura 14'!$C$27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7483528844608877E-3"/>
                  <c:y val="8.06439113349790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D2C-4A3E-9B06-2ADBC8010143}"/>
                </c:ext>
              </c:extLst>
            </c:dLbl>
            <c:dLbl>
              <c:idx val="1"/>
              <c:layout>
                <c:manualLayout>
                  <c:x val="-2.7713678647312274E-3"/>
                  <c:y val="6.77705976674210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D2C-4A3E-9B06-2ADBC8010143}"/>
                </c:ext>
              </c:extLst>
            </c:dLbl>
            <c:dLbl>
              <c:idx val="2"/>
              <c:layout>
                <c:manualLayout>
                  <c:x val="1.1457958618054857E-5"/>
                  <c:y val="7.55431884702589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D2C-4A3E-9B06-2ADBC8010143}"/>
                </c:ext>
              </c:extLst>
            </c:dLbl>
            <c:dLbl>
              <c:idx val="3"/>
              <c:layout>
                <c:manualLayout>
                  <c:x val="-8.3683067535339809E-4"/>
                  <c:y val="8.36463961279676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13-450B-8629-87951D3C5A06}"/>
                </c:ext>
              </c:extLst>
            </c:dLbl>
            <c:dLbl>
              <c:idx val="4"/>
              <c:layout>
                <c:manualLayout>
                  <c:x val="0"/>
                  <c:y val="8.57449088960342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13-450B-8629-87951D3C5A06}"/>
                </c:ext>
              </c:extLst>
            </c:dLbl>
            <c:dLbl>
              <c:idx val="5"/>
              <c:layout>
                <c:manualLayout>
                  <c:x val="-1.3682575392361669E-3"/>
                  <c:y val="4.5542052191022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13-450B-8629-87951D3C5A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14'!$A$28:$A$33</c:f>
              <c:strCache>
                <c:ptCount val="6"/>
                <c:pt idx="0">
                  <c:v>Ianuarie-mai 2018</c:v>
                </c:pt>
                <c:pt idx="1">
                  <c:v>Ianuarie-mai 2019</c:v>
                </c:pt>
                <c:pt idx="2">
                  <c:v>Ianuarie-mai 2020</c:v>
                </c:pt>
                <c:pt idx="3">
                  <c:v>Ianuarie-mai 2021</c:v>
                </c:pt>
                <c:pt idx="4">
                  <c:v>Ianuarie-mai 2022</c:v>
                </c:pt>
                <c:pt idx="5">
                  <c:v>Ianuarie-mai 2023</c:v>
                </c:pt>
              </c:strCache>
            </c:strRef>
          </c:cat>
          <c:val>
            <c:numRef>
              <c:f>'Figura 14'!$C$28:$C$33</c:f>
              <c:numCache>
                <c:formatCode>0.0</c:formatCode>
                <c:ptCount val="6"/>
                <c:pt idx="0">
                  <c:v>2276.20661995</c:v>
                </c:pt>
                <c:pt idx="1">
                  <c:v>2362.8434740799999</c:v>
                </c:pt>
                <c:pt idx="2">
                  <c:v>1980.07764559</c:v>
                </c:pt>
                <c:pt idx="3">
                  <c:v>2676.4622745699999</c:v>
                </c:pt>
                <c:pt idx="4">
                  <c:v>3582.1589297300002</c:v>
                </c:pt>
                <c:pt idx="5">
                  <c:v>3706.6193768099997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D2C-4A3E-9B06-2ADBC8010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158124544"/>
        <c:axId val="156729920"/>
      </c:barChart>
      <c:lineChart>
        <c:grouping val="standard"/>
        <c:varyColors val="0"/>
        <c:ser>
          <c:idx val="2"/>
          <c:order val="2"/>
          <c:tx>
            <c:strRef>
              <c:f>'Figura 14'!$D$27</c:f>
              <c:strCache>
                <c:ptCount val="1"/>
                <c:pt idx="0">
                  <c:v>Balanţa Comercială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710007677611727E-2"/>
                  <c:y val="3.0116301411005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D2C-4A3E-9B06-2ADBC8010143}"/>
                </c:ext>
              </c:extLst>
            </c:dLbl>
            <c:dLbl>
              <c:idx val="1"/>
              <c:layout>
                <c:manualLayout>
                  <c:x val="-3.9225490300822299E-2"/>
                  <c:y val="-3.1530406372926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D2C-4A3E-9B06-2ADBC8010143}"/>
                </c:ext>
              </c:extLst>
            </c:dLbl>
            <c:dLbl>
              <c:idx val="2"/>
              <c:layout>
                <c:manualLayout>
                  <c:x val="-3.4342421483028976E-2"/>
                  <c:y val="-3.9010059140623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D2C-4A3E-9B06-2ADBC8010143}"/>
                </c:ext>
              </c:extLst>
            </c:dLbl>
            <c:dLbl>
              <c:idx val="3"/>
              <c:layout>
                <c:manualLayout>
                  <c:x val="-3.9693871373269594E-2"/>
                  <c:y val="-3.5311859082614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D2C-4A3E-9B06-2ADBC8010143}"/>
                </c:ext>
              </c:extLst>
            </c:dLbl>
            <c:dLbl>
              <c:idx val="4"/>
              <c:layout>
                <c:manualLayout>
                  <c:x val="-3.7191636759690755E-2"/>
                  <c:y val="3.6134765638137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13-450B-8629-87951D3C5A06}"/>
                </c:ext>
              </c:extLst>
            </c:dLbl>
            <c:dLbl>
              <c:idx val="5"/>
              <c:layout>
                <c:manualLayout>
                  <c:x val="-2.4261253057653509E-3"/>
                  <c:y val="-6.47964586397276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13-450B-8629-87951D3C5A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14'!$A$28:$A$33</c:f>
              <c:strCache>
                <c:ptCount val="6"/>
                <c:pt idx="0">
                  <c:v>Ianuarie-mai 2018</c:v>
                </c:pt>
                <c:pt idx="1">
                  <c:v>Ianuarie-mai 2019</c:v>
                </c:pt>
                <c:pt idx="2">
                  <c:v>Ianuarie-mai 2020</c:v>
                </c:pt>
                <c:pt idx="3">
                  <c:v>Ianuarie-mai 2021</c:v>
                </c:pt>
                <c:pt idx="4">
                  <c:v>Ianuarie-mai 2022</c:v>
                </c:pt>
                <c:pt idx="5">
                  <c:v>Ianuarie-mai 2023</c:v>
                </c:pt>
              </c:strCache>
            </c:strRef>
          </c:cat>
          <c:val>
            <c:numRef>
              <c:f>'Figura 14'!$D$28:$D$33</c:f>
              <c:numCache>
                <c:formatCode>#,##0.0</c:formatCode>
                <c:ptCount val="6"/>
                <c:pt idx="0">
                  <c:v>-1175.5322585599999</c:v>
                </c:pt>
                <c:pt idx="1">
                  <c:v>-1203.8423349399998</c:v>
                </c:pt>
                <c:pt idx="2">
                  <c:v>-999.47988850999991</c:v>
                </c:pt>
                <c:pt idx="3">
                  <c:v>-1571.7707335899997</c:v>
                </c:pt>
                <c:pt idx="4">
                  <c:v>-1707.2045426000002</c:v>
                </c:pt>
                <c:pt idx="5">
                  <c:v>-1981.1356261399997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D2C-4A3E-9B06-2ADBC8010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124544"/>
        <c:axId val="156729920"/>
      </c:lineChart>
      <c:catAx>
        <c:axId val="15812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6729920"/>
        <c:crosses val="autoZero"/>
        <c:auto val="1"/>
        <c:lblAlgn val="ctr"/>
        <c:lblOffset val="100"/>
        <c:noMultiLvlLbl val="0"/>
      </c:catAx>
      <c:valAx>
        <c:axId val="156729920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8124544"/>
        <c:crosses val="autoZero"/>
        <c:crossBetween val="between"/>
        <c:majorUnit val="1000"/>
        <c:minorUnit val="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724427456859489E-2"/>
          <c:y val="0.95930711068301466"/>
          <c:w val="0.92503281730217912"/>
          <c:h val="3.64052869585378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854673787348795E-2"/>
          <c:y val="5.8988321282727942E-2"/>
          <c:w val="0.92807084892708935"/>
          <c:h val="0.71198276686002482"/>
        </c:manualLayout>
      </c:layout>
      <c:lineChart>
        <c:grouping val="standard"/>
        <c:varyColors val="0"/>
        <c:ser>
          <c:idx val="0"/>
          <c:order val="0"/>
          <c:tx>
            <c:strRef>
              <c:f>'Figura 2'!$A$25</c:f>
              <c:strCache>
                <c:ptCount val="1"/>
                <c:pt idx="0">
                  <c:v>În % faţă de luna precedentă</c:v>
                </c:pt>
              </c:strCache>
            </c:strRef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2.3443222211951362E-2"/>
                  <c:y val="-2.82646413067577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0-A467-4F44-B57D-57C60A5D0C66}"/>
                </c:ext>
              </c:extLst>
            </c:dLbl>
            <c:dLbl>
              <c:idx val="1"/>
              <c:layout>
                <c:manualLayout>
                  <c:x val="-3.6457225130743419E-2"/>
                  <c:y val="-2.5304697948178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67-4F44-B57D-57C60A5D0C66}"/>
                </c:ext>
              </c:extLst>
            </c:dLbl>
            <c:dLbl>
              <c:idx val="2"/>
              <c:layout>
                <c:manualLayout>
                  <c:x val="-6.885436012067302E-3"/>
                  <c:y val="1.498995186909471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67-4F44-B57D-57C60A5D0C66}"/>
                </c:ext>
              </c:extLst>
            </c:dLbl>
            <c:dLbl>
              <c:idx val="3"/>
              <c:layout>
                <c:manualLayout>
                  <c:x val="-1.6988125870039585E-2"/>
                  <c:y val="2.7772429854718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67-4F44-B57D-57C60A5D0C66}"/>
                </c:ext>
              </c:extLst>
            </c:dLbl>
            <c:dLbl>
              <c:idx val="4"/>
              <c:layout>
                <c:manualLayout>
                  <c:x val="-1.0186544651580191E-2"/>
                  <c:y val="2.1814384918506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467-4F44-B57D-57C60A5D0C66}"/>
                </c:ext>
              </c:extLst>
            </c:dLbl>
            <c:dLbl>
              <c:idx val="5"/>
              <c:layout>
                <c:manualLayout>
                  <c:x val="-2.1906626666330531E-2"/>
                  <c:y val="2.8966651648107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67-4F44-B57D-57C60A5D0C66}"/>
                </c:ext>
              </c:extLst>
            </c:dLbl>
            <c:dLbl>
              <c:idx val="6"/>
              <c:layout>
                <c:manualLayout>
                  <c:x val="-1.8928999102650092E-2"/>
                  <c:y val="-2.7682493366803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467-4F44-B57D-57C60A5D0C66}"/>
                </c:ext>
              </c:extLst>
            </c:dLbl>
            <c:dLbl>
              <c:idx val="7"/>
              <c:layout>
                <c:manualLayout>
                  <c:x val="-7.2465445903276667E-3"/>
                  <c:y val="1.24817095410756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67-4F44-B57D-57C60A5D0C66}"/>
                </c:ext>
              </c:extLst>
            </c:dLbl>
            <c:dLbl>
              <c:idx val="8"/>
              <c:layout>
                <c:manualLayout>
                  <c:x val="-4.4687657916739405E-2"/>
                  <c:y val="-2.06455119540575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467-4F44-B57D-57C60A5D0C66}"/>
                </c:ext>
              </c:extLst>
            </c:dLbl>
            <c:dLbl>
              <c:idx val="9"/>
              <c:layout>
                <c:manualLayout>
                  <c:x val="-3.498856108564026E-2"/>
                  <c:y val="2.6121421470817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467-4F44-B57D-57C60A5D0C66}"/>
                </c:ext>
              </c:extLst>
            </c:dLbl>
            <c:dLbl>
              <c:idx val="10"/>
              <c:layout>
                <c:manualLayout>
                  <c:x val="-1.7704798639764478E-2"/>
                  <c:y val="-1.798822831069821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5.2302229189677085E-2"/>
                      <c:h val="5.531980333444234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2A9D-446E-B46D-AAA2B51203E9}"/>
                </c:ext>
              </c:extLst>
            </c:dLbl>
            <c:dLbl>
              <c:idx val="11"/>
              <c:layout>
                <c:manualLayout>
                  <c:x val="-1.8774622174355458E-2"/>
                  <c:y val="2.7373522754100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A9D-446E-B46D-AAA2B51203E9}"/>
                </c:ext>
              </c:extLst>
            </c:dLbl>
            <c:dLbl>
              <c:idx val="12"/>
              <c:layout>
                <c:manualLayout>
                  <c:x val="-2.23417783354493E-2"/>
                  <c:y val="-2.5007707369912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A9D-446E-B46D-AAA2B51203E9}"/>
                </c:ext>
              </c:extLst>
            </c:dLbl>
            <c:dLbl>
              <c:idx val="13"/>
              <c:layout>
                <c:manualLayout>
                  <c:x val="-1.4220270307518445E-2"/>
                  <c:y val="3.15587118367696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A9D-446E-B46D-AAA2B51203E9}"/>
                </c:ext>
              </c:extLst>
            </c:dLbl>
            <c:dLbl>
              <c:idx val="14"/>
              <c:layout>
                <c:manualLayout>
                  <c:x val="-2.6059378650240862E-2"/>
                  <c:y val="-2.52363277478598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A9D-446E-B46D-AAA2B51203E9}"/>
                </c:ext>
              </c:extLst>
            </c:dLbl>
            <c:dLbl>
              <c:idx val="15"/>
              <c:layout>
                <c:manualLayout>
                  <c:x val="-2.0977544576017353E-2"/>
                  <c:y val="2.78028908358286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A9D-446E-B46D-AAA2B51203E9}"/>
                </c:ext>
              </c:extLst>
            </c:dLbl>
            <c:dLbl>
              <c:idx val="16"/>
              <c:layout>
                <c:manualLayout>
                  <c:x val="-2.3586567703530924E-2"/>
                  <c:y val="-2.87636267688761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A9D-446E-B46D-AAA2B51203E9}"/>
                </c:ext>
              </c:extLst>
            </c:dLbl>
            <c:dLbl>
              <c:idx val="17"/>
              <c:layout>
                <c:manualLayout>
                  <c:x val="-9.8505131432666607E-3"/>
                  <c:y val="-2.4421606699707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A9D-446E-B46D-AAA2B51203E9}"/>
                </c:ext>
              </c:extLst>
            </c:dLbl>
            <c:dLbl>
              <c:idx val="18"/>
              <c:layout>
                <c:manualLayout>
                  <c:x val="-1.9806465598779351E-2"/>
                  <c:y val="2.82600786012859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A9D-446E-B46D-AAA2B51203E9}"/>
                </c:ext>
              </c:extLst>
            </c:dLbl>
            <c:dLbl>
              <c:idx val="19"/>
              <c:layout>
                <c:manualLayout>
                  <c:x val="-2.3958691277942649E-2"/>
                  <c:y val="-2.6747051713903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A9D-446E-B46D-AAA2B51203E9}"/>
                </c:ext>
              </c:extLst>
            </c:dLbl>
            <c:dLbl>
              <c:idx val="20"/>
              <c:layout>
                <c:manualLayout>
                  <c:x val="-2.3712580217761039E-2"/>
                  <c:y val="2.980554542398821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3592084697278002E-2"/>
                      <c:h val="4.216982413982992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2A9D-446E-B46D-AAA2B51203E9}"/>
                </c:ext>
              </c:extLst>
            </c:dLbl>
            <c:dLbl>
              <c:idx val="21"/>
              <c:layout>
                <c:manualLayout>
                  <c:x val="-2.0179531234208441E-2"/>
                  <c:y val="-2.33768871534110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5201612338479032E-2"/>
                      <c:h val="3.703919843806990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2A9D-446E-B46D-AAA2B51203E9}"/>
                </c:ext>
              </c:extLst>
            </c:dLbl>
            <c:dLbl>
              <c:idx val="22"/>
              <c:layout>
                <c:manualLayout>
                  <c:x val="-2.4134608611496605E-2"/>
                  <c:y val="-2.76021083195663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A9D-446E-B46D-AAA2B51203E9}"/>
                </c:ext>
              </c:extLst>
            </c:dLbl>
            <c:dLbl>
              <c:idx val="23"/>
              <c:layout>
                <c:manualLayout>
                  <c:x val="-2.0672859299822176E-2"/>
                  <c:y val="3.0526865340742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A9D-446E-B46D-AAA2B51203E9}"/>
                </c:ext>
              </c:extLst>
            </c:dLbl>
            <c:dLbl>
              <c:idx val="24"/>
              <c:layout>
                <c:manualLayout>
                  <c:x val="-1.7886603147768836E-2"/>
                  <c:y val="3.0526865340742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A9D-446E-B46D-AAA2B51203E9}"/>
                </c:ext>
              </c:extLst>
            </c:dLbl>
            <c:dLbl>
              <c:idx val="25"/>
              <c:layout>
                <c:manualLayout>
                  <c:x val="-2.9111202231278933E-2"/>
                  <c:y val="-2.3969047465797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A9D-446E-B46D-AAA2B51203E9}"/>
                </c:ext>
              </c:extLst>
            </c:dLbl>
            <c:dLbl>
              <c:idx val="26"/>
              <c:layout>
                <c:manualLayout>
                  <c:x val="-2.0570176530156473E-2"/>
                  <c:y val="-2.3969047465797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45-47A2-BA65-A68496B03D77}"/>
                </c:ext>
              </c:extLst>
            </c:dLbl>
            <c:dLbl>
              <c:idx val="27"/>
              <c:layout>
                <c:manualLayout>
                  <c:x val="-2.6438930143987852E-2"/>
                  <c:y val="-3.8501290880874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48-4289-A3E3-B060B2DBC62B}"/>
                </c:ext>
              </c:extLst>
            </c:dLbl>
            <c:dLbl>
              <c:idx val="28"/>
              <c:layout>
                <c:manualLayout>
                  <c:x val="-9.7291048957706358E-4"/>
                  <c:y val="-3.123516917333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857-4475-99F9-38F5443B2E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2'!$B$23:$AD$24</c:f>
              <c:multiLvlStrCache>
                <c:ptCount val="2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  <c:pt idx="24">
                    <c:v>2023</c:v>
                  </c:pt>
                </c:lvl>
              </c:multiLvlStrCache>
            </c:multiLvlStrRef>
          </c:cat>
          <c:val>
            <c:numRef>
              <c:f>'Figura 2'!$B$25:$AD$25</c:f>
              <c:numCache>
                <c:formatCode>#,##0.0</c:formatCode>
                <c:ptCount val="29"/>
                <c:pt idx="0">
                  <c:v>90.925213233797848</c:v>
                </c:pt>
                <c:pt idx="1">
                  <c:v>114.41147354263464</c:v>
                </c:pt>
                <c:pt idx="2">
                  <c:v>114.20579997969134</c:v>
                </c:pt>
                <c:pt idx="3">
                  <c:v>84.167356355788357</c:v>
                </c:pt>
                <c:pt idx="4">
                  <c:v>92.421884276527052</c:v>
                </c:pt>
                <c:pt idx="5">
                  <c:v>112.45124175218632</c:v>
                </c:pt>
                <c:pt idx="6">
                  <c:v>106.13290668113962</c:v>
                </c:pt>
                <c:pt idx="7">
                  <c:v>98.163759117159898</c:v>
                </c:pt>
                <c:pt idx="8">
                  <c:v>124.79747973247373</c:v>
                </c:pt>
                <c:pt idx="9">
                  <c:v>119.44752327758337</c:v>
                </c:pt>
                <c:pt idx="10">
                  <c:v>103.29810746017232</c:v>
                </c:pt>
                <c:pt idx="11">
                  <c:v>89.310814590947814</c:v>
                </c:pt>
                <c:pt idx="12">
                  <c:v>101.65548055101389</c:v>
                </c:pt>
                <c:pt idx="13">
                  <c:v>101.84864374682041</c:v>
                </c:pt>
                <c:pt idx="14">
                  <c:v>117.64360095679429</c:v>
                </c:pt>
                <c:pt idx="15">
                  <c:v>100.12867315249881</c:v>
                </c:pt>
                <c:pt idx="16">
                  <c:v>104.95231951698101</c:v>
                </c:pt>
                <c:pt idx="17">
                  <c:v>100.11263227721525</c:v>
                </c:pt>
                <c:pt idx="18">
                  <c:v>81.219091406345484</c:v>
                </c:pt>
                <c:pt idx="19">
                  <c:v>97.395817403540036</c:v>
                </c:pt>
                <c:pt idx="20">
                  <c:v>96.775293757579718</c:v>
                </c:pt>
                <c:pt idx="21" formatCode="0.0">
                  <c:v>110.41268252711565</c:v>
                </c:pt>
                <c:pt idx="22" formatCode="0.0">
                  <c:v>101.07685140675132</c:v>
                </c:pt>
                <c:pt idx="23" formatCode="0.0">
                  <c:v>98.231011775552389</c:v>
                </c:pt>
                <c:pt idx="24" formatCode="0.0">
                  <c:v>94.738709353020752</c:v>
                </c:pt>
                <c:pt idx="25" formatCode="0.0">
                  <c:v>107.53426152887265</c:v>
                </c:pt>
                <c:pt idx="26" formatCode="0.0">
                  <c:v>108.12127054761088</c:v>
                </c:pt>
                <c:pt idx="27" formatCode="0.0">
                  <c:v>82.324999768246713</c:v>
                </c:pt>
                <c:pt idx="28">
                  <c:v>106.16829025236061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2D8C-45EE-B332-341AC82C0A62}"/>
            </c:ext>
          </c:extLst>
        </c:ser>
        <c:ser>
          <c:idx val="1"/>
          <c:order val="1"/>
          <c:tx>
            <c:strRef>
              <c:f>'Figura 2'!$A$26</c:f>
              <c:strCache>
                <c:ptCount val="1"/>
                <c:pt idx="0">
                  <c:v>În % faţă de luna corespunzătoare din anul precedent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1.8418201695077237E-2"/>
                  <c:y val="2.756984954345495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A-A467-4F44-B57D-57C60A5D0C66}"/>
                </c:ext>
              </c:extLst>
            </c:dLbl>
            <c:dLbl>
              <c:idx val="1"/>
              <c:layout>
                <c:manualLayout>
                  <c:x val="-1.2682096184884722E-2"/>
                  <c:y val="2.4119519120055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467-4F44-B57D-57C60A5D0C66}"/>
                </c:ext>
              </c:extLst>
            </c:dLbl>
            <c:dLbl>
              <c:idx val="2"/>
              <c:layout>
                <c:manualLayout>
                  <c:x val="-4.0328182029540839E-2"/>
                  <c:y val="-2.39959378374705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467-4F44-B57D-57C60A5D0C66}"/>
                </c:ext>
              </c:extLst>
            </c:dLbl>
            <c:dLbl>
              <c:idx val="3"/>
              <c:layout>
                <c:manualLayout>
                  <c:x val="-2.1732731647604933E-2"/>
                  <c:y val="-2.5019488367768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467-4F44-B57D-57C60A5D0C66}"/>
                </c:ext>
              </c:extLst>
            </c:dLbl>
            <c:dLbl>
              <c:idx val="4"/>
              <c:layout>
                <c:manualLayout>
                  <c:x val="-1.6865015672400608E-2"/>
                  <c:y val="-2.69315654344297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467-4F44-B57D-57C60A5D0C66}"/>
                </c:ext>
              </c:extLst>
            </c:dLbl>
            <c:dLbl>
              <c:idx val="5"/>
              <c:layout>
                <c:manualLayout>
                  <c:x val="-2.2986613254440045E-2"/>
                  <c:y val="-2.98254271349596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467-4F44-B57D-57C60A5D0C66}"/>
                </c:ext>
              </c:extLst>
            </c:dLbl>
            <c:dLbl>
              <c:idx val="6"/>
              <c:layout>
                <c:manualLayout>
                  <c:x val="-2.9936572980886141E-2"/>
                  <c:y val="-3.31023335979460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467-4F44-B57D-57C60A5D0C66}"/>
                </c:ext>
              </c:extLst>
            </c:dLbl>
            <c:dLbl>
              <c:idx val="7"/>
              <c:layout>
                <c:manualLayout>
                  <c:x val="-2.5682853211020699E-2"/>
                  <c:y val="-2.86261439542279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467-4F44-B57D-57C60A5D0C66}"/>
                </c:ext>
              </c:extLst>
            </c:dLbl>
            <c:dLbl>
              <c:idx val="8"/>
              <c:layout>
                <c:manualLayout>
                  <c:x val="-2.2505251020697559E-2"/>
                  <c:y val="-2.938438250774215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2-A467-4F44-B57D-57C60A5D0C66}"/>
                </c:ext>
              </c:extLst>
            </c:dLbl>
            <c:dLbl>
              <c:idx val="9"/>
              <c:layout>
                <c:manualLayout>
                  <c:x val="-2.0040392496295488E-2"/>
                  <c:y val="-2.7536884864868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467-4F44-B57D-57C60A5D0C66}"/>
                </c:ext>
              </c:extLst>
            </c:dLbl>
            <c:dLbl>
              <c:idx val="10"/>
              <c:layout>
                <c:manualLayout>
                  <c:x val="-3.0093992043293306E-2"/>
                  <c:y val="3.041086485442725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4.8975214154240054E-2"/>
                      <c:h val="4.4378553498251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E-2A9D-446E-B46D-AAA2B51203E9}"/>
                </c:ext>
              </c:extLst>
            </c:dLbl>
            <c:dLbl>
              <c:idx val="11"/>
              <c:layout>
                <c:manualLayout>
                  <c:x val="-3.6944477622910907E-2"/>
                  <c:y val="-3.524040421377845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F-2A9D-446E-B46D-AAA2B51203E9}"/>
                </c:ext>
              </c:extLst>
            </c:dLbl>
            <c:dLbl>
              <c:idx val="12"/>
              <c:layout>
                <c:manualLayout>
                  <c:x val="-2.9082589880465699E-2"/>
                  <c:y val="-2.4529740321969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2A9D-446E-B46D-AAA2B51203E9}"/>
                </c:ext>
              </c:extLst>
            </c:dLbl>
            <c:dLbl>
              <c:idx val="13"/>
              <c:layout>
                <c:manualLayout>
                  <c:x val="-2.4691761837821614E-2"/>
                  <c:y val="3.11015755183189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2A9D-446E-B46D-AAA2B51203E9}"/>
                </c:ext>
              </c:extLst>
            </c:dLbl>
            <c:dLbl>
              <c:idx val="14"/>
              <c:layout>
                <c:manualLayout>
                  <c:x val="-9.7441715196486239E-3"/>
                  <c:y val="1.92512175760046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2A9D-446E-B46D-AAA2B51203E9}"/>
                </c:ext>
              </c:extLst>
            </c:dLbl>
            <c:dLbl>
              <c:idx val="15"/>
              <c:layout>
                <c:manualLayout>
                  <c:x val="-4.7228168824287861E-2"/>
                  <c:y val="-2.1497421814098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2A9D-446E-B46D-AAA2B51203E9}"/>
                </c:ext>
              </c:extLst>
            </c:dLbl>
            <c:dLbl>
              <c:idx val="16"/>
              <c:layout>
                <c:manualLayout>
                  <c:x val="-2.9013497000156308E-2"/>
                  <c:y val="-2.8535261430195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2A9D-446E-B46D-AAA2B51203E9}"/>
                </c:ext>
              </c:extLst>
            </c:dLbl>
            <c:dLbl>
              <c:idx val="17"/>
              <c:layout>
                <c:manualLayout>
                  <c:x val="-6.6476749104334206E-3"/>
                  <c:y val="-9.878492708847361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2A9D-446E-B46D-AAA2B51203E9}"/>
                </c:ext>
              </c:extLst>
            </c:dLbl>
            <c:dLbl>
              <c:idx val="18"/>
              <c:layout>
                <c:manualLayout>
                  <c:x val="-3.7839499934153503E-2"/>
                  <c:y val="3.131326567830247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4.6284534603932247E-2"/>
                      <c:h val="5.35601850858560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36-2A9D-446E-B46D-AAA2B51203E9}"/>
                </c:ext>
              </c:extLst>
            </c:dLbl>
            <c:dLbl>
              <c:idx val="19"/>
              <c:layout>
                <c:manualLayout>
                  <c:x val="-7.3126664929956354E-3"/>
                  <c:y val="-6.475144285438434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2A9D-446E-B46D-AAA2B51203E9}"/>
                </c:ext>
              </c:extLst>
            </c:dLbl>
            <c:dLbl>
              <c:idx val="20"/>
              <c:layout>
                <c:manualLayout>
                  <c:x val="-1.8060560399611774E-2"/>
                  <c:y val="-2.73703934147196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2A9D-446E-B46D-AAA2B51203E9}"/>
                </c:ext>
              </c:extLst>
            </c:dLbl>
            <c:dLbl>
              <c:idx val="21"/>
              <c:layout>
                <c:manualLayout>
                  <c:x val="-2.5880612648039879E-2"/>
                  <c:y val="2.995573101046299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3.9778112005662211E-2"/>
                      <c:h val="5.157144185314709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39-2A9D-446E-B46D-AAA2B51203E9}"/>
                </c:ext>
              </c:extLst>
            </c:dLbl>
            <c:dLbl>
              <c:idx val="22"/>
              <c:layout>
                <c:manualLayout>
                  <c:x val="-2.222867415785407E-2"/>
                  <c:y val="3.41599261945116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2A9D-446E-B46D-AAA2B51203E9}"/>
                </c:ext>
              </c:extLst>
            </c:dLbl>
            <c:dLbl>
              <c:idx val="23"/>
              <c:layout>
                <c:manualLayout>
                  <c:x val="-2.4134608611496376E-2"/>
                  <c:y val="-2.3969047465797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2A9D-446E-B46D-AAA2B51203E9}"/>
                </c:ext>
              </c:extLst>
            </c:dLbl>
            <c:dLbl>
              <c:idx val="24"/>
              <c:layout>
                <c:manualLayout>
                  <c:x val="-2.5058174612654281E-2"/>
                  <c:y val="-3.123516917333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2A9D-446E-B46D-AAA2B51203E9}"/>
                </c:ext>
              </c:extLst>
            </c:dLbl>
            <c:dLbl>
              <c:idx val="25"/>
              <c:layout>
                <c:manualLayout>
                  <c:x val="-2.4907982456924466E-2"/>
                  <c:y val="2.6893804486973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2A9D-446E-B46D-AAA2B51203E9}"/>
                </c:ext>
              </c:extLst>
            </c:dLbl>
            <c:dLbl>
              <c:idx val="26"/>
              <c:layout>
                <c:manualLayout>
                  <c:x val="-2.551845267967795E-2"/>
                  <c:y val="3.05270083746343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3103119330075079E-2"/>
                      <c:h val="5.157144185314709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ED45-47A2-BA65-A68496B03D77}"/>
                </c:ext>
              </c:extLst>
            </c:dLbl>
            <c:dLbl>
              <c:idx val="27"/>
              <c:layout>
                <c:manualLayout>
                  <c:x val="-2.337026921821404E-2"/>
                  <c:y val="3.0527008374634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3103119330075079E-2"/>
                      <c:h val="4.430532014560849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F748-4289-A3E3-B060B2DBC62B}"/>
                </c:ext>
              </c:extLst>
            </c:dLbl>
            <c:dLbl>
              <c:idx val="28"/>
              <c:layout>
                <c:manualLayout>
                  <c:x val="-1.3181952504376549E-3"/>
                  <c:y val="-2.7602108319566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6D7-4FC2-99FE-11B7B13BF1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2'!$B$23:$AD$24</c:f>
              <c:multiLvlStrCache>
                <c:ptCount val="2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  <c:pt idx="24">
                    <c:v>2023</c:v>
                  </c:pt>
                </c:lvl>
              </c:multiLvlStrCache>
            </c:multiLvlStrRef>
          </c:cat>
          <c:val>
            <c:numRef>
              <c:f>'Figura 2'!$B$26:$AD$26</c:f>
              <c:numCache>
                <c:formatCode>#,##0.0</c:formatCode>
                <c:ptCount val="29"/>
                <c:pt idx="0">
                  <c:v>90.415711128050958</c:v>
                </c:pt>
                <c:pt idx="1">
                  <c:v>92.544788099159774</c:v>
                </c:pt>
                <c:pt idx="2">
                  <c:v>123.33461185332185</c:v>
                </c:pt>
                <c:pt idx="3">
                  <c:v>145.62616468779689</c:v>
                </c:pt>
                <c:pt idx="4">
                  <c:v>129.53315145310887</c:v>
                </c:pt>
                <c:pt idx="5">
                  <c:v>119.63933960141166</c:v>
                </c:pt>
                <c:pt idx="6">
                  <c:v>125.94594158412818</c:v>
                </c:pt>
                <c:pt idx="7">
                  <c:v>144.1652577242715</c:v>
                </c:pt>
                <c:pt idx="8">
                  <c:v>138.93267521074247</c:v>
                </c:pt>
                <c:pt idx="9">
                  <c:v>141.26446794210585</c:v>
                </c:pt>
                <c:pt idx="10">
                  <c:v>138.86123791492062</c:v>
                </c:pt>
                <c:pt idx="11">
                  <c:v>148.90368550768355</c:v>
                </c:pt>
                <c:pt idx="12">
                  <c:v>166.47364542706634</c:v>
                </c:pt>
                <c:pt idx="13" formatCode="0.0">
                  <c:v>148.19932435921535</c:v>
                </c:pt>
                <c:pt idx="14" formatCode="0.0">
                  <c:v>152.66039185472528</c:v>
                </c:pt>
                <c:pt idx="15" formatCode="0.0">
                  <c:v>181.61058088529293</c:v>
                </c:pt>
                <c:pt idx="16" formatCode="0.0">
                  <c:v>206.23310011413275</c:v>
                </c:pt>
                <c:pt idx="17" formatCode="0.0">
                  <c:v>183.60436215205132</c:v>
                </c:pt>
                <c:pt idx="18" formatCode="0.0">
                  <c:v>140.50476839414773</c:v>
                </c:pt>
                <c:pt idx="19" formatCode="0.0">
                  <c:v>139.40559010693906</c:v>
                </c:pt>
                <c:pt idx="20" formatCode="0.0">
                  <c:v>108.10328031438013</c:v>
                </c:pt>
                <c:pt idx="21">
                  <c:v>99.926501964829413</c:v>
                </c:pt>
                <c:pt idx="22">
                  <c:v>97.777746747100537</c:v>
                </c:pt>
                <c:pt idx="23">
                  <c:v>107.54360528556772</c:v>
                </c:pt>
                <c:pt idx="24" formatCode="0.0">
                  <c:v>100.22420542342689</c:v>
                </c:pt>
                <c:pt idx="25" formatCode="0.0">
                  <c:v>105.8191402559811</c:v>
                </c:pt>
                <c:pt idx="26" formatCode="0.0">
                  <c:v>97.253907562166816</c:v>
                </c:pt>
                <c:pt idx="27" formatCode="0.0">
                  <c:v>79.961390333440789</c:v>
                </c:pt>
                <c:pt idx="28" formatCode="0.0">
                  <c:v>80.887817791673328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2D8C-45EE-B332-341AC82C0A6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5228928"/>
        <c:axId val="132373248"/>
      </c:lineChart>
      <c:catAx>
        <c:axId val="13522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2373248"/>
        <c:crossesAt val="30"/>
        <c:auto val="0"/>
        <c:lblAlgn val="ctr"/>
        <c:lblOffset val="100"/>
        <c:noMultiLvlLbl val="0"/>
      </c:catAx>
      <c:valAx>
        <c:axId val="132373248"/>
        <c:scaling>
          <c:orientation val="minMax"/>
          <c:max val="240"/>
          <c:min val="30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5228928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7.9311033036221973E-2"/>
          <c:y val="0.92998049555732143"/>
          <c:w val="0.90022613392334228"/>
          <c:h val="6.78598947061441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44224392622983"/>
          <c:y val="2.5787355527927429E-2"/>
          <c:w val="0.78731546487723514"/>
          <c:h val="0.744733158355205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3'!$B$23</c:f>
              <c:strCache>
                <c:ptCount val="1"/>
                <c:pt idx="0">
                  <c:v>Ianuarie-mai 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'Figura 3'!$A$24:$A$30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3'!$B$24:$B$30</c:f>
              <c:numCache>
                <c:formatCode>0.0</c:formatCode>
                <c:ptCount val="7"/>
                <c:pt idx="0">
                  <c:v>14.5</c:v>
                </c:pt>
                <c:pt idx="1">
                  <c:v>3.1</c:v>
                </c:pt>
                <c:pt idx="2">
                  <c:v>80.099999999999994</c:v>
                </c:pt>
                <c:pt idx="3">
                  <c:v>1.2</c:v>
                </c:pt>
                <c:pt idx="4">
                  <c:v>0</c:v>
                </c:pt>
                <c:pt idx="5">
                  <c:v>1</c:v>
                </c:pt>
                <c:pt idx="6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B2-423F-8D54-2DEAA91EB392}"/>
            </c:ext>
          </c:extLst>
        </c:ser>
        <c:ser>
          <c:idx val="1"/>
          <c:order val="1"/>
          <c:tx>
            <c:strRef>
              <c:f>'Figura 3'!$C$23</c:f>
              <c:strCache>
                <c:ptCount val="1"/>
                <c:pt idx="0">
                  <c:v>Ianuarie-mai 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'Figura 3'!$A$24:$A$30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3'!$C$24:$C$30</c:f>
              <c:numCache>
                <c:formatCode>0.0</c:formatCode>
                <c:ptCount val="7"/>
                <c:pt idx="0">
                  <c:v>16.2</c:v>
                </c:pt>
                <c:pt idx="1">
                  <c:v>9.6</c:v>
                </c:pt>
                <c:pt idx="2">
                  <c:v>73.400000000000006</c:v>
                </c:pt>
                <c:pt idx="3">
                  <c:v>0.8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7D-49BF-AD38-66FEB4074930}"/>
            </c:ext>
          </c:extLst>
        </c:ser>
        <c:ser>
          <c:idx val="2"/>
          <c:order val="2"/>
          <c:tx>
            <c:strRef>
              <c:f>'Figura 3'!$D$23</c:f>
              <c:strCache>
                <c:ptCount val="1"/>
                <c:pt idx="0">
                  <c:v>Ianuarie-mai 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'Figura 3'!$A$24:$A$30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3'!$D$24:$D$30</c:f>
              <c:numCache>
                <c:formatCode>0.0</c:formatCode>
                <c:ptCount val="7"/>
                <c:pt idx="0">
                  <c:v>5.4</c:v>
                </c:pt>
                <c:pt idx="1">
                  <c:v>0.7</c:v>
                </c:pt>
                <c:pt idx="2">
                  <c:v>92.7</c:v>
                </c:pt>
                <c:pt idx="3">
                  <c:v>1.1000000000000001</c:v>
                </c:pt>
                <c:pt idx="4">
                  <c:v>0.1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7D-49BF-AD38-66FEB4074930}"/>
            </c:ext>
          </c:extLst>
        </c:ser>
        <c:ser>
          <c:idx val="3"/>
          <c:order val="3"/>
          <c:tx>
            <c:strRef>
              <c:f>'Figura 3'!$E$23</c:f>
              <c:strCache>
                <c:ptCount val="1"/>
                <c:pt idx="0">
                  <c:v>Ianuarie-mai 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'Figura 3'!$A$24:$A$30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3'!$E$24:$E$30</c:f>
              <c:numCache>
                <c:formatCode>0.0</c:formatCode>
                <c:ptCount val="7"/>
                <c:pt idx="0">
                  <c:v>9.5</c:v>
                </c:pt>
                <c:pt idx="1">
                  <c:v>4.8</c:v>
                </c:pt>
                <c:pt idx="2">
                  <c:v>84.5</c:v>
                </c:pt>
                <c:pt idx="3">
                  <c:v>1.2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7D-49BF-AD38-66FEB4074930}"/>
            </c:ext>
          </c:extLst>
        </c:ser>
        <c:ser>
          <c:idx val="4"/>
          <c:order val="4"/>
          <c:tx>
            <c:strRef>
              <c:f>'Figura 3'!$F$23</c:f>
              <c:strCache>
                <c:ptCount val="1"/>
                <c:pt idx="0">
                  <c:v>Ianuarie-mai 2019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'Figura 3'!$A$24:$A$30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3'!$F$24:$F$30</c:f>
              <c:numCache>
                <c:formatCode>0.0</c:formatCode>
                <c:ptCount val="7"/>
                <c:pt idx="0">
                  <c:v>7.6</c:v>
                </c:pt>
                <c:pt idx="1">
                  <c:v>4.8</c:v>
                </c:pt>
                <c:pt idx="2">
                  <c:v>86</c:v>
                </c:pt>
                <c:pt idx="3">
                  <c:v>1.6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7D-49BF-AD38-66FEB4074930}"/>
            </c:ext>
          </c:extLst>
        </c:ser>
        <c:ser>
          <c:idx val="5"/>
          <c:order val="5"/>
          <c:tx>
            <c:strRef>
              <c:f>'Figura 3'!$G$23</c:f>
              <c:strCache>
                <c:ptCount val="1"/>
                <c:pt idx="0">
                  <c:v>Ianuarie-mai 2018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'Figura 3'!$A$24:$A$30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3'!$G$24:$G$30</c:f>
              <c:numCache>
                <c:formatCode>0.0</c:formatCode>
                <c:ptCount val="7"/>
                <c:pt idx="0">
                  <c:v>7.8</c:v>
                </c:pt>
                <c:pt idx="1">
                  <c:v>3.1</c:v>
                </c:pt>
                <c:pt idx="2">
                  <c:v>86.9</c:v>
                </c:pt>
                <c:pt idx="3">
                  <c:v>2.1</c:v>
                </c:pt>
                <c:pt idx="4">
                  <c:v>0.1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7D-49BF-AD38-66FEB4074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3135616"/>
        <c:axId val="138077312"/>
      </c:barChart>
      <c:catAx>
        <c:axId val="153135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8077312"/>
        <c:crossesAt val="0"/>
        <c:auto val="1"/>
        <c:lblAlgn val="ctr"/>
        <c:lblOffset val="100"/>
        <c:noMultiLvlLbl val="0"/>
      </c:catAx>
      <c:valAx>
        <c:axId val="138077312"/>
        <c:scaling>
          <c:orientation val="minMax"/>
        </c:scaling>
        <c:delete val="0"/>
        <c:axPos val="b"/>
        <c:numFmt formatCode="0.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3135616"/>
        <c:crosses val="autoZero"/>
        <c:crossBetween val="between"/>
        <c:minorUnit val="1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15565200764527429"/>
          <c:y val="0.91790928058487742"/>
          <c:w val="0.84434799235472568"/>
          <c:h val="8.209071941512265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526953361599E-2"/>
          <c:y val="7.9067734558931208E-2"/>
          <c:w val="0.91248006258833025"/>
          <c:h val="0.666971714372613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4'!$A$22</c:f>
              <c:strCache>
                <c:ptCount val="1"/>
                <c:pt idx="0">
                  <c:v>Ţările Uniunii Europene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4'!$B$21:$G$21</c:f>
              <c:strCache>
                <c:ptCount val="6"/>
                <c:pt idx="0">
                  <c:v>Ianuarie-mai 2018</c:v>
                </c:pt>
                <c:pt idx="1">
                  <c:v>Ianuarie-mai 2019</c:v>
                </c:pt>
                <c:pt idx="2">
                  <c:v>Ianuarie-mai 2020</c:v>
                </c:pt>
                <c:pt idx="3">
                  <c:v>Ianuarie-mai 2021</c:v>
                </c:pt>
                <c:pt idx="4">
                  <c:v>Ianuarie-mai 2022</c:v>
                </c:pt>
                <c:pt idx="5">
                  <c:v>Ianuarie-mai 2023</c:v>
                </c:pt>
              </c:strCache>
            </c:strRef>
          </c:cat>
          <c:val>
            <c:numRef>
              <c:f>'Figura 4'!$B$22:$G$22</c:f>
              <c:numCache>
                <c:formatCode>General</c:formatCode>
                <c:ptCount val="6"/>
                <c:pt idx="0">
                  <c:v>64.5</c:v>
                </c:pt>
                <c:pt idx="1">
                  <c:v>62.2</c:v>
                </c:pt>
                <c:pt idx="2" formatCode="0.0">
                  <c:v>63</c:v>
                </c:pt>
                <c:pt idx="3" formatCode="0.0">
                  <c:v>65.3</c:v>
                </c:pt>
                <c:pt idx="4">
                  <c:v>64.5</c:v>
                </c:pt>
                <c:pt idx="5">
                  <c:v>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9-4207-A2A3-2E8D24AB4E7A}"/>
            </c:ext>
          </c:extLst>
        </c:ser>
        <c:ser>
          <c:idx val="1"/>
          <c:order val="1"/>
          <c:tx>
            <c:strRef>
              <c:f>'Figura 4'!$A$23</c:f>
              <c:strCache>
                <c:ptCount val="1"/>
                <c:pt idx="0">
                  <c:v>Ţările CSI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4'!$B$21:$G$21</c:f>
              <c:strCache>
                <c:ptCount val="6"/>
                <c:pt idx="0">
                  <c:v>Ianuarie-mai 2018</c:v>
                </c:pt>
                <c:pt idx="1">
                  <c:v>Ianuarie-mai 2019</c:v>
                </c:pt>
                <c:pt idx="2">
                  <c:v>Ianuarie-mai 2020</c:v>
                </c:pt>
                <c:pt idx="3">
                  <c:v>Ianuarie-mai 2021</c:v>
                </c:pt>
                <c:pt idx="4">
                  <c:v>Ianuarie-mai 2022</c:v>
                </c:pt>
                <c:pt idx="5">
                  <c:v>Ianuarie-mai 2023</c:v>
                </c:pt>
              </c:strCache>
            </c:strRef>
          </c:cat>
          <c:val>
            <c:numRef>
              <c:f>'Figura 4'!$B$23:$G$23</c:f>
              <c:numCache>
                <c:formatCode>General</c:formatCode>
                <c:ptCount val="6"/>
                <c:pt idx="0">
                  <c:v>16.100000000000001</c:v>
                </c:pt>
                <c:pt idx="1">
                  <c:v>14.7</c:v>
                </c:pt>
                <c:pt idx="2">
                  <c:v>16.5</c:v>
                </c:pt>
                <c:pt idx="3" formatCode="0.0">
                  <c:v>15.7</c:v>
                </c:pt>
                <c:pt idx="4">
                  <c:v>15.2</c:v>
                </c:pt>
                <c:pt idx="5">
                  <c:v>25.2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29-4207-A2A3-2E8D24AB4E7A}"/>
            </c:ext>
          </c:extLst>
        </c:ser>
        <c:ser>
          <c:idx val="2"/>
          <c:order val="2"/>
          <c:tx>
            <c:strRef>
              <c:f>'Figura 4'!$A$24</c:f>
              <c:strCache>
                <c:ptCount val="1"/>
                <c:pt idx="0">
                  <c:v>Celelalte ţări ale lumii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4'!$B$21:$G$21</c:f>
              <c:strCache>
                <c:ptCount val="6"/>
                <c:pt idx="0">
                  <c:v>Ianuarie-mai 2018</c:v>
                </c:pt>
                <c:pt idx="1">
                  <c:v>Ianuarie-mai 2019</c:v>
                </c:pt>
                <c:pt idx="2">
                  <c:v>Ianuarie-mai 2020</c:v>
                </c:pt>
                <c:pt idx="3">
                  <c:v>Ianuarie-mai 2021</c:v>
                </c:pt>
                <c:pt idx="4">
                  <c:v>Ianuarie-mai 2022</c:v>
                </c:pt>
                <c:pt idx="5">
                  <c:v>Ianuarie-mai 2023</c:v>
                </c:pt>
              </c:strCache>
            </c:strRef>
          </c:cat>
          <c:val>
            <c:numRef>
              <c:f>'Figura 4'!$B$24:$G$24</c:f>
              <c:numCache>
                <c:formatCode>General</c:formatCode>
                <c:ptCount val="6"/>
                <c:pt idx="0">
                  <c:v>19.399999999999999</c:v>
                </c:pt>
                <c:pt idx="1">
                  <c:v>23.1</c:v>
                </c:pt>
                <c:pt idx="2">
                  <c:v>20.5</c:v>
                </c:pt>
                <c:pt idx="3" formatCode="0.0">
                  <c:v>19</c:v>
                </c:pt>
                <c:pt idx="4">
                  <c:v>20.3</c:v>
                </c:pt>
                <c:pt idx="5">
                  <c:v>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29-4207-A2A3-2E8D24AB4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530240"/>
        <c:axId val="138080192"/>
      </c:barChart>
      <c:catAx>
        <c:axId val="15553024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8080192"/>
        <c:crosses val="autoZero"/>
        <c:auto val="1"/>
        <c:lblAlgn val="ctr"/>
        <c:lblOffset val="100"/>
        <c:noMultiLvlLbl val="0"/>
      </c:catAx>
      <c:valAx>
        <c:axId val="138080192"/>
        <c:scaling>
          <c:orientation val="minMax"/>
          <c:max val="100"/>
        </c:scaling>
        <c:delete val="0"/>
        <c:axPos val="l"/>
        <c:numFmt formatCode="0.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5530240"/>
        <c:crosses val="autoZero"/>
        <c:crossBetween val="between"/>
        <c:majorUnit val="10"/>
      </c:valAx>
      <c:spPr>
        <a:noFill/>
        <a:ln w="31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86790182943549965"/>
          <c:w val="1"/>
          <c:h val="9.22971755396247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141699880107581E-2"/>
          <c:y val="2.2640470912009786E-2"/>
          <c:w val="0.94076377536801559"/>
          <c:h val="0.61438598116411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5'!$B$25</c:f>
              <c:strCache>
                <c:ptCount val="1"/>
                <c:pt idx="0">
                  <c:v>Ianuarie-mai 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'Figura 5'!$A$26:$A$48</c:f>
              <c:strCache>
                <c:ptCount val="23"/>
                <c:pt idx="0">
                  <c:v>România</c:v>
                </c:pt>
                <c:pt idx="1">
                  <c:v>Ucraina</c:v>
                </c:pt>
                <c:pt idx="2">
                  <c:v>Italia</c:v>
                </c:pt>
                <c:pt idx="3">
                  <c:v>Germania</c:v>
                </c:pt>
                <c:pt idx="4">
                  <c:v>Turcia</c:v>
                </c:pt>
                <c:pt idx="5">
                  <c:v>Federaţia Rusă</c:v>
                </c:pt>
                <c:pt idx="6">
                  <c:v>Cehia</c:v>
                </c:pt>
                <c:pt idx="7">
                  <c:v>Polonia</c:v>
                </c:pt>
                <c:pt idx="8">
                  <c:v>Belarus</c:v>
                </c:pt>
                <c:pt idx="9">
                  <c:v>Spania</c:v>
                </c:pt>
                <c:pt idx="10">
                  <c:v>S.U.A.</c:v>
                </c:pt>
                <c:pt idx="11">
                  <c:v>Bulgaria</c:v>
                </c:pt>
                <c:pt idx="12">
                  <c:v>Cipru</c:v>
                </c:pt>
                <c:pt idx="13">
                  <c:v>Ungaria</c:v>
                </c:pt>
                <c:pt idx="14">
                  <c:v>Liban</c:v>
                </c:pt>
                <c:pt idx="15">
                  <c:v>Franţa</c:v>
                </c:pt>
                <c:pt idx="16">
                  <c:v>Kazahstan</c:v>
                </c:pt>
                <c:pt idx="17">
                  <c:v>Regatul Unit </c:v>
                </c:pt>
                <c:pt idx="18">
                  <c:v>Netherlands</c:v>
                </c:pt>
                <c:pt idx="19">
                  <c:v>Elveţia</c:v>
                </c:pt>
                <c:pt idx="20">
                  <c:v>Grecia</c:v>
                </c:pt>
                <c:pt idx="21">
                  <c:v>Egipt</c:v>
                </c:pt>
                <c:pt idx="22">
                  <c:v>Lituania</c:v>
                </c:pt>
              </c:strCache>
            </c:strRef>
          </c:cat>
          <c:val>
            <c:numRef>
              <c:f>'Figura 5'!$B$26:$B$48</c:f>
              <c:numCache>
                <c:formatCode>#,##0.0</c:formatCode>
                <c:ptCount val="23"/>
                <c:pt idx="0">
                  <c:v>25.766790910060049</c:v>
                </c:pt>
                <c:pt idx="1">
                  <c:v>3.1199543774811507</c:v>
                </c:pt>
                <c:pt idx="2">
                  <c:v>11.33473112632943</c:v>
                </c:pt>
                <c:pt idx="3">
                  <c:v>8.6460772721024881</c:v>
                </c:pt>
                <c:pt idx="4">
                  <c:v>4.0693716426205961</c:v>
                </c:pt>
                <c:pt idx="5">
                  <c:v>8.2086683681719919</c:v>
                </c:pt>
                <c:pt idx="6">
                  <c:v>1.5683806860186611</c:v>
                </c:pt>
                <c:pt idx="7">
                  <c:v>3.401282208729036</c:v>
                </c:pt>
                <c:pt idx="8">
                  <c:v>3.8282904224994181</c:v>
                </c:pt>
                <c:pt idx="9">
                  <c:v>1.1821752378757842</c:v>
                </c:pt>
                <c:pt idx="10">
                  <c:v>0.8196795997506886</c:v>
                </c:pt>
                <c:pt idx="11">
                  <c:v>2.2193360231586778</c:v>
                </c:pt>
                <c:pt idx="12">
                  <c:v>0.12099764441847567</c:v>
                </c:pt>
                <c:pt idx="13">
                  <c:v>0.30102625047209564</c:v>
                </c:pt>
                <c:pt idx="14">
                  <c:v>0.57475163698834153</c:v>
                </c:pt>
                <c:pt idx="15">
                  <c:v>2.0296652237622448</c:v>
                </c:pt>
                <c:pt idx="16">
                  <c:v>0.54644572009512471</c:v>
                </c:pt>
                <c:pt idx="17">
                  <c:v>3.3620056728920371</c:v>
                </c:pt>
                <c:pt idx="18">
                  <c:v>1.5069243076629633</c:v>
                </c:pt>
                <c:pt idx="19">
                  <c:v>2.4576475694263196</c:v>
                </c:pt>
                <c:pt idx="20">
                  <c:v>1.3332603224688255</c:v>
                </c:pt>
                <c:pt idx="21">
                  <c:v>1.9016008489166358E-2</c:v>
                </c:pt>
                <c:pt idx="22">
                  <c:v>0.4389728605923261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DD-42D8-B371-6A71C526E757}"/>
            </c:ext>
          </c:extLst>
        </c:ser>
        <c:ser>
          <c:idx val="1"/>
          <c:order val="1"/>
          <c:tx>
            <c:strRef>
              <c:f>'Figura 5'!$C$25</c:f>
              <c:strCache>
                <c:ptCount val="1"/>
                <c:pt idx="0">
                  <c:v>Ianuarie-mai 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'Figura 5'!$A$26:$A$48</c:f>
              <c:strCache>
                <c:ptCount val="23"/>
                <c:pt idx="0">
                  <c:v>România</c:v>
                </c:pt>
                <c:pt idx="1">
                  <c:v>Ucraina</c:v>
                </c:pt>
                <c:pt idx="2">
                  <c:v>Italia</c:v>
                </c:pt>
                <c:pt idx="3">
                  <c:v>Germania</c:v>
                </c:pt>
                <c:pt idx="4">
                  <c:v>Turcia</c:v>
                </c:pt>
                <c:pt idx="5">
                  <c:v>Federaţia Rusă</c:v>
                </c:pt>
                <c:pt idx="6">
                  <c:v>Cehia</c:v>
                </c:pt>
                <c:pt idx="7">
                  <c:v>Polonia</c:v>
                </c:pt>
                <c:pt idx="8">
                  <c:v>Belarus</c:v>
                </c:pt>
                <c:pt idx="9">
                  <c:v>Spania</c:v>
                </c:pt>
                <c:pt idx="10">
                  <c:v>S.U.A.</c:v>
                </c:pt>
                <c:pt idx="11">
                  <c:v>Bulgaria</c:v>
                </c:pt>
                <c:pt idx="12">
                  <c:v>Cipru</c:v>
                </c:pt>
                <c:pt idx="13">
                  <c:v>Ungaria</c:v>
                </c:pt>
                <c:pt idx="14">
                  <c:v>Liban</c:v>
                </c:pt>
                <c:pt idx="15">
                  <c:v>Franţa</c:v>
                </c:pt>
                <c:pt idx="16">
                  <c:v>Kazahstan</c:v>
                </c:pt>
                <c:pt idx="17">
                  <c:v>Regatul Unit </c:v>
                </c:pt>
                <c:pt idx="18">
                  <c:v>Netherlands</c:v>
                </c:pt>
                <c:pt idx="19">
                  <c:v>Elveţia</c:v>
                </c:pt>
                <c:pt idx="20">
                  <c:v>Grecia</c:v>
                </c:pt>
                <c:pt idx="21">
                  <c:v>Egipt</c:v>
                </c:pt>
                <c:pt idx="22">
                  <c:v>Lituania</c:v>
                </c:pt>
              </c:strCache>
            </c:strRef>
          </c:cat>
          <c:val>
            <c:numRef>
              <c:f>'Figura 5'!$C$26:$C$48</c:f>
              <c:numCache>
                <c:formatCode>#,##0.0</c:formatCode>
                <c:ptCount val="23"/>
                <c:pt idx="0">
                  <c:v>27.817695923856654</c:v>
                </c:pt>
                <c:pt idx="1">
                  <c:v>2.683641458116194</c:v>
                </c:pt>
                <c:pt idx="2">
                  <c:v>9.9243181560070877</c:v>
                </c:pt>
                <c:pt idx="3">
                  <c:v>8.9696049235239403</c:v>
                </c:pt>
                <c:pt idx="4">
                  <c:v>9.6349251453592473</c:v>
                </c:pt>
                <c:pt idx="5">
                  <c:v>8.270194369362196</c:v>
                </c:pt>
                <c:pt idx="6">
                  <c:v>1.7201771910934895</c:v>
                </c:pt>
                <c:pt idx="7">
                  <c:v>3.7731484597546707</c:v>
                </c:pt>
                <c:pt idx="8">
                  <c:v>3.1097706527487992</c:v>
                </c:pt>
                <c:pt idx="9">
                  <c:v>1.389479838816166</c:v>
                </c:pt>
                <c:pt idx="10">
                  <c:v>0.78827785335734768</c:v>
                </c:pt>
                <c:pt idx="11">
                  <c:v>1.4434614095732266</c:v>
                </c:pt>
                <c:pt idx="12">
                  <c:v>0.37912973262998817</c:v>
                </c:pt>
                <c:pt idx="13">
                  <c:v>0.27621630315009527</c:v>
                </c:pt>
                <c:pt idx="14">
                  <c:v>0.51927162249950298</c:v>
                </c:pt>
                <c:pt idx="15">
                  <c:v>1.3759063422347275</c:v>
                </c:pt>
                <c:pt idx="16">
                  <c:v>0.28029829223555081</c:v>
                </c:pt>
                <c:pt idx="17">
                  <c:v>1.851577172385142</c:v>
                </c:pt>
                <c:pt idx="18">
                  <c:v>1.3974601648811282</c:v>
                </c:pt>
                <c:pt idx="19">
                  <c:v>2.7488117210686935</c:v>
                </c:pt>
                <c:pt idx="20">
                  <c:v>0.80256777460133311</c:v>
                </c:pt>
                <c:pt idx="21">
                  <c:v>0.13084340375413722</c:v>
                </c:pt>
                <c:pt idx="22">
                  <c:v>0.30751780301481435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DD-42D8-B371-6A71C526E757}"/>
            </c:ext>
          </c:extLst>
        </c:ser>
        <c:ser>
          <c:idx val="2"/>
          <c:order val="2"/>
          <c:tx>
            <c:strRef>
              <c:f>'Figura 5'!$D$25</c:f>
              <c:strCache>
                <c:ptCount val="1"/>
                <c:pt idx="0">
                  <c:v>Ianuarie-mai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'Figura 5'!$A$26:$A$48</c:f>
              <c:strCache>
                <c:ptCount val="23"/>
                <c:pt idx="0">
                  <c:v>România</c:v>
                </c:pt>
                <c:pt idx="1">
                  <c:v>Ucraina</c:v>
                </c:pt>
                <c:pt idx="2">
                  <c:v>Italia</c:v>
                </c:pt>
                <c:pt idx="3">
                  <c:v>Germania</c:v>
                </c:pt>
                <c:pt idx="4">
                  <c:v>Turcia</c:v>
                </c:pt>
                <c:pt idx="5">
                  <c:v>Federaţia Rusă</c:v>
                </c:pt>
                <c:pt idx="6">
                  <c:v>Cehia</c:v>
                </c:pt>
                <c:pt idx="7">
                  <c:v>Polonia</c:v>
                </c:pt>
                <c:pt idx="8">
                  <c:v>Belarus</c:v>
                </c:pt>
                <c:pt idx="9">
                  <c:v>Spania</c:v>
                </c:pt>
                <c:pt idx="10">
                  <c:v>S.U.A.</c:v>
                </c:pt>
                <c:pt idx="11">
                  <c:v>Bulgaria</c:v>
                </c:pt>
                <c:pt idx="12">
                  <c:v>Cipru</c:v>
                </c:pt>
                <c:pt idx="13">
                  <c:v>Ungaria</c:v>
                </c:pt>
                <c:pt idx="14">
                  <c:v>Liban</c:v>
                </c:pt>
                <c:pt idx="15">
                  <c:v>Franţa</c:v>
                </c:pt>
                <c:pt idx="16">
                  <c:v>Kazahstan</c:v>
                </c:pt>
                <c:pt idx="17">
                  <c:v>Regatul Unit </c:v>
                </c:pt>
                <c:pt idx="18">
                  <c:v>Netherlands</c:v>
                </c:pt>
                <c:pt idx="19">
                  <c:v>Elveţia</c:v>
                </c:pt>
                <c:pt idx="20">
                  <c:v>Grecia</c:v>
                </c:pt>
                <c:pt idx="21">
                  <c:v>Egipt</c:v>
                </c:pt>
                <c:pt idx="22">
                  <c:v>Lituania</c:v>
                </c:pt>
              </c:strCache>
            </c:strRef>
          </c:cat>
          <c:val>
            <c:numRef>
              <c:f>'Figura 5'!$D$26:$D$48</c:f>
              <c:numCache>
                <c:formatCode>#,##0.0</c:formatCode>
                <c:ptCount val="23"/>
                <c:pt idx="0">
                  <c:v>24.608929545033913</c:v>
                </c:pt>
                <c:pt idx="1">
                  <c:v>2.390188668164356</c:v>
                </c:pt>
                <c:pt idx="2">
                  <c:v>8.5311734986127519</c:v>
                </c:pt>
                <c:pt idx="3">
                  <c:v>8.6401948636200938</c:v>
                </c:pt>
                <c:pt idx="4">
                  <c:v>7.1945524075112024</c:v>
                </c:pt>
                <c:pt idx="5">
                  <c:v>10.387866062770293</c:v>
                </c:pt>
                <c:pt idx="6">
                  <c:v>3.3406865703576609</c:v>
                </c:pt>
                <c:pt idx="7">
                  <c:v>4.1354258917289837</c:v>
                </c:pt>
                <c:pt idx="8">
                  <c:v>2.8679513844437272</c:v>
                </c:pt>
                <c:pt idx="9">
                  <c:v>2.0051321255873416</c:v>
                </c:pt>
                <c:pt idx="10">
                  <c:v>0.8895116409376399</c:v>
                </c:pt>
                <c:pt idx="11">
                  <c:v>1.6961952971959577</c:v>
                </c:pt>
                <c:pt idx="12">
                  <c:v>0.7493800079537094</c:v>
                </c:pt>
                <c:pt idx="13">
                  <c:v>0.62595462672460878</c:v>
                </c:pt>
                <c:pt idx="14">
                  <c:v>0.68272429155207837</c:v>
                </c:pt>
                <c:pt idx="15">
                  <c:v>1.6553481438032414</c:v>
                </c:pt>
                <c:pt idx="16">
                  <c:v>0.50546550450610794</c:v>
                </c:pt>
                <c:pt idx="17">
                  <c:v>1.5660725755409963</c:v>
                </c:pt>
                <c:pt idx="18">
                  <c:v>1.5214044619503322</c:v>
                </c:pt>
                <c:pt idx="19">
                  <c:v>3.7980418801795777</c:v>
                </c:pt>
                <c:pt idx="20">
                  <c:v>1.9064053690747813</c:v>
                </c:pt>
                <c:pt idx="21">
                  <c:v>8.6799015585608853E-3</c:v>
                </c:pt>
                <c:pt idx="22">
                  <c:v>0.29732906576107304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DD-42D8-B371-6A71C526E757}"/>
            </c:ext>
          </c:extLst>
        </c:ser>
        <c:ser>
          <c:idx val="3"/>
          <c:order val="3"/>
          <c:tx>
            <c:strRef>
              <c:f>'Figura 5'!$E$25</c:f>
              <c:strCache>
                <c:ptCount val="1"/>
                <c:pt idx="0">
                  <c:v>Ianuarie-mai 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'Figura 5'!$A$26:$A$48</c:f>
              <c:strCache>
                <c:ptCount val="23"/>
                <c:pt idx="0">
                  <c:v>România</c:v>
                </c:pt>
                <c:pt idx="1">
                  <c:v>Ucraina</c:v>
                </c:pt>
                <c:pt idx="2">
                  <c:v>Italia</c:v>
                </c:pt>
                <c:pt idx="3">
                  <c:v>Germania</c:v>
                </c:pt>
                <c:pt idx="4">
                  <c:v>Turcia</c:v>
                </c:pt>
                <c:pt idx="5">
                  <c:v>Federaţia Rusă</c:v>
                </c:pt>
                <c:pt idx="6">
                  <c:v>Cehia</c:v>
                </c:pt>
                <c:pt idx="7">
                  <c:v>Polonia</c:v>
                </c:pt>
                <c:pt idx="8">
                  <c:v>Belarus</c:v>
                </c:pt>
                <c:pt idx="9">
                  <c:v>Spania</c:v>
                </c:pt>
                <c:pt idx="10">
                  <c:v>S.U.A.</c:v>
                </c:pt>
                <c:pt idx="11">
                  <c:v>Bulgaria</c:v>
                </c:pt>
                <c:pt idx="12">
                  <c:v>Cipru</c:v>
                </c:pt>
                <c:pt idx="13">
                  <c:v>Ungaria</c:v>
                </c:pt>
                <c:pt idx="14">
                  <c:v>Liban</c:v>
                </c:pt>
                <c:pt idx="15">
                  <c:v>Franţa</c:v>
                </c:pt>
                <c:pt idx="16">
                  <c:v>Kazahstan</c:v>
                </c:pt>
                <c:pt idx="17">
                  <c:v>Regatul Unit </c:v>
                </c:pt>
                <c:pt idx="18">
                  <c:v>Netherlands</c:v>
                </c:pt>
                <c:pt idx="19">
                  <c:v>Elveţia</c:v>
                </c:pt>
                <c:pt idx="20">
                  <c:v>Grecia</c:v>
                </c:pt>
                <c:pt idx="21">
                  <c:v>Egipt</c:v>
                </c:pt>
                <c:pt idx="22">
                  <c:v>Lituania</c:v>
                </c:pt>
              </c:strCache>
            </c:strRef>
          </c:cat>
          <c:val>
            <c:numRef>
              <c:f>'Figura 5'!$E$26:$E$48</c:f>
              <c:numCache>
                <c:formatCode>#,##0.0</c:formatCode>
                <c:ptCount val="23"/>
                <c:pt idx="0">
                  <c:v>27.830208752867243</c:v>
                </c:pt>
                <c:pt idx="1">
                  <c:v>2.8274847386167772</c:v>
                </c:pt>
                <c:pt idx="2">
                  <c:v>7.0005310334317201</c:v>
                </c:pt>
                <c:pt idx="3">
                  <c:v>10.391927543697772</c:v>
                </c:pt>
                <c:pt idx="4">
                  <c:v>9.083051651774765</c:v>
                </c:pt>
                <c:pt idx="5">
                  <c:v>9.4660823560966509</c:v>
                </c:pt>
                <c:pt idx="6">
                  <c:v>3.0802845516326856</c:v>
                </c:pt>
                <c:pt idx="7">
                  <c:v>3.9098665978453413</c:v>
                </c:pt>
                <c:pt idx="8">
                  <c:v>2.4345882395497513</c:v>
                </c:pt>
                <c:pt idx="9">
                  <c:v>1.5701827321509325</c:v>
                </c:pt>
                <c:pt idx="10">
                  <c:v>0.86296943231256207</c:v>
                </c:pt>
                <c:pt idx="11">
                  <c:v>1.312237199457513</c:v>
                </c:pt>
                <c:pt idx="12">
                  <c:v>0.31958896570059986</c:v>
                </c:pt>
                <c:pt idx="13">
                  <c:v>1.4643525165087574</c:v>
                </c:pt>
                <c:pt idx="14">
                  <c:v>0.88567253183820061</c:v>
                </c:pt>
                <c:pt idx="15">
                  <c:v>1.3253219715081592</c:v>
                </c:pt>
                <c:pt idx="16">
                  <c:v>0.46462889409351649</c:v>
                </c:pt>
                <c:pt idx="17">
                  <c:v>1.8074739082628219</c:v>
                </c:pt>
                <c:pt idx="18">
                  <c:v>1.5120284595627591</c:v>
                </c:pt>
                <c:pt idx="19">
                  <c:v>1.2921689965451117</c:v>
                </c:pt>
                <c:pt idx="20">
                  <c:v>1.1047730807437179</c:v>
                </c:pt>
                <c:pt idx="21">
                  <c:v>0.17562325119995867</c:v>
                </c:pt>
                <c:pt idx="22">
                  <c:v>0.29175724267253633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DD-42D8-B371-6A71C526E757}"/>
            </c:ext>
          </c:extLst>
        </c:ser>
        <c:ser>
          <c:idx val="4"/>
          <c:order val="4"/>
          <c:tx>
            <c:strRef>
              <c:f>'Figura 5'!$F$25</c:f>
              <c:strCache>
                <c:ptCount val="1"/>
                <c:pt idx="0">
                  <c:v>Ianuarie-mai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'Figura 5'!$A$26:$A$48</c:f>
              <c:strCache>
                <c:ptCount val="23"/>
                <c:pt idx="0">
                  <c:v>România</c:v>
                </c:pt>
                <c:pt idx="1">
                  <c:v>Ucraina</c:v>
                </c:pt>
                <c:pt idx="2">
                  <c:v>Italia</c:v>
                </c:pt>
                <c:pt idx="3">
                  <c:v>Germania</c:v>
                </c:pt>
                <c:pt idx="4">
                  <c:v>Turcia</c:v>
                </c:pt>
                <c:pt idx="5">
                  <c:v>Federaţia Rusă</c:v>
                </c:pt>
                <c:pt idx="6">
                  <c:v>Cehia</c:v>
                </c:pt>
                <c:pt idx="7">
                  <c:v>Polonia</c:v>
                </c:pt>
                <c:pt idx="8">
                  <c:v>Belarus</c:v>
                </c:pt>
                <c:pt idx="9">
                  <c:v>Spania</c:v>
                </c:pt>
                <c:pt idx="10">
                  <c:v>S.U.A.</c:v>
                </c:pt>
                <c:pt idx="11">
                  <c:v>Bulgaria</c:v>
                </c:pt>
                <c:pt idx="12">
                  <c:v>Cipru</c:v>
                </c:pt>
                <c:pt idx="13">
                  <c:v>Ungaria</c:v>
                </c:pt>
                <c:pt idx="14">
                  <c:v>Liban</c:v>
                </c:pt>
                <c:pt idx="15">
                  <c:v>Franţa</c:v>
                </c:pt>
                <c:pt idx="16">
                  <c:v>Kazahstan</c:v>
                </c:pt>
                <c:pt idx="17">
                  <c:v>Regatul Unit </c:v>
                </c:pt>
                <c:pt idx="18">
                  <c:v>Netherlands</c:v>
                </c:pt>
                <c:pt idx="19">
                  <c:v>Elveţia</c:v>
                </c:pt>
                <c:pt idx="20">
                  <c:v>Grecia</c:v>
                </c:pt>
                <c:pt idx="21">
                  <c:v>Egipt</c:v>
                </c:pt>
                <c:pt idx="22">
                  <c:v>Lituania</c:v>
                </c:pt>
              </c:strCache>
            </c:strRef>
          </c:cat>
          <c:val>
            <c:numRef>
              <c:f>'Figura 5'!$F$26:$F$48</c:f>
              <c:numCache>
                <c:formatCode>#,##0.0</c:formatCode>
                <c:ptCount val="23"/>
                <c:pt idx="0">
                  <c:v>30.440118970234337</c:v>
                </c:pt>
                <c:pt idx="1">
                  <c:v>8.4153235514982221</c:v>
                </c:pt>
                <c:pt idx="2">
                  <c:v>9.3614424401370862</c:v>
                </c:pt>
                <c:pt idx="3">
                  <c:v>5.7297860085249788</c:v>
                </c:pt>
                <c:pt idx="4">
                  <c:v>9.2103315614166235</c:v>
                </c:pt>
                <c:pt idx="5">
                  <c:v>4.9147532426670617</c:v>
                </c:pt>
                <c:pt idx="6">
                  <c:v>2.1616426158525992</c:v>
                </c:pt>
                <c:pt idx="7">
                  <c:v>2.8211827126615034</c:v>
                </c:pt>
                <c:pt idx="8">
                  <c:v>1.3243304872076536</c:v>
                </c:pt>
                <c:pt idx="9">
                  <c:v>0.7404702906533901</c:v>
                </c:pt>
                <c:pt idx="10">
                  <c:v>0.94813945725962978</c:v>
                </c:pt>
                <c:pt idx="11">
                  <c:v>4.6060416478820798</c:v>
                </c:pt>
                <c:pt idx="12">
                  <c:v>0.60294875958580674</c:v>
                </c:pt>
                <c:pt idx="13">
                  <c:v>1.1892399811459513</c:v>
                </c:pt>
                <c:pt idx="14">
                  <c:v>0.81051420526884166</c:v>
                </c:pt>
                <c:pt idx="15">
                  <c:v>1.0711025701665546</c:v>
                </c:pt>
                <c:pt idx="16">
                  <c:v>0.23454540655420708</c:v>
                </c:pt>
                <c:pt idx="17">
                  <c:v>1.7394833172407556</c:v>
                </c:pt>
                <c:pt idx="18">
                  <c:v>2.1899331254053109</c:v>
                </c:pt>
                <c:pt idx="19">
                  <c:v>2.8381050928632785</c:v>
                </c:pt>
                <c:pt idx="20">
                  <c:v>0.98973423446345121</c:v>
                </c:pt>
                <c:pt idx="21">
                  <c:v>0.27520939258146487</c:v>
                </c:pt>
                <c:pt idx="22">
                  <c:v>0.21363099803890215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DD-42D8-B371-6A71C526E757}"/>
            </c:ext>
          </c:extLst>
        </c:ser>
        <c:ser>
          <c:idx val="5"/>
          <c:order val="5"/>
          <c:tx>
            <c:strRef>
              <c:f>'Figura 5'!$G$25</c:f>
              <c:strCache>
                <c:ptCount val="1"/>
                <c:pt idx="0">
                  <c:v>Ianuarie-mai 2023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'Figura 5'!$A$26:$A$48</c:f>
              <c:strCache>
                <c:ptCount val="23"/>
                <c:pt idx="0">
                  <c:v>România</c:v>
                </c:pt>
                <c:pt idx="1">
                  <c:v>Ucraina</c:v>
                </c:pt>
                <c:pt idx="2">
                  <c:v>Italia</c:v>
                </c:pt>
                <c:pt idx="3">
                  <c:v>Germania</c:v>
                </c:pt>
                <c:pt idx="4">
                  <c:v>Turcia</c:v>
                </c:pt>
                <c:pt idx="5">
                  <c:v>Federaţia Rusă</c:v>
                </c:pt>
                <c:pt idx="6">
                  <c:v>Cehia</c:v>
                </c:pt>
                <c:pt idx="7">
                  <c:v>Polonia</c:v>
                </c:pt>
                <c:pt idx="8">
                  <c:v>Belarus</c:v>
                </c:pt>
                <c:pt idx="9">
                  <c:v>Spania</c:v>
                </c:pt>
                <c:pt idx="10">
                  <c:v>S.U.A.</c:v>
                </c:pt>
                <c:pt idx="11">
                  <c:v>Bulgaria</c:v>
                </c:pt>
                <c:pt idx="12">
                  <c:v>Cipru</c:v>
                </c:pt>
                <c:pt idx="13">
                  <c:v>Ungaria</c:v>
                </c:pt>
                <c:pt idx="14">
                  <c:v>Liban</c:v>
                </c:pt>
                <c:pt idx="15">
                  <c:v>Franţa</c:v>
                </c:pt>
                <c:pt idx="16">
                  <c:v>Kazahstan</c:v>
                </c:pt>
                <c:pt idx="17">
                  <c:v>Regatul Unit </c:v>
                </c:pt>
                <c:pt idx="18">
                  <c:v>Netherlands</c:v>
                </c:pt>
                <c:pt idx="19">
                  <c:v>Elveţia</c:v>
                </c:pt>
                <c:pt idx="20">
                  <c:v>Grecia</c:v>
                </c:pt>
                <c:pt idx="21">
                  <c:v>Egipt</c:v>
                </c:pt>
                <c:pt idx="22">
                  <c:v>Lituania</c:v>
                </c:pt>
              </c:strCache>
            </c:strRef>
          </c:cat>
          <c:val>
            <c:numRef>
              <c:f>'Figura 5'!$G$26:$G$48</c:f>
              <c:numCache>
                <c:formatCode>#,##0.0</c:formatCode>
                <c:ptCount val="23"/>
                <c:pt idx="0">
                  <c:v>31.975651452281902</c:v>
                </c:pt>
                <c:pt idx="1">
                  <c:v>17.283679235124605</c:v>
                </c:pt>
                <c:pt idx="2">
                  <c:v>6.4126708157660195</c:v>
                </c:pt>
                <c:pt idx="3">
                  <c:v>5.4003252550954377</c:v>
                </c:pt>
                <c:pt idx="4">
                  <c:v>4.0098168889237131</c:v>
                </c:pt>
                <c:pt idx="5">
                  <c:v>3.8606677996320471</c:v>
                </c:pt>
                <c:pt idx="6">
                  <c:v>3.8219702598991616</c:v>
                </c:pt>
                <c:pt idx="7">
                  <c:v>2.6368854990568797</c:v>
                </c:pt>
                <c:pt idx="8">
                  <c:v>2.2982260362986255</c:v>
                </c:pt>
                <c:pt idx="9">
                  <c:v>2.0788312127582675</c:v>
                </c:pt>
                <c:pt idx="10">
                  <c:v>1.4431433631485049</c:v>
                </c:pt>
                <c:pt idx="11">
                  <c:v>1.2657766885094857</c:v>
                </c:pt>
                <c:pt idx="12">
                  <c:v>1.2640692879043769</c:v>
                </c:pt>
                <c:pt idx="13">
                  <c:v>1.2408939186872092</c:v>
                </c:pt>
                <c:pt idx="14">
                  <c:v>1.2300650244755167</c:v>
                </c:pt>
                <c:pt idx="15">
                  <c:v>1.1945771203001092</c:v>
                </c:pt>
                <c:pt idx="16">
                  <c:v>1.0663469124444362</c:v>
                </c:pt>
                <c:pt idx="17">
                  <c:v>1.0264098258313388</c:v>
                </c:pt>
                <c:pt idx="18">
                  <c:v>0.90595990393592918</c:v>
                </c:pt>
                <c:pt idx="19">
                  <c:v>0.87961583782557062</c:v>
                </c:pt>
                <c:pt idx="20">
                  <c:v>0.86638740087788169</c:v>
                </c:pt>
                <c:pt idx="21">
                  <c:v>0.69422855505586012</c:v>
                </c:pt>
                <c:pt idx="22">
                  <c:v>0.55828365675767733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DD-42D8-B371-6A71C526E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4061184"/>
        <c:axId val="156076864"/>
      </c:barChart>
      <c:catAx>
        <c:axId val="16406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6076864"/>
        <c:crosses val="autoZero"/>
        <c:auto val="1"/>
        <c:lblAlgn val="ctr"/>
        <c:lblOffset val="100"/>
        <c:noMultiLvlLbl val="0"/>
      </c:catAx>
      <c:valAx>
        <c:axId val="156076864"/>
        <c:scaling>
          <c:orientation val="minMax"/>
          <c:max val="35"/>
        </c:scaling>
        <c:delete val="0"/>
        <c:axPos val="l"/>
        <c:numFmt formatCode="0.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4061184"/>
        <c:crosses val="autoZero"/>
        <c:crossBetween val="between"/>
        <c:majorUnit val="5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3.4762786842380433E-2"/>
          <c:y val="0.88790620370161455"/>
          <c:w val="0.905913318264431"/>
          <c:h val="8.18524787205337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Ianuarie - </a:t>
            </a:r>
            <a:r>
              <a:rPr lang="en-US" sz="9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mai</a:t>
            </a:r>
            <a:r>
              <a:rPr lang="ro-RO" sz="9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2023</a:t>
            </a:r>
            <a:endParaRPr lang="en-US" sz="9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8272511463091963"/>
          <c:y val="1.27826126997283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846317646239979"/>
          <c:y val="0.11884330248192661"/>
          <c:w val="0.55189577312208316"/>
          <c:h val="0.73247187254043444"/>
        </c:manualLayout>
      </c:layout>
      <c:pieChart>
        <c:varyColors val="1"/>
        <c:ser>
          <c:idx val="0"/>
          <c:order val="0"/>
          <c:tx>
            <c:strRef>
              <c:f>'Figura 6'!$B$45</c:f>
              <c:strCache>
                <c:ptCount val="1"/>
                <c:pt idx="0">
                  <c:v>%</c:v>
                </c:pt>
              </c:strCache>
            </c:strRef>
          </c:tx>
          <c:spPr>
            <a:effectLst>
              <a:softEdge rad="0"/>
            </a:effectLst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4378-4F5F-8973-1809C55EF17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4378-4F5F-8973-1809C55EF17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4378-4F5F-8973-1809C55EF17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7-4378-4F5F-8973-1809C55EF17F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9-4378-4F5F-8973-1809C55EF17F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B-4378-4F5F-8973-1809C55EF17F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D-4378-4F5F-8973-1809C55EF17F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F-4378-4F5F-8973-1809C55EF17F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11-4378-4F5F-8973-1809C55EF17F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F-4378-4F5F-8973-1809C55EF17F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11-4378-4F5F-8973-1809C55EF17F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17-4C1F-4FBA-8D74-9AD92DA2B96A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18-BE68-4648-9E21-F0C123FEF414}"/>
              </c:ext>
            </c:extLst>
          </c:dPt>
          <c:dLbls>
            <c:dLbl>
              <c:idx val="0"/>
              <c:layout>
                <c:manualLayout>
                  <c:x val="-1.3046980120880947E-2"/>
                  <c:y val="6.685545885711655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48496359266"/>
                      <c:h val="0.14179429325720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4378-4F5F-8973-1809C55EF17F}"/>
                </c:ext>
              </c:extLst>
            </c:dLbl>
            <c:dLbl>
              <c:idx val="1"/>
              <c:layout>
                <c:manualLayout>
                  <c:x val="-3.9141325611910673E-2"/>
                  <c:y val="-5.20127089376985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78-4F5F-8973-1809C55EF17F}"/>
                </c:ext>
              </c:extLst>
            </c:dLbl>
            <c:dLbl>
              <c:idx val="2"/>
              <c:layout>
                <c:manualLayout>
                  <c:x val="1.9570662805955336E-2"/>
                  <c:y val="-0.147199582508326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378-4F5F-8973-1809C55EF17F}"/>
                </c:ext>
              </c:extLst>
            </c:dLbl>
            <c:dLbl>
              <c:idx val="3"/>
              <c:layout>
                <c:manualLayout>
                  <c:x val="7.5020874089495454E-2"/>
                  <c:y val="-0.1231136897361515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378-4F5F-8973-1809C55EF17F}"/>
                </c:ext>
              </c:extLst>
            </c:dLbl>
            <c:dLbl>
              <c:idx val="4"/>
              <c:layout>
                <c:manualLayout>
                  <c:x val="0.19570662805955338"/>
                  <c:y val="-3.63024358797255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378-4F5F-8973-1809C55EF17F}"/>
                </c:ext>
              </c:extLst>
            </c:dLbl>
            <c:dLbl>
              <c:idx val="5"/>
              <c:layout>
                <c:manualLayout>
                  <c:x val="0.25768039361174527"/>
                  <c:y val="5.49858022133198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378-4F5F-8973-1809C55EF17F}"/>
                </c:ext>
              </c:extLst>
            </c:dLbl>
            <c:dLbl>
              <c:idx val="6"/>
              <c:layout>
                <c:manualLayout>
                  <c:x val="0.15004174817899085"/>
                  <c:y val="0.1103765099537996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378-4F5F-8973-1809C55EF17F}"/>
                </c:ext>
              </c:extLst>
            </c:dLbl>
            <c:dLbl>
              <c:idx val="7"/>
              <c:layout>
                <c:manualLayout>
                  <c:x val="6.5235542686517767E-2"/>
                  <c:y val="0.122824515356632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378-4F5F-8973-1809C55EF17F}"/>
                </c:ext>
              </c:extLst>
            </c:dLbl>
            <c:dLbl>
              <c:idx val="8"/>
              <c:layout>
                <c:manualLayout>
                  <c:x val="-1.4949639166152978E-17"/>
                  <c:y val="8.32595048425963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378-4F5F-8973-1809C55EF17F}"/>
                </c:ext>
              </c:extLst>
            </c:dLbl>
            <c:dLbl>
              <c:idx val="9"/>
              <c:layout>
                <c:manualLayout>
                  <c:x val="3.2617771343258894E-3"/>
                  <c:y val="4.187809857101124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378-4F5F-8973-1809C55EF17F}"/>
                </c:ext>
              </c:extLst>
            </c:dLbl>
            <c:dLbl>
              <c:idx val="10"/>
              <c:layout>
                <c:manualLayout>
                  <c:x val="-6.5235542686517944E-3"/>
                  <c:y val="-7.89559638378535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378-4F5F-8973-1809C55EF17F}"/>
                </c:ext>
              </c:extLst>
            </c:dLbl>
            <c:dLbl>
              <c:idx val="11"/>
              <c:layout>
                <c:manualLayout>
                  <c:x val="8.4806205492473127E-2"/>
                  <c:y val="-0.154013599177295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C1F-4FBA-8D74-9AD92DA2B96A}"/>
                </c:ext>
              </c:extLst>
            </c:dLbl>
            <c:dLbl>
              <c:idx val="12"/>
              <c:layout>
                <c:manualLayout>
                  <c:x val="0.13699463964168737"/>
                  <c:y val="-3.53191815935288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E68-4648-9E21-F0C123FEF41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'Figura 6'!$A$46:$A$58</c:f>
              <c:strCache>
                <c:ptCount val="13"/>
                <c:pt idx="0">
                  <c:v>Maşini şi aparate electrice </c:v>
                </c:pt>
                <c:pt idx="1">
                  <c:v>Petrol, produse petroliere</c:v>
                </c:pt>
                <c:pt idx="2">
                  <c:v>Cereale şi preparate pe bază de cereale</c:v>
                </c:pt>
                <c:pt idx="3">
                  <c:v>Grăsimi şi uleiuri vegetale </c:v>
                </c:pt>
                <c:pt idx="4">
                  <c:v>Legume şi fructe</c:v>
                </c:pt>
                <c:pt idx="5">
                  <c:v>Îmbrăcăminte şi accesorii</c:v>
                </c:pt>
                <c:pt idx="6">
                  <c:v>Băuturi alcoolice şi nealcoolice</c:v>
                </c:pt>
                <c:pt idx="7">
                  <c:v>Seminţe şi fructe oleaginoase</c:v>
                </c:pt>
                <c:pt idx="8">
                  <c:v>Mobilă şi părţile ei</c:v>
                </c:pt>
                <c:pt idx="9">
                  <c:v>Articole din minerale nemetalice</c:v>
                </c:pt>
                <c:pt idx="10">
                  <c:v>Vehicule rutiere </c:v>
                </c:pt>
                <c:pt idx="11">
                  <c:v>Fire, tesături, articole textile </c:v>
                </c:pt>
                <c:pt idx="12">
                  <c:v>Alte mărfuri</c:v>
                </c:pt>
              </c:strCache>
            </c:strRef>
          </c:cat>
          <c:val>
            <c:numRef>
              <c:f>'Figura 6'!$B$46:$B$58</c:f>
              <c:numCache>
                <c:formatCode>0.0</c:formatCode>
                <c:ptCount val="13"/>
                <c:pt idx="0">
                  <c:v>15.3</c:v>
                </c:pt>
                <c:pt idx="1">
                  <c:v>13.1</c:v>
                </c:pt>
                <c:pt idx="2">
                  <c:v>9.6999999999999993</c:v>
                </c:pt>
                <c:pt idx="3">
                  <c:v>8</c:v>
                </c:pt>
                <c:pt idx="4">
                  <c:v>7.6</c:v>
                </c:pt>
                <c:pt idx="5">
                  <c:v>6.9</c:v>
                </c:pt>
                <c:pt idx="6">
                  <c:v>4.8</c:v>
                </c:pt>
                <c:pt idx="7">
                  <c:v>4.4000000000000004</c:v>
                </c:pt>
                <c:pt idx="8">
                  <c:v>3.5</c:v>
                </c:pt>
                <c:pt idx="9">
                  <c:v>2.9</c:v>
                </c:pt>
                <c:pt idx="10">
                  <c:v>2.1</c:v>
                </c:pt>
                <c:pt idx="11">
                  <c:v>2.1</c:v>
                </c:pt>
                <c:pt idx="12" formatCode="#,##0.0">
                  <c:v>19.600000000000001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378-4F5F-8973-1809C55EF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Ianuarie - </a:t>
            </a:r>
            <a:r>
              <a:rPr lang="en-US" sz="9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mai</a:t>
            </a:r>
            <a:r>
              <a:rPr lang="ro-RO" sz="9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2022</a:t>
            </a:r>
            <a:endParaRPr lang="en-US" sz="9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206091097678061"/>
          <c:y val="9.075430788542735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415791990763214"/>
          <c:y val="0.10784875031584466"/>
          <c:w val="0.55947082473274778"/>
          <c:h val="0.7274913612149243"/>
        </c:manualLayout>
      </c:layout>
      <c:pieChart>
        <c:varyColors val="1"/>
        <c:ser>
          <c:idx val="0"/>
          <c:order val="0"/>
          <c:tx>
            <c:strRef>
              <c:f>'Figura 6'!$B$30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explosion val="1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213-4F53-9AAE-2AE28035AC4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213-4F53-9AAE-2AE28035AC4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213-4F53-9AAE-2AE28035AC44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213-4F53-9AAE-2AE28035AC44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213-4F53-9AAE-2AE28035AC44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213-4F53-9AAE-2AE28035AC44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213-4F53-9AAE-2AE28035AC44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213-4F53-9AAE-2AE28035AC44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6213-4F53-9AAE-2AE28035AC44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6213-4F53-9AAE-2AE28035AC44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6213-4F53-9AAE-2AE28035AC44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6213-4F53-9AAE-2AE28035AC44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6213-4F53-9AAE-2AE28035AC44}"/>
              </c:ext>
            </c:extLst>
          </c:dPt>
          <c:dLbls>
            <c:dLbl>
              <c:idx val="0"/>
              <c:layout>
                <c:manualLayout>
                  <c:x val="6.5521372186570243E-3"/>
                  <c:y val="8.57700178782000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86888760829512"/>
                      <c:h val="0.1550878621244758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213-4F53-9AAE-2AE28035AC44}"/>
                </c:ext>
              </c:extLst>
            </c:dLbl>
            <c:dLbl>
              <c:idx val="1"/>
              <c:layout>
                <c:manualLayout>
                  <c:x val="2.9484037089525711E-2"/>
                  <c:y val="6.23781867901296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13-4F53-9AAE-2AE28035AC44}"/>
                </c:ext>
              </c:extLst>
            </c:dLbl>
            <c:dLbl>
              <c:idx val="2"/>
              <c:layout>
                <c:manualLayout>
                  <c:x val="-1.6380020605292062E-2"/>
                  <c:y val="-1.16959100231493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763314119268217"/>
                      <c:h val="0.1909360018443325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213-4F53-9AAE-2AE28035AC44}"/>
                </c:ext>
              </c:extLst>
            </c:dLbl>
            <c:dLbl>
              <c:idx val="3"/>
              <c:layout>
                <c:manualLayout>
                  <c:x val="6.8796086542226548E-2"/>
                  <c:y val="-0.1130604635571099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213-4F53-9AAE-2AE28035AC44}"/>
                </c:ext>
              </c:extLst>
            </c:dLbl>
            <c:dLbl>
              <c:idx val="4"/>
              <c:layout>
                <c:manualLayout>
                  <c:x val="0.20966426374773839"/>
                  <c:y val="-4.67836400925972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213-4F53-9AAE-2AE28035AC44}"/>
                </c:ext>
              </c:extLst>
            </c:dLbl>
            <c:dLbl>
              <c:idx val="5"/>
              <c:layout>
                <c:manualLayout>
                  <c:x val="0.29531861590631558"/>
                  <c:y val="5.06822767669801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844394447405174"/>
                      <c:h val="0.119240029384073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6213-4F53-9AAE-2AE28035AC44}"/>
                </c:ext>
              </c:extLst>
            </c:dLbl>
            <c:dLbl>
              <c:idx val="6"/>
              <c:layout>
                <c:manualLayout>
                  <c:x val="0.19428252156358775"/>
                  <c:y val="0.100059891654737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213-4F53-9AAE-2AE28035AC44}"/>
                </c:ext>
              </c:extLst>
            </c:dLbl>
            <c:dLbl>
              <c:idx val="7"/>
              <c:layout>
                <c:manualLayout>
                  <c:x val="0.11466014423704443"/>
                  <c:y val="0.18894067288013167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067162727637145"/>
                      <c:h val="0.1891667521991921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6213-4F53-9AAE-2AE28035AC44}"/>
                </c:ext>
              </c:extLst>
            </c:dLbl>
            <c:dLbl>
              <c:idx val="8"/>
              <c:layout>
                <c:manualLayout>
                  <c:x val="4.258805357375936E-2"/>
                  <c:y val="0.250957698564165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213-4F53-9AAE-2AE28035AC44}"/>
                </c:ext>
              </c:extLst>
            </c:dLbl>
            <c:dLbl>
              <c:idx val="9"/>
              <c:layout>
                <c:manualLayout>
                  <c:x val="3.2760041210584123E-3"/>
                  <c:y val="0.159844103649707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213-4F53-9AAE-2AE28035AC44}"/>
                </c:ext>
              </c:extLst>
            </c:dLbl>
            <c:dLbl>
              <c:idx val="10"/>
              <c:layout>
                <c:manualLayout>
                  <c:x val="-2.6208032968467299E-2"/>
                  <c:y val="5.06822767669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213-4F53-9AAE-2AE28035AC44}"/>
                </c:ext>
              </c:extLst>
            </c:dLbl>
            <c:dLbl>
              <c:idx val="11"/>
              <c:layout>
                <c:manualLayout>
                  <c:x val="1.9656024726350474E-2"/>
                  <c:y val="-3.89863667438310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213-4F53-9AAE-2AE28035AC44}"/>
                </c:ext>
              </c:extLst>
            </c:dLbl>
            <c:dLbl>
              <c:idx val="12"/>
              <c:layout>
                <c:manualLayout>
                  <c:x val="3.2760041210584123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213-4F53-9AAE-2AE28035AC4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'Figura 6'!$A$31:$A$43</c:f>
              <c:strCache>
                <c:ptCount val="13"/>
                <c:pt idx="0">
                  <c:v>Maşini şi aparate electrice </c:v>
                </c:pt>
                <c:pt idx="1">
                  <c:v>Petrol, produse petroliere</c:v>
                </c:pt>
                <c:pt idx="2">
                  <c:v>Cereale şi preparate pe bază de cereale</c:v>
                </c:pt>
                <c:pt idx="3">
                  <c:v>Grăsimi şi uleiuri vegetale </c:v>
                </c:pt>
                <c:pt idx="4">
                  <c:v>Legume şi fructe</c:v>
                </c:pt>
                <c:pt idx="5">
                  <c:v>Îmbrăcăminte şi accesorii</c:v>
                </c:pt>
                <c:pt idx="6">
                  <c:v>Băuturi alcoolice şi nealcoolice</c:v>
                </c:pt>
                <c:pt idx="7">
                  <c:v>Seminţe şi fructe oleaginoase</c:v>
                </c:pt>
                <c:pt idx="8">
                  <c:v>Mobilă şi părţile ei</c:v>
                </c:pt>
                <c:pt idx="9">
                  <c:v>Articole din minerale nemetalice</c:v>
                </c:pt>
                <c:pt idx="10">
                  <c:v>Vehicule rutiere </c:v>
                </c:pt>
                <c:pt idx="11">
                  <c:v>Fire, tesături, articole textile </c:v>
                </c:pt>
                <c:pt idx="12">
                  <c:v>Alte mărfuri</c:v>
                </c:pt>
              </c:strCache>
            </c:strRef>
          </c:cat>
          <c:val>
            <c:numRef>
              <c:f>'Figura 6'!$B$31:$B$43</c:f>
              <c:numCache>
                <c:formatCode>0.0</c:formatCode>
                <c:ptCount val="13"/>
                <c:pt idx="0">
                  <c:v>12.2</c:v>
                </c:pt>
                <c:pt idx="1">
                  <c:v>6.5</c:v>
                </c:pt>
                <c:pt idx="2">
                  <c:v>16.3</c:v>
                </c:pt>
                <c:pt idx="3">
                  <c:v>9.8000000000000007</c:v>
                </c:pt>
                <c:pt idx="4">
                  <c:v>8.1999999999999993</c:v>
                </c:pt>
                <c:pt idx="5">
                  <c:v>6.4</c:v>
                </c:pt>
                <c:pt idx="6">
                  <c:v>3.2</c:v>
                </c:pt>
                <c:pt idx="7">
                  <c:v>11.8</c:v>
                </c:pt>
                <c:pt idx="8">
                  <c:v>3.4</c:v>
                </c:pt>
                <c:pt idx="9">
                  <c:v>1.9</c:v>
                </c:pt>
                <c:pt idx="10">
                  <c:v>2.1</c:v>
                </c:pt>
                <c:pt idx="11">
                  <c:v>2.1</c:v>
                </c:pt>
                <c:pt idx="12" formatCode="#,##0.0">
                  <c:v>16.100000000000001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6213-4F53-9AAE-2AE28035A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315800362667183E-2"/>
          <c:y val="8.2824526452265762E-2"/>
          <c:w val="0.94068416183226722"/>
          <c:h val="0.711200158199403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'Figura 7'!$B$22</c:f>
              <c:strCache>
                <c:ptCount val="1"/>
                <c:pt idx="0">
                  <c:v>Ianuarie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7'!$B$23:$B$28</c:f>
              <c:numCache>
                <c:formatCode>#,##0.0</c:formatCode>
                <c:ptCount val="6"/>
                <c:pt idx="0">
                  <c:v>374.3</c:v>
                </c:pt>
                <c:pt idx="1">
                  <c:v>372.6</c:v>
                </c:pt>
                <c:pt idx="2">
                  <c:v>379.8</c:v>
                </c:pt>
                <c:pt idx="3">
                  <c:v>399.4</c:v>
                </c:pt>
                <c:pt idx="4">
                  <c:v>621.70000000000005</c:v>
                </c:pt>
                <c:pt idx="5">
                  <c:v>733.3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85-4F6B-A686-03D9A8D64A69}"/>
            </c:ext>
          </c:extLst>
        </c:ser>
        <c:ser>
          <c:idx val="2"/>
          <c:order val="1"/>
          <c:tx>
            <c:strRef>
              <c:f>'Figura 7'!$C$22</c:f>
              <c:strCache>
                <c:ptCount val="1"/>
                <c:pt idx="0">
                  <c:v>Februarie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7'!$C$23:$C$28</c:f>
              <c:numCache>
                <c:formatCode>#,##0.0</c:formatCode>
                <c:ptCount val="6"/>
                <c:pt idx="0">
                  <c:v>427.6</c:v>
                </c:pt>
                <c:pt idx="1">
                  <c:v>459.3</c:v>
                </c:pt>
                <c:pt idx="2">
                  <c:v>484.8</c:v>
                </c:pt>
                <c:pt idx="3">
                  <c:v>521.4</c:v>
                </c:pt>
                <c:pt idx="4">
                  <c:v>669.1</c:v>
                </c:pt>
                <c:pt idx="5">
                  <c:v>752.5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85-4F6B-A686-03D9A8D64A69}"/>
            </c:ext>
          </c:extLst>
        </c:ser>
        <c:ser>
          <c:idx val="3"/>
          <c:order val="2"/>
          <c:tx>
            <c:strRef>
              <c:f>'Figura 7'!$D$22</c:f>
              <c:strCache>
                <c:ptCount val="1"/>
                <c:pt idx="0">
                  <c:v>Martie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7'!$D$23:$D$28</c:f>
              <c:numCache>
                <c:formatCode>#,##0.0</c:formatCode>
                <c:ptCount val="6"/>
                <c:pt idx="0">
                  <c:v>524.1</c:v>
                </c:pt>
                <c:pt idx="1">
                  <c:v>533.79999999999995</c:v>
                </c:pt>
                <c:pt idx="2">
                  <c:v>500.5</c:v>
                </c:pt>
                <c:pt idx="3">
                  <c:v>630.1</c:v>
                </c:pt>
                <c:pt idx="4">
                  <c:v>748.3</c:v>
                </c:pt>
                <c:pt idx="5">
                  <c:v>821.2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85-4F6B-A686-03D9A8D64A69}"/>
            </c:ext>
          </c:extLst>
        </c:ser>
        <c:ser>
          <c:idx val="4"/>
          <c:order val="3"/>
          <c:tx>
            <c:strRef>
              <c:f>'Figura 7'!$E$22</c:f>
              <c:strCache>
                <c:ptCount val="1"/>
                <c:pt idx="0">
                  <c:v>Aprilie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7'!$E$23:$E$28</c:f>
              <c:numCache>
                <c:formatCode>#,##0.0</c:formatCode>
                <c:ptCount val="6"/>
                <c:pt idx="0">
                  <c:v>444.6</c:v>
                </c:pt>
                <c:pt idx="1">
                  <c:v>515.6</c:v>
                </c:pt>
                <c:pt idx="2">
                  <c:v>285.60000000000002</c:v>
                </c:pt>
                <c:pt idx="3">
                  <c:v>562.20000000000005</c:v>
                </c:pt>
                <c:pt idx="4">
                  <c:v>770.4</c:v>
                </c:pt>
                <c:pt idx="5">
                  <c:v>690.5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85-4F6B-A686-03D9A8D64A69}"/>
            </c:ext>
          </c:extLst>
        </c:ser>
        <c:ser>
          <c:idx val="5"/>
          <c:order val="4"/>
          <c:tx>
            <c:strRef>
              <c:f>'Figura 7'!$F$22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7'!$F$23:$F$28</c:f>
              <c:numCache>
                <c:formatCode>#,##0.0</c:formatCode>
                <c:ptCount val="6"/>
                <c:pt idx="0">
                  <c:v>505.6</c:v>
                </c:pt>
                <c:pt idx="1">
                  <c:v>481.6</c:v>
                </c:pt>
                <c:pt idx="2">
                  <c:v>329.4</c:v>
                </c:pt>
                <c:pt idx="3">
                  <c:v>563.4</c:v>
                </c:pt>
                <c:pt idx="4">
                  <c:v>772.7</c:v>
                </c:pt>
                <c:pt idx="5">
                  <c:v>709.1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85-4F6B-A686-03D9A8D64A69}"/>
            </c:ext>
          </c:extLst>
        </c:ser>
        <c:ser>
          <c:idx val="6"/>
          <c:order val="5"/>
          <c:tx>
            <c:strRef>
              <c:f>'Figura 7'!$G$22</c:f>
              <c:strCache>
                <c:ptCount val="1"/>
                <c:pt idx="0">
                  <c:v>Iunie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7'!$G$23:$G$28</c:f>
              <c:numCache>
                <c:formatCode>#,##0.0</c:formatCode>
                <c:ptCount val="6"/>
                <c:pt idx="0">
                  <c:v>458.7</c:v>
                </c:pt>
                <c:pt idx="1">
                  <c:v>445.4</c:v>
                </c:pt>
                <c:pt idx="2">
                  <c:v>413.5</c:v>
                </c:pt>
                <c:pt idx="3">
                  <c:v>589.6</c:v>
                </c:pt>
                <c:pt idx="4">
                  <c:v>768.4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385-4F6B-A686-03D9A8D64A69}"/>
            </c:ext>
          </c:extLst>
        </c:ser>
        <c:ser>
          <c:idx val="7"/>
          <c:order val="6"/>
          <c:tx>
            <c:strRef>
              <c:f>'Figura 7'!$H$22</c:f>
              <c:strCache>
                <c:ptCount val="1"/>
                <c:pt idx="0">
                  <c:v>Iulie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7'!$H$23:$H$28</c:f>
              <c:numCache>
                <c:formatCode>#,##0.0</c:formatCode>
                <c:ptCount val="6"/>
                <c:pt idx="0">
                  <c:v>488</c:v>
                </c:pt>
                <c:pt idx="1">
                  <c:v>499.1</c:v>
                </c:pt>
                <c:pt idx="2">
                  <c:v>496.6</c:v>
                </c:pt>
                <c:pt idx="3">
                  <c:v>562</c:v>
                </c:pt>
                <c:pt idx="4">
                  <c:v>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385-4F6B-A686-03D9A8D64A69}"/>
            </c:ext>
          </c:extLst>
        </c:ser>
        <c:ser>
          <c:idx val="8"/>
          <c:order val="7"/>
          <c:tx>
            <c:strRef>
              <c:f>'Figura 7'!$I$22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7'!$I$23:$I$28</c:f>
              <c:numCache>
                <c:formatCode>#,##0.0</c:formatCode>
                <c:ptCount val="6"/>
                <c:pt idx="0">
                  <c:v>480.7</c:v>
                </c:pt>
                <c:pt idx="1">
                  <c:v>464.3</c:v>
                </c:pt>
                <c:pt idx="2">
                  <c:v>433.6</c:v>
                </c:pt>
                <c:pt idx="3">
                  <c:v>574.9</c:v>
                </c:pt>
                <c:pt idx="4">
                  <c:v>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85-4F6B-A686-03D9A8D64A69}"/>
            </c:ext>
          </c:extLst>
        </c:ser>
        <c:ser>
          <c:idx val="9"/>
          <c:order val="8"/>
          <c:tx>
            <c:strRef>
              <c:f>'Figura 7'!$J$22</c:f>
              <c:strCache>
                <c:ptCount val="1"/>
                <c:pt idx="0">
                  <c:v>Septembrie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7'!$J$23:$J$28</c:f>
              <c:numCache>
                <c:formatCode>#,##0.0</c:formatCode>
                <c:ptCount val="6"/>
                <c:pt idx="0">
                  <c:v>474</c:v>
                </c:pt>
                <c:pt idx="1">
                  <c:v>501.7</c:v>
                </c:pt>
                <c:pt idx="2">
                  <c:v>508.3</c:v>
                </c:pt>
                <c:pt idx="3">
                  <c:v>671.2</c:v>
                </c:pt>
                <c:pt idx="4">
                  <c:v>844.1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385-4F6B-A686-03D9A8D64A69}"/>
            </c:ext>
          </c:extLst>
        </c:ser>
        <c:ser>
          <c:idx val="10"/>
          <c:order val="9"/>
          <c:tx>
            <c:strRef>
              <c:f>'Figura 7'!$K$22</c:f>
              <c:strCache>
                <c:ptCount val="1"/>
                <c:pt idx="0">
                  <c:v>Octombrie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7'!$K$23:$K$28</c:f>
              <c:numCache>
                <c:formatCode>#,##0.0</c:formatCode>
                <c:ptCount val="6"/>
                <c:pt idx="0">
                  <c:v>540.6</c:v>
                </c:pt>
                <c:pt idx="1">
                  <c:v>525.29999999999995</c:v>
                </c:pt>
                <c:pt idx="2">
                  <c:v>493.6</c:v>
                </c:pt>
                <c:pt idx="3">
                  <c:v>646.79999999999995</c:v>
                </c:pt>
                <c:pt idx="4">
                  <c:v>751.2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85-4F6B-A686-03D9A8D64A69}"/>
            </c:ext>
          </c:extLst>
        </c:ser>
        <c:ser>
          <c:idx val="11"/>
          <c:order val="10"/>
          <c:tx>
            <c:strRef>
              <c:f>'Figura 7'!$L$22</c:f>
              <c:strCache>
                <c:ptCount val="1"/>
                <c:pt idx="0">
                  <c:v>Noiembrie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7'!$L$23:$L$28</c:f>
              <c:numCache>
                <c:formatCode>#,##0.0</c:formatCode>
                <c:ptCount val="6"/>
                <c:pt idx="0">
                  <c:v>522.6</c:v>
                </c:pt>
                <c:pt idx="1">
                  <c:v>504.1</c:v>
                </c:pt>
                <c:pt idx="2">
                  <c:v>522.9</c:v>
                </c:pt>
                <c:pt idx="3">
                  <c:v>701.5</c:v>
                </c:pt>
                <c:pt idx="4">
                  <c:v>858.3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385-4F6B-A686-03D9A8D64A69}"/>
            </c:ext>
          </c:extLst>
        </c:ser>
        <c:ser>
          <c:idx val="12"/>
          <c:order val="11"/>
          <c:tx>
            <c:strRef>
              <c:f>'Figura 7'!$M$22</c:f>
              <c:strCache>
                <c:ptCount val="1"/>
                <c:pt idx="0">
                  <c:v>Decembrie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7'!$M$23:$M$28</c:f>
              <c:numCache>
                <c:formatCode>#,##0.0</c:formatCode>
                <c:ptCount val="6"/>
                <c:pt idx="0">
                  <c:v>519.29999999999995</c:v>
                </c:pt>
                <c:pt idx="1">
                  <c:v>539.70000000000005</c:v>
                </c:pt>
                <c:pt idx="2">
                  <c:v>567.29999999999995</c:v>
                </c:pt>
                <c:pt idx="3">
                  <c:v>754.2</c:v>
                </c:pt>
                <c:pt idx="4">
                  <c:v>873.8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CF-4049-8950-86FE86034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64887552"/>
        <c:axId val="156078016"/>
      </c:barChart>
      <c:catAx>
        <c:axId val="164887552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6078016"/>
        <c:crosses val="autoZero"/>
        <c:auto val="0"/>
        <c:lblAlgn val="ctr"/>
        <c:lblOffset val="100"/>
        <c:tickLblSkip val="1"/>
        <c:noMultiLvlLbl val="0"/>
      </c:catAx>
      <c:valAx>
        <c:axId val="156078016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4887552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0322762736849671"/>
          <c:w val="1"/>
          <c:h val="7.8507415488726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57932448224996E-2"/>
          <c:y val="5.4497403713046011E-2"/>
          <c:w val="0.92549986359231973"/>
          <c:h val="0.72637556698672245"/>
        </c:manualLayout>
      </c:layout>
      <c:lineChart>
        <c:grouping val="standard"/>
        <c:varyColors val="0"/>
        <c:ser>
          <c:idx val="0"/>
          <c:order val="0"/>
          <c:tx>
            <c:strRef>
              <c:f>'Figura 8'!$A$25</c:f>
              <c:strCache>
                <c:ptCount val="1"/>
                <c:pt idx="0">
                  <c:v>În % faţă de luna precedentă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8026992920953038E-2"/>
                  <c:y val="3.65867170785888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B6-4474-912E-EE374058F04A}"/>
                </c:ext>
              </c:extLst>
            </c:dLbl>
            <c:dLbl>
              <c:idx val="1"/>
              <c:layout>
                <c:manualLayout>
                  <c:x val="-2.5920869518839741E-2"/>
                  <c:y val="-3.3577664271918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B6-4474-912E-EE374058F04A}"/>
                </c:ext>
              </c:extLst>
            </c:dLbl>
            <c:dLbl>
              <c:idx val="2"/>
              <c:layout>
                <c:manualLayout>
                  <c:x val="-2.7600746048223046E-2"/>
                  <c:y val="3.5658250392589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B6-4474-912E-EE374058F04A}"/>
                </c:ext>
              </c:extLst>
            </c:dLbl>
            <c:dLbl>
              <c:idx val="3"/>
              <c:layout>
                <c:manualLayout>
                  <c:x val="-1.9572486356910244E-2"/>
                  <c:y val="3.38994643277285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B6-4474-912E-EE374058F04A}"/>
                </c:ext>
              </c:extLst>
            </c:dLbl>
            <c:dLbl>
              <c:idx val="4"/>
              <c:layout>
                <c:manualLayout>
                  <c:x val="-3.1744157714715712E-2"/>
                  <c:y val="-3.24217830937672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9B6-4474-912E-EE374058F04A}"/>
                </c:ext>
              </c:extLst>
            </c:dLbl>
            <c:dLbl>
              <c:idx val="5"/>
              <c:layout>
                <c:manualLayout>
                  <c:x val="-2.7229845388010401E-2"/>
                  <c:y val="-3.4658310580484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9B6-4474-912E-EE374058F04A}"/>
                </c:ext>
              </c:extLst>
            </c:dLbl>
            <c:dLbl>
              <c:idx val="6"/>
              <c:layout>
                <c:manualLayout>
                  <c:x val="-2.138142250432562E-2"/>
                  <c:y val="3.58542030301868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9B6-4474-912E-EE374058F04A}"/>
                </c:ext>
              </c:extLst>
            </c:dLbl>
            <c:dLbl>
              <c:idx val="7"/>
              <c:layout>
                <c:manualLayout>
                  <c:x val="-1.8666396603961483E-2"/>
                  <c:y val="3.12727414492150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9B6-4474-912E-EE374058F04A}"/>
                </c:ext>
              </c:extLst>
            </c:dLbl>
            <c:dLbl>
              <c:idx val="8"/>
              <c:layout>
                <c:manualLayout>
                  <c:x val="-2.9729051201149798E-2"/>
                  <c:y val="-2.3720186473044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9B6-4474-912E-EE374058F04A}"/>
                </c:ext>
              </c:extLst>
            </c:dLbl>
            <c:dLbl>
              <c:idx val="9"/>
              <c:layout>
                <c:manualLayout>
                  <c:x val="-1.8672168312981918E-2"/>
                  <c:y val="3.5341828328241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9B6-4474-912E-EE374058F04A}"/>
                </c:ext>
              </c:extLst>
            </c:dLbl>
            <c:dLbl>
              <c:idx val="10"/>
              <c:layout>
                <c:manualLayout>
                  <c:x val="-2.7665337367494162E-2"/>
                  <c:y val="-2.98126720142700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1309466480373265E-2"/>
                      <c:h val="4.70874421454415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7DC5-4341-8624-B7AE9C654835}"/>
                </c:ext>
              </c:extLst>
            </c:dLbl>
            <c:dLbl>
              <c:idx val="11"/>
              <c:layout>
                <c:manualLayout>
                  <c:x val="-1.8706219862052127E-2"/>
                  <c:y val="-2.803695810375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DC5-4341-8624-B7AE9C654835}"/>
                </c:ext>
              </c:extLst>
            </c:dLbl>
            <c:dLbl>
              <c:idx val="12"/>
              <c:layout>
                <c:manualLayout>
                  <c:x val="-1.9626356994764723E-2"/>
                  <c:y val="3.12727414492150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DC5-4341-8624-B7AE9C654835}"/>
                </c:ext>
              </c:extLst>
            </c:dLbl>
            <c:dLbl>
              <c:idx val="13"/>
              <c:layout>
                <c:manualLayout>
                  <c:x val="-4.0782640542025329E-2"/>
                  <c:y val="-2.97290587160281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DC5-4341-8624-B7AE9C654835}"/>
                </c:ext>
              </c:extLst>
            </c:dLbl>
            <c:dLbl>
              <c:idx val="14"/>
              <c:layout>
                <c:manualLayout>
                  <c:x val="-2.6432142515675553E-2"/>
                  <c:y val="2.7806807798162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DC5-4341-8624-B7AE9C654835}"/>
                </c:ext>
              </c:extLst>
            </c:dLbl>
            <c:dLbl>
              <c:idx val="15"/>
              <c:layout>
                <c:manualLayout>
                  <c:x val="-1.8748214612708296E-2"/>
                  <c:y val="-2.4310438222596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DC5-4341-8624-B7AE9C654835}"/>
                </c:ext>
              </c:extLst>
            </c:dLbl>
            <c:dLbl>
              <c:idx val="16"/>
              <c:layout>
                <c:manualLayout>
                  <c:x val="-2.6679928816183522E-2"/>
                  <c:y val="3.86650803508407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6687652789382035E-2"/>
                      <c:h val="6.599363376212648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7DC5-4341-8624-B7AE9C654835}"/>
                </c:ext>
              </c:extLst>
            </c:dLbl>
            <c:dLbl>
              <c:idx val="17"/>
              <c:layout>
                <c:manualLayout>
                  <c:x val="-1.7499355280314478E-2"/>
                  <c:y val="4.08361193033524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DC5-4341-8624-B7AE9C654835}"/>
                </c:ext>
              </c:extLst>
            </c:dLbl>
            <c:dLbl>
              <c:idx val="18"/>
              <c:layout>
                <c:manualLayout>
                  <c:x val="-1.7315802622204654E-2"/>
                  <c:y val="3.2149911633225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DC5-4341-8624-B7AE9C654835}"/>
                </c:ext>
              </c:extLst>
            </c:dLbl>
            <c:dLbl>
              <c:idx val="19"/>
              <c:layout>
                <c:manualLayout>
                  <c:x val="-1.7737155845873067E-2"/>
                  <c:y val="3.6493015468289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DC5-4341-8624-B7AE9C654835}"/>
                </c:ext>
              </c:extLst>
            </c:dLbl>
            <c:dLbl>
              <c:idx val="20"/>
              <c:layout>
                <c:manualLayout>
                  <c:x val="-3.1066550764755691E-2"/>
                  <c:y val="-2.8653542057660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DC5-4341-8624-B7AE9C654835}"/>
                </c:ext>
              </c:extLst>
            </c:dLbl>
            <c:dLbl>
              <c:idx val="21"/>
              <c:layout>
                <c:manualLayout>
                  <c:x val="-1.8843994865605302E-2"/>
                  <c:y val="4.08361193033523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DC5-4341-8624-B7AE9C654835}"/>
                </c:ext>
              </c:extLst>
            </c:dLbl>
            <c:dLbl>
              <c:idx val="22"/>
              <c:layout>
                <c:manualLayout>
                  <c:x val="-2.4304770364339121E-2"/>
                  <c:y val="4.95223269734790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DC5-4341-8624-B7AE9C654835}"/>
                </c:ext>
              </c:extLst>
            </c:dLbl>
            <c:dLbl>
              <c:idx val="23"/>
              <c:layout>
                <c:manualLayout>
                  <c:x val="-7.0701444340610159E-3"/>
                  <c:y val="-6.938022882343607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DC5-4341-8624-B7AE9C654835}"/>
                </c:ext>
              </c:extLst>
            </c:dLbl>
            <c:dLbl>
              <c:idx val="24"/>
              <c:layout>
                <c:manualLayout>
                  <c:x val="-2.0148150028407117E-2"/>
                  <c:y val="3.6493015468289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DC5-4341-8624-B7AE9C654835}"/>
                </c:ext>
              </c:extLst>
            </c:dLbl>
            <c:dLbl>
              <c:idx val="25"/>
              <c:layout>
                <c:manualLayout>
                  <c:x val="-2.576356713127444E-2"/>
                  <c:y val="4.08361193033524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DC5-4341-8624-B7AE9C654835}"/>
                </c:ext>
              </c:extLst>
            </c:dLbl>
            <c:dLbl>
              <c:idx val="26"/>
              <c:layout>
                <c:manualLayout>
                  <c:x val="-3.1271129060370932E-2"/>
                  <c:y val="4.08361193033524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85-4BB1-AA39-4F2259CD6BED}"/>
                </c:ext>
              </c:extLst>
            </c:dLbl>
            <c:dLbl>
              <c:idx val="27"/>
              <c:layout>
                <c:manualLayout>
                  <c:x val="-2.0109837594739482E-2"/>
                  <c:y val="3.6493015468289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4321494994148508E-2"/>
                      <c:h val="8.770915293744288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BCA9-42EF-9314-3F5807FA0A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8'!$B$23:$AD$24</c:f>
              <c:multiLvlStrCache>
                <c:ptCount val="2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  <c:pt idx="24">
                    <c:v>2023</c:v>
                  </c:pt>
                </c:lvl>
              </c:multiLvlStrCache>
            </c:multiLvlStrRef>
          </c:cat>
          <c:val>
            <c:numRef>
              <c:f>'Figura 8'!$B$25:$AD$25</c:f>
              <c:numCache>
                <c:formatCode>#,##0.0</c:formatCode>
                <c:ptCount val="29"/>
                <c:pt idx="0">
                  <c:v>70.397914008513311</c:v>
                </c:pt>
                <c:pt idx="1">
                  <c:v>130.56565598353049</c:v>
                </c:pt>
                <c:pt idx="2">
                  <c:v>120.83026196604835</c:v>
                </c:pt>
                <c:pt idx="3">
                  <c:v>89.231037795592442</c:v>
                </c:pt>
                <c:pt idx="4">
                  <c:v>100.2114807539604</c:v>
                </c:pt>
                <c:pt idx="5">
                  <c:v>104.66057637383682</c:v>
                </c:pt>
                <c:pt idx="6">
                  <c:v>95.30942393156748</c:v>
                </c:pt>
                <c:pt idx="7">
                  <c:v>102.30310816744974</c:v>
                </c:pt>
                <c:pt idx="8">
                  <c:v>116.7433114933096</c:v>
                </c:pt>
                <c:pt idx="9">
                  <c:v>96.368466717330918</c:v>
                </c:pt>
                <c:pt idx="10">
                  <c:v>108.45193596997535</c:v>
                </c:pt>
                <c:pt idx="11">
                  <c:v>107.60757399325725</c:v>
                </c:pt>
                <c:pt idx="12">
                  <c:v>82.42810256467493</c:v>
                </c:pt>
                <c:pt idx="13">
                  <c:v>107.62832847463979</c:v>
                </c:pt>
                <c:pt idx="14">
                  <c:v>111.83649823538117</c:v>
                </c:pt>
                <c:pt idx="15">
                  <c:v>102.95945766976527</c:v>
                </c:pt>
                <c:pt idx="16">
                  <c:v>100.28989015201115</c:v>
                </c:pt>
                <c:pt idx="17">
                  <c:v>99.449492493428721</c:v>
                </c:pt>
                <c:pt idx="18">
                  <c:v>99.042771669685536</c:v>
                </c:pt>
                <c:pt idx="19">
                  <c:v>102.48436324688166</c:v>
                </c:pt>
                <c:pt idx="20">
                  <c:v>108.22806008303567</c:v>
                </c:pt>
                <c:pt idx="21" formatCode="0.0">
                  <c:v>88.988673647198652</c:v>
                </c:pt>
                <c:pt idx="22" formatCode="0.0">
                  <c:v>114.26056736134905</c:v>
                </c:pt>
                <c:pt idx="23" formatCode="0.0">
                  <c:v>101.80484196839581</c:v>
                </c:pt>
                <c:pt idx="24" formatCode="0.0">
                  <c:v>83.923113131090105</c:v>
                </c:pt>
                <c:pt idx="25" formatCode="0.0">
                  <c:v>102.61098940878497</c:v>
                </c:pt>
                <c:pt idx="26" formatCode="0.0">
                  <c:v>109.13292087461024</c:v>
                </c:pt>
                <c:pt idx="27" formatCode="0.0">
                  <c:v>84.084330140709312</c:v>
                </c:pt>
                <c:pt idx="28" formatCode="0.0">
                  <c:v>102.74775275231818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7DC5-4341-8624-B7AE9C654835}"/>
            </c:ext>
          </c:extLst>
        </c:ser>
        <c:ser>
          <c:idx val="1"/>
          <c:order val="1"/>
          <c:tx>
            <c:strRef>
              <c:f>'Figura 8'!$A$26</c:f>
              <c:strCache>
                <c:ptCount val="1"/>
                <c:pt idx="0">
                  <c:v>În % faţă de luna corespunzătoare din anul precedent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2109583568934912E-2"/>
                  <c:y val="-3.03948873118445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9B6-4474-912E-EE374058F04A}"/>
                </c:ext>
              </c:extLst>
            </c:dLbl>
            <c:dLbl>
              <c:idx val="1"/>
              <c:layout>
                <c:manualLayout>
                  <c:x val="-1.7371108354220996E-2"/>
                  <c:y val="3.6698201476244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9B6-4474-912E-EE374058F04A}"/>
                </c:ext>
              </c:extLst>
            </c:dLbl>
            <c:dLbl>
              <c:idx val="2"/>
              <c:layout>
                <c:manualLayout>
                  <c:x val="-6.9016774832406664E-3"/>
                  <c:y val="-5.151194729728990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9B6-4474-912E-EE374058F04A}"/>
                </c:ext>
              </c:extLst>
            </c:dLbl>
            <c:dLbl>
              <c:idx val="3"/>
              <c:layout>
                <c:manualLayout>
                  <c:x val="-2.5269654797973405E-2"/>
                  <c:y val="-3.4842636010965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9B6-4474-912E-EE374058F04A}"/>
                </c:ext>
              </c:extLst>
            </c:dLbl>
            <c:dLbl>
              <c:idx val="4"/>
              <c:layout>
                <c:manualLayout>
                  <c:x val="-1.2931502533244489E-2"/>
                  <c:y val="-2.8791700636350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9B6-4474-912E-EE374058F04A}"/>
                </c:ext>
              </c:extLst>
            </c:dLbl>
            <c:dLbl>
              <c:idx val="5"/>
              <c:layout>
                <c:manualLayout>
                  <c:x val="-1.1558008625127699E-2"/>
                  <c:y val="-2.5116135280502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9B6-4474-912E-EE374058F04A}"/>
                </c:ext>
              </c:extLst>
            </c:dLbl>
            <c:dLbl>
              <c:idx val="6"/>
              <c:layout>
                <c:manualLayout>
                  <c:x val="-3.3203964986610178E-2"/>
                  <c:y val="3.0993815047567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560337285425529E-2"/>
                      <c:h val="5.129354098876440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A9B6-4474-912E-EE374058F04A}"/>
                </c:ext>
              </c:extLst>
            </c:dLbl>
            <c:dLbl>
              <c:idx val="7"/>
              <c:layout>
                <c:manualLayout>
                  <c:x val="-2.7485218871730339E-2"/>
                  <c:y val="-3.2255924404003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9B6-4474-912E-EE374058F04A}"/>
                </c:ext>
              </c:extLst>
            </c:dLbl>
            <c:dLbl>
              <c:idx val="8"/>
              <c:layout>
                <c:manualLayout>
                  <c:x val="-2.5129861117536571E-2"/>
                  <c:y val="-3.64359053627415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9B6-4474-912E-EE374058F04A}"/>
                </c:ext>
              </c:extLst>
            </c:dLbl>
            <c:dLbl>
              <c:idx val="9"/>
              <c:layout>
                <c:manualLayout>
                  <c:x val="-2.2712695578152614E-2"/>
                  <c:y val="3.12727414492150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9B6-4474-912E-EE374058F04A}"/>
                </c:ext>
              </c:extLst>
            </c:dLbl>
            <c:dLbl>
              <c:idx val="10"/>
              <c:layout>
                <c:manualLayout>
                  <c:x val="-2.0905443413830903E-2"/>
                  <c:y val="-3.6298772714091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4C-4954-B7BA-1B3D8193EA75}"/>
                </c:ext>
              </c:extLst>
            </c:dLbl>
            <c:dLbl>
              <c:idx val="11"/>
              <c:layout>
                <c:manualLayout>
                  <c:x val="-6.0340929769208329E-3"/>
                  <c:y val="5.625174408106762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7DC5-4341-8624-B7AE9C654835}"/>
                </c:ext>
              </c:extLst>
            </c:dLbl>
            <c:dLbl>
              <c:idx val="12"/>
              <c:layout>
                <c:manualLayout>
                  <c:x val="-2.0865741654092492E-2"/>
                  <c:y val="-3.6161982042120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DC5-4341-8624-B7AE9C654835}"/>
                </c:ext>
              </c:extLst>
            </c:dLbl>
            <c:dLbl>
              <c:idx val="13"/>
              <c:layout>
                <c:manualLayout>
                  <c:x val="-1.9109955556378014E-2"/>
                  <c:y val="-4.0179524077894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7DC5-4341-8624-B7AE9C654835}"/>
                </c:ext>
              </c:extLst>
            </c:dLbl>
            <c:dLbl>
              <c:idx val="14"/>
              <c:layout>
                <c:manualLayout>
                  <c:x val="-3.1485206534847071E-2"/>
                  <c:y val="-3.73397497277866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DC5-4341-8624-B7AE9C654835}"/>
                </c:ext>
              </c:extLst>
            </c:dLbl>
            <c:dLbl>
              <c:idx val="15"/>
              <c:layout>
                <c:manualLayout>
                  <c:x val="-3.0345401889393674E-2"/>
                  <c:y val="-2.8653542057660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7DC5-4341-8624-B7AE9C654835}"/>
                </c:ext>
              </c:extLst>
            </c:dLbl>
            <c:dLbl>
              <c:idx val="16"/>
              <c:layout>
                <c:manualLayout>
                  <c:x val="-2.0413646636984958E-2"/>
                  <c:y val="-2.8653542057660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7DC5-4341-8624-B7AE9C654835}"/>
                </c:ext>
              </c:extLst>
            </c:dLbl>
            <c:dLbl>
              <c:idx val="17"/>
              <c:layout>
                <c:manualLayout>
                  <c:x val="-2.2382124991500659E-2"/>
                  <c:y val="3.6493015468289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7DC5-4341-8624-B7AE9C654835}"/>
                </c:ext>
              </c:extLst>
            </c:dLbl>
            <c:dLbl>
              <c:idx val="18"/>
              <c:layout>
                <c:manualLayout>
                  <c:x val="-2.489991781330364E-2"/>
                  <c:y val="-3.73397497277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7DC5-4341-8624-B7AE9C654835}"/>
                </c:ext>
              </c:extLst>
            </c:dLbl>
            <c:dLbl>
              <c:idx val="19"/>
              <c:layout>
                <c:manualLayout>
                  <c:x val="-2.2429908742846786E-2"/>
                  <c:y val="-3.7339749727786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7DC5-4341-8624-B7AE9C654835}"/>
                </c:ext>
              </c:extLst>
            </c:dLbl>
            <c:dLbl>
              <c:idx val="20"/>
              <c:layout>
                <c:manualLayout>
                  <c:x val="-1.8404621140122125E-2"/>
                  <c:y val="-3.29966458927232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7DC5-4341-8624-B7AE9C654835}"/>
                </c:ext>
              </c:extLst>
            </c:dLbl>
            <c:dLbl>
              <c:idx val="21"/>
              <c:layout>
                <c:manualLayout>
                  <c:x val="-3.0778877720670769E-2"/>
                  <c:y val="3.214956965654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8809557969240976E-2"/>
                      <c:h val="5.296432225693665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E-7DC5-4341-8624-B7AE9C654835}"/>
                </c:ext>
              </c:extLst>
            </c:dLbl>
            <c:dLbl>
              <c:idx val="22"/>
              <c:layout>
                <c:manualLayout>
                  <c:x val="-2.7438338715298775E-2"/>
                  <c:y val="-4.16828535628498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7DC5-4341-8624-B7AE9C654835}"/>
                </c:ext>
              </c:extLst>
            </c:dLbl>
            <c:dLbl>
              <c:idx val="23"/>
              <c:layout>
                <c:manualLayout>
                  <c:x val="-2.5871554539818833E-2"/>
                  <c:y val="-3.7339749727786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7DC5-4341-8624-B7AE9C654835}"/>
                </c:ext>
              </c:extLst>
            </c:dLbl>
            <c:dLbl>
              <c:idx val="24"/>
              <c:layout>
                <c:manualLayout>
                  <c:x val="-2.6016944709173512E-2"/>
                  <c:y val="-3.29968168810632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7390039817290751E-2"/>
                      <c:h val="7.03367375971897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31-7DC5-4341-8624-B7AE9C654835}"/>
                </c:ext>
              </c:extLst>
            </c:dLbl>
            <c:dLbl>
              <c:idx val="25"/>
              <c:layout>
                <c:manualLayout>
                  <c:x val="-2.2766526277238602E-2"/>
                  <c:y val="-4.38544054803814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189916376731978E-2"/>
                      <c:h val="5.730742609199993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32-7DC5-4341-8624-B7AE9C654835}"/>
                </c:ext>
              </c:extLst>
            </c:dLbl>
            <c:dLbl>
              <c:idx val="26"/>
              <c:layout>
                <c:manualLayout>
                  <c:x val="-9.9263487642912568E-3"/>
                  <c:y val="-3.2996645892723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885-4BB1-AA39-4F2259CD6BED}"/>
                </c:ext>
              </c:extLst>
            </c:dLbl>
            <c:dLbl>
              <c:idx val="27"/>
              <c:layout>
                <c:manualLayout>
                  <c:x val="-2.0870124633922568E-2"/>
                  <c:y val="-3.29963039160433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801160338562965E-2"/>
                      <c:h val="6.165052992706320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CA9-42EF-9314-3F5807FA0AAA}"/>
                </c:ext>
              </c:extLst>
            </c:dLbl>
            <c:dLbl>
              <c:idx val="28"/>
              <c:layout>
                <c:manualLayout>
                  <c:x val="-5.0968321493078768E-3"/>
                  <c:y val="4.08361193033523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ED-40F7-A435-2BCA796FB9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8'!$B$23:$AD$24</c:f>
              <c:multiLvlStrCache>
                <c:ptCount val="2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  <c:pt idx="24">
                    <c:v>2023</c:v>
                  </c:pt>
                </c:lvl>
              </c:multiLvlStrCache>
            </c:multiLvlStrRef>
          </c:cat>
          <c:val>
            <c:numRef>
              <c:f>'Figura 8'!$B$26:$AD$26</c:f>
              <c:numCache>
                <c:formatCode>#,##0.0</c:formatCode>
                <c:ptCount val="29"/>
                <c:pt idx="0">
                  <c:v>105.14366410240868</c:v>
                </c:pt>
                <c:pt idx="1">
                  <c:v>107.56077192573727</c:v>
                </c:pt>
                <c:pt idx="2">
                  <c:v>125.88605526903886</c:v>
                </c:pt>
                <c:pt idx="3">
                  <c:v>196.84765533007069</c:v>
                </c:pt>
                <c:pt idx="4">
                  <c:v>171.05720800538208</c:v>
                </c:pt>
                <c:pt idx="5">
                  <c:v>142.58661575531545</c:v>
                </c:pt>
                <c:pt idx="6">
                  <c:v>113.15935709199938</c:v>
                </c:pt>
                <c:pt idx="7">
                  <c:v>132.58828425602752</c:v>
                </c:pt>
                <c:pt idx="8">
                  <c:v>132.03828597207149</c:v>
                </c:pt>
                <c:pt idx="9">
                  <c:v>131.0476458490858</c:v>
                </c:pt>
                <c:pt idx="10">
                  <c:v>134.15801375299989</c:v>
                </c:pt>
                <c:pt idx="11">
                  <c:v>132.94448949123316</c:v>
                </c:pt>
                <c:pt idx="12">
                  <c:v>155.66316373900662</c:v>
                </c:pt>
                <c:pt idx="13">
                  <c:v>128.31679197795137</c:v>
                </c:pt>
                <c:pt idx="14">
                  <c:v>118.765783058918</c:v>
                </c:pt>
                <c:pt idx="15">
                  <c:v>137.03819786880473</c:v>
                </c:pt>
                <c:pt idx="16">
                  <c:v>137.1454219365863</c:v>
                </c:pt>
                <c:pt idx="17">
                  <c:v>130.31690711002199</c:v>
                </c:pt>
                <c:pt idx="18">
                  <c:v>135.42152646798874</c:v>
                </c:pt>
                <c:pt idx="19">
                  <c:v>135.66145895856928</c:v>
                </c:pt>
                <c:pt idx="20">
                  <c:v>125.76631957631956</c:v>
                </c:pt>
                <c:pt idx="21">
                  <c:v>116.13527069403568</c:v>
                </c:pt>
                <c:pt idx="22">
                  <c:v>122.35541764637607</c:v>
                </c:pt>
                <c:pt idx="23">
                  <c:v>115.85939196955289</c:v>
                </c:pt>
                <c:pt idx="24" formatCode="0.0">
                  <c:v>117.96075072735046</c:v>
                </c:pt>
                <c:pt idx="25" formatCode="0.0">
                  <c:v>112.46174232268726</c:v>
                </c:pt>
                <c:pt idx="26" formatCode="0.0">
                  <c:v>109.7430500773655</c:v>
                </c:pt>
                <c:pt idx="27" formatCode="0.0">
                  <c:v>89.624314873050864</c:v>
                </c:pt>
                <c:pt idx="28" formatCode="0.0">
                  <c:v>91.821403773074266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7DC5-4341-8624-B7AE9C65483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4885504"/>
        <c:axId val="156080896"/>
      </c:lineChart>
      <c:catAx>
        <c:axId val="16488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6080896"/>
        <c:crossesAt val="30"/>
        <c:auto val="1"/>
        <c:lblAlgn val="ctr"/>
        <c:lblOffset val="100"/>
        <c:noMultiLvlLbl val="0"/>
      </c:catAx>
      <c:valAx>
        <c:axId val="156080896"/>
        <c:scaling>
          <c:orientation val="minMax"/>
          <c:max val="240"/>
          <c:min val="30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4885504"/>
        <c:crosses val="autoZero"/>
        <c:crossBetween val="between"/>
        <c:majorUnit val="30"/>
        <c:minorUnit val="6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869144291235897E-2"/>
          <c:y val="0.93370396497048047"/>
          <c:w val="0.93252348122114592"/>
          <c:h val="5.44482787109238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4</xdr:row>
      <xdr:rowOff>0</xdr:rowOff>
    </xdr:from>
    <xdr:to>
      <xdr:col>12</xdr:col>
      <xdr:colOff>66675</xdr:colOff>
      <xdr:row>20</xdr:row>
      <xdr:rowOff>61912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3CC9B92-504C-4011-9CA8-37F2F3917B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561975</xdr:colOff>
      <xdr:row>3</xdr:row>
      <xdr:rowOff>85725</xdr:rowOff>
    </xdr:from>
    <xdr:to>
      <xdr:col>3</xdr:col>
      <xdr:colOff>447675</xdr:colOff>
      <xdr:row>5</xdr:row>
      <xdr:rowOff>19050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718070E-8B2C-43A6-859B-DE5692F0ED1D}"/>
            </a:ext>
          </a:extLst>
        </xdr:cNvPr>
        <xdr:cNvSpPr txBox="1"/>
      </xdr:nvSpPr>
      <xdr:spPr>
        <a:xfrm>
          <a:off x="561975" y="581025"/>
          <a:ext cx="2009775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milioane dolari SUA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0.06059</cdr:x>
      <cdr:y>0.00369</cdr:y>
    </cdr:from>
    <cdr:to>
      <cdr:x>0.20897</cdr:x>
      <cdr:y>0.38923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4152" y="9525"/>
          <a:ext cx="891805" cy="995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milioane dolari SUA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123825</xdr:rowOff>
    </xdr:from>
    <xdr:to>
      <xdr:col>20</xdr:col>
      <xdr:colOff>247649</xdr:colOff>
      <xdr:row>21</xdr:row>
      <xdr:rowOff>114301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0.05794</cdr:x>
      <cdr:y>0.00326</cdr:y>
    </cdr:from>
    <cdr:to>
      <cdr:x>0.11287</cdr:x>
      <cdr:y>0.08143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33425" y="9525"/>
          <a:ext cx="695326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2</xdr:row>
      <xdr:rowOff>9525</xdr:rowOff>
    </xdr:from>
    <xdr:to>
      <xdr:col>7</xdr:col>
      <xdr:colOff>0</xdr:colOff>
      <xdr:row>19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57150</xdr:rowOff>
    </xdr:from>
    <xdr:to>
      <xdr:col>6</xdr:col>
      <xdr:colOff>1000124</xdr:colOff>
      <xdr:row>20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0.04545</cdr:x>
      <cdr:y>0</cdr:y>
    </cdr:from>
    <cdr:to>
      <cdr:x>0.21446</cdr:x>
      <cdr:y>0.35688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8384" y="0"/>
          <a:ext cx="1035114" cy="10129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28574</xdr:rowOff>
    </xdr:from>
    <xdr:to>
      <xdr:col>7</xdr:col>
      <xdr:colOff>76200</xdr:colOff>
      <xdr:row>22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2</xdr:row>
      <xdr:rowOff>95251</xdr:rowOff>
    </xdr:from>
    <xdr:to>
      <xdr:col>8</xdr:col>
      <xdr:colOff>66675</xdr:colOff>
      <xdr:row>23</xdr:row>
      <xdr:rowOff>200025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76201</xdr:rowOff>
    </xdr:from>
    <xdr:to>
      <xdr:col>1</xdr:col>
      <xdr:colOff>733424</xdr:colOff>
      <xdr:row>23</xdr:row>
      <xdr:rowOff>200025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BE750AD-0CB5-4061-A52F-83E4C10309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2</xdr:row>
      <xdr:rowOff>19049</xdr:rowOff>
    </xdr:from>
    <xdr:to>
      <xdr:col>13</xdr:col>
      <xdr:colOff>9525</xdr:colOff>
      <xdr:row>20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0.03771</cdr:x>
      <cdr:y>0</cdr:y>
    </cdr:from>
    <cdr:to>
      <cdr:x>0.1825</cdr:x>
      <cdr:y>0.35821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812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milioane dolari SUA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2</xdr:row>
      <xdr:rowOff>57149</xdr:rowOff>
    </xdr:from>
    <xdr:to>
      <xdr:col>19</xdr:col>
      <xdr:colOff>104775</xdr:colOff>
      <xdr:row>20</xdr:row>
      <xdr:rowOff>76199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19048</xdr:rowOff>
    </xdr:from>
    <xdr:to>
      <xdr:col>6</xdr:col>
      <xdr:colOff>47625</xdr:colOff>
      <xdr:row>24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0.05882</cdr:x>
      <cdr:y>0</cdr:y>
    </cdr:from>
    <cdr:to>
      <cdr:x>0.21569</cdr:x>
      <cdr:y>0.10028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1791" y="0"/>
          <a:ext cx="1098228" cy="3429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milioane dolari SUA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0.05117</cdr:x>
      <cdr:y>2.94081E-7</cdr:y>
    </cdr:from>
    <cdr:to>
      <cdr:x>0.07945</cdr:x>
      <cdr:y>0.06723</cdr:y>
    </cdr:to>
    <cdr:sp macro="" textlink="">
      <cdr:nvSpPr>
        <cdr:cNvPr id="2" name="Text Box 1"/>
        <cdr:cNvSpPr txBox="1"/>
      </cdr:nvSpPr>
      <cdr:spPr>
        <a:xfrm xmlns:a="http://schemas.openxmlformats.org/drawingml/2006/main">
          <a:off x="533698" y="1"/>
          <a:ext cx="29498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19050</xdr:rowOff>
    </xdr:from>
    <xdr:to>
      <xdr:col>7</xdr:col>
      <xdr:colOff>19050</xdr:colOff>
      <xdr:row>20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28575</xdr:rowOff>
    </xdr:from>
    <xdr:to>
      <xdr:col>6</xdr:col>
      <xdr:colOff>1038225</xdr:colOff>
      <xdr:row>19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0.05889</cdr:x>
      <cdr:y>3.72294E-7</cdr:y>
    </cdr:from>
    <cdr:to>
      <cdr:x>0.10817</cdr:x>
      <cdr:y>0.07092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6725" y="1"/>
          <a:ext cx="39052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</xdr:row>
      <xdr:rowOff>85725</xdr:rowOff>
    </xdr:from>
    <xdr:to>
      <xdr:col>7</xdr:col>
      <xdr:colOff>0</xdr:colOff>
      <xdr:row>23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726042</xdr:colOff>
      <xdr:row>2</xdr:row>
      <xdr:rowOff>133350</xdr:rowOff>
    </xdr:from>
    <xdr:to>
      <xdr:col>7</xdr:col>
      <xdr:colOff>323850</xdr:colOff>
      <xdr:row>23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152400</xdr:rowOff>
    </xdr:from>
    <xdr:to>
      <xdr:col>1</xdr:col>
      <xdr:colOff>733424</xdr:colOff>
      <xdr:row>23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C22BED9-C810-45EF-987A-C0626D8FCA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3</xdr:row>
      <xdr:rowOff>0</xdr:rowOff>
    </xdr:from>
    <xdr:to>
      <xdr:col>13</xdr:col>
      <xdr:colOff>19050</xdr:colOff>
      <xdr:row>20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orinaVicol\AppData\Local\Microsoft\Windows\INetCache\Content.Outlook\3UWJ8KFP\14_Grafice_Comert_International_Marfuri_01-05_2023.xlsx" TargetMode="External"/><Relationship Id="rId1" Type="http://schemas.openxmlformats.org/officeDocument/2006/relationships/externalLinkPath" Target="file:///C:\Users\CorinaVicol\AppData\Local\Microsoft\Windows\INetCache\Content.Outlook\3UWJ8KFP\14_Grafice_Comert_International_Marfuri_01-05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igura 1"/>
      <sheetName val="Figura 2"/>
      <sheetName val="Sheet1"/>
      <sheetName val="Figura 3"/>
      <sheetName val="Figura 4"/>
      <sheetName val="Figura 5"/>
      <sheetName val="Figura 6"/>
      <sheetName val="Figura 7"/>
      <sheetName val="Figura 8"/>
      <sheetName val="Figura 9"/>
      <sheetName val="Figura 10"/>
      <sheetName val="Figura 11"/>
      <sheetName val="Figura 12"/>
      <sheetName val="Figura 13"/>
      <sheetName val="Figura 14"/>
    </sheetNames>
    <sheetDataSet>
      <sheetData sheetId="0">
        <row r="22">
          <cell r="B22" t="str">
            <v>Ianuarie</v>
          </cell>
          <cell r="C22" t="str">
            <v>Februarie</v>
          </cell>
          <cell r="D22" t="str">
            <v>Martie</v>
          </cell>
          <cell r="E22" t="str">
            <v>Aprilie</v>
          </cell>
          <cell r="F22" t="str">
            <v>Mai</v>
          </cell>
          <cell r="G22" t="str">
            <v>Iunie</v>
          </cell>
          <cell r="H22" t="str">
            <v>Iulie</v>
          </cell>
          <cell r="I22" t="str">
            <v>August</v>
          </cell>
          <cell r="J22" t="str">
            <v>Septembrie</v>
          </cell>
          <cell r="K22" t="str">
            <v>Octombrie</v>
          </cell>
          <cell r="L22" t="str">
            <v>Noiembrie</v>
          </cell>
          <cell r="M22" t="str">
            <v>Decembrie</v>
          </cell>
        </row>
        <row r="23">
          <cell r="A23">
            <v>2018</v>
          </cell>
          <cell r="B23">
            <v>220.3</v>
          </cell>
          <cell r="C23">
            <v>215.5</v>
          </cell>
          <cell r="D23">
            <v>242.1</v>
          </cell>
          <cell r="E23">
            <v>199.7</v>
          </cell>
          <cell r="F23">
            <v>223</v>
          </cell>
          <cell r="G23">
            <v>214.1</v>
          </cell>
          <cell r="H23">
            <v>218.8</v>
          </cell>
          <cell r="I23">
            <v>218.6</v>
          </cell>
          <cell r="J23">
            <v>207.3</v>
          </cell>
          <cell r="K23">
            <v>259</v>
          </cell>
          <cell r="L23">
            <v>268.89999999999998</v>
          </cell>
          <cell r="M23">
            <v>218.8</v>
          </cell>
        </row>
        <row r="24">
          <cell r="A24">
            <v>2019</v>
          </cell>
          <cell r="B24">
            <v>234.3</v>
          </cell>
          <cell r="C24">
            <v>241.4</v>
          </cell>
          <cell r="D24">
            <v>257.2</v>
          </cell>
          <cell r="E24">
            <v>215.6</v>
          </cell>
          <cell r="F24">
            <v>210.5</v>
          </cell>
          <cell r="G24">
            <v>202.2</v>
          </cell>
          <cell r="H24">
            <v>220.2</v>
          </cell>
          <cell r="I24">
            <v>205.8</v>
          </cell>
          <cell r="J24">
            <v>238.8</v>
          </cell>
          <cell r="K24">
            <v>268.3</v>
          </cell>
          <cell r="L24">
            <v>266.60000000000002</v>
          </cell>
          <cell r="M24">
            <v>218.3</v>
          </cell>
        </row>
        <row r="25">
          <cell r="A25">
            <v>2020</v>
          </cell>
          <cell r="B25">
            <v>219.5</v>
          </cell>
          <cell r="C25">
            <v>245.3</v>
          </cell>
          <cell r="D25">
            <v>210.2</v>
          </cell>
          <cell r="E25">
            <v>149.80000000000001</v>
          </cell>
          <cell r="F25">
            <v>155.69999999999999</v>
          </cell>
          <cell r="G25">
            <v>189.6</v>
          </cell>
          <cell r="H25">
            <v>191.1</v>
          </cell>
          <cell r="I25">
            <v>163.9</v>
          </cell>
          <cell r="J25">
            <v>212.3</v>
          </cell>
          <cell r="K25">
            <v>249.4</v>
          </cell>
          <cell r="L25">
            <v>262</v>
          </cell>
          <cell r="M25">
            <v>218.3</v>
          </cell>
        </row>
        <row r="26">
          <cell r="A26">
            <v>2021</v>
          </cell>
          <cell r="B26">
            <v>198.4</v>
          </cell>
          <cell r="C26">
            <v>227</v>
          </cell>
          <cell r="D26">
            <v>259.3</v>
          </cell>
          <cell r="E26">
            <v>218.2</v>
          </cell>
          <cell r="F26">
            <v>201.7</v>
          </cell>
          <cell r="G26">
            <v>226.8</v>
          </cell>
          <cell r="H26">
            <v>240.7</v>
          </cell>
          <cell r="I26">
            <v>236.3</v>
          </cell>
          <cell r="J26">
            <v>294.89999999999998</v>
          </cell>
          <cell r="K26">
            <v>352.2</v>
          </cell>
          <cell r="L26">
            <v>363.9</v>
          </cell>
          <cell r="M26">
            <v>325</v>
          </cell>
        </row>
        <row r="27">
          <cell r="A27">
            <v>2022</v>
          </cell>
          <cell r="B27">
            <v>330.4</v>
          </cell>
          <cell r="C27">
            <v>336.5</v>
          </cell>
          <cell r="D27">
            <v>395.8</v>
          </cell>
          <cell r="E27">
            <v>396.3</v>
          </cell>
          <cell r="F27">
            <v>416</v>
          </cell>
          <cell r="G27">
            <v>416.4</v>
          </cell>
          <cell r="H27">
            <v>338.2</v>
          </cell>
          <cell r="I27">
            <v>329.4</v>
          </cell>
          <cell r="J27">
            <v>318.8</v>
          </cell>
          <cell r="K27">
            <v>352</v>
          </cell>
          <cell r="L27">
            <v>355.8</v>
          </cell>
          <cell r="M27">
            <v>349.5</v>
          </cell>
        </row>
        <row r="28">
          <cell r="A28">
            <v>2023</v>
          </cell>
          <cell r="B28">
            <v>331.1</v>
          </cell>
          <cell r="C28">
            <v>356</v>
          </cell>
          <cell r="D28">
            <v>385</v>
          </cell>
          <cell r="E28">
            <v>316.89999999999998</v>
          </cell>
          <cell r="F28">
            <v>336.5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le18" displayName="Table18" ref="A27:D33" totalsRowShown="0" headerRowDxfId="8" dataDxfId="6" headerRowBorderDxfId="7" tableBorderDxfId="5" totalsRowBorderDxfId="4">
  <tableColumns count="4">
    <tableColumn id="1" xr3:uid="{00000000-0010-0000-0000-000001000000}" name="Perioada" dataDxfId="3"/>
    <tableColumn id="2" xr3:uid="{00000000-0010-0000-0000-000002000000}" name="Export" dataDxfId="2"/>
    <tableColumn id="4" xr3:uid="{00000000-0010-0000-0000-000004000000}" name="Import" dataDxfId="1"/>
    <tableColumn id="3" xr3:uid="{00000000-0010-0000-0000-000003000000}" name="Balanţa Comercială" dataDxfId="0" dataCellStyle="Normal 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U34"/>
  <sheetViews>
    <sheetView tabSelected="1" zoomScaleNormal="100" workbookViewId="0">
      <selection activeCell="A3" sqref="A3:M3"/>
    </sheetView>
  </sheetViews>
  <sheetFormatPr defaultRowHeight="12" x14ac:dyDescent="0.2"/>
  <cols>
    <col min="1" max="1" width="10.42578125" style="168" customWidth="1"/>
    <col min="2" max="2" width="10.140625" style="168" customWidth="1"/>
    <col min="3" max="3" width="11.28515625" style="168" customWidth="1"/>
    <col min="4" max="4" width="10.140625" style="168" bestFit="1" customWidth="1"/>
    <col min="5" max="5" width="9.28515625" style="168" bestFit="1" customWidth="1"/>
    <col min="6" max="6" width="10.140625" style="168" bestFit="1" customWidth="1"/>
    <col min="7" max="7" width="9.28515625" style="168" bestFit="1" customWidth="1"/>
    <col min="8" max="8" width="10.140625" style="168" bestFit="1" customWidth="1"/>
    <col min="9" max="9" width="9.28515625" style="168" bestFit="1" customWidth="1"/>
    <col min="10" max="10" width="11.85546875" style="168" customWidth="1"/>
    <col min="11" max="11" width="10.5703125" style="168" customWidth="1"/>
    <col min="12" max="12" width="10.28515625" style="168" customWidth="1"/>
    <col min="13" max="13" width="10.7109375" style="168" customWidth="1"/>
    <col min="14" max="14" width="10.140625" style="168" bestFit="1" customWidth="1"/>
    <col min="15" max="15" width="9.28515625" style="168" bestFit="1" customWidth="1"/>
    <col min="16" max="16" width="10.140625" style="168" bestFit="1" customWidth="1"/>
    <col min="17" max="17" width="9.28515625" style="168" bestFit="1" customWidth="1"/>
    <col min="18" max="18" width="10.140625" style="168" bestFit="1" customWidth="1"/>
    <col min="19" max="19" width="9.28515625" style="168" bestFit="1" customWidth="1"/>
    <col min="20" max="20" width="10.140625" style="168" bestFit="1" customWidth="1"/>
    <col min="21" max="21" width="9.28515625" style="168" bestFit="1" customWidth="1"/>
    <col min="22" max="22" width="10.140625" style="168" bestFit="1" customWidth="1"/>
    <col min="23" max="23" width="9.28515625" style="168" bestFit="1" customWidth="1"/>
    <col min="24" max="24" width="10.140625" style="168" bestFit="1" customWidth="1"/>
    <col min="25" max="25" width="9.28515625" style="168" bestFit="1" customWidth="1"/>
    <col min="26" max="16384" width="9.140625" style="168"/>
  </cols>
  <sheetData>
    <row r="3" spans="1:13" x14ac:dyDescent="0.2">
      <c r="A3" s="187" t="s">
        <v>118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</row>
    <row r="4" spans="1:13" x14ac:dyDescent="0.2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</row>
    <row r="5" spans="1:13" x14ac:dyDescent="0.2">
      <c r="A5" s="170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</row>
    <row r="6" spans="1:13" x14ac:dyDescent="0.2">
      <c r="A6" s="170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</row>
    <row r="7" spans="1:13" x14ac:dyDescent="0.2">
      <c r="A7" s="170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</row>
    <row r="8" spans="1:13" x14ac:dyDescent="0.2">
      <c r="A8" s="170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</row>
    <row r="9" spans="1:13" x14ac:dyDescent="0.2">
      <c r="A9" s="170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</row>
    <row r="10" spans="1:13" x14ac:dyDescent="0.2">
      <c r="A10" s="170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</row>
    <row r="11" spans="1:13" x14ac:dyDescent="0.2">
      <c r="A11" s="170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</row>
    <row r="12" spans="1:13" x14ac:dyDescent="0.2">
      <c r="A12" s="170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</row>
    <row r="13" spans="1:13" x14ac:dyDescent="0.2">
      <c r="A13" s="170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</row>
    <row r="14" spans="1:13" x14ac:dyDescent="0.2">
      <c r="A14" s="170"/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</row>
    <row r="15" spans="1:13" x14ac:dyDescent="0.2">
      <c r="A15" s="170"/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</row>
    <row r="16" spans="1:13" x14ac:dyDescent="0.2">
      <c r="A16" s="170"/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</row>
    <row r="17" spans="1:13" x14ac:dyDescent="0.2">
      <c r="A17" s="170"/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</row>
    <row r="18" spans="1:13" x14ac:dyDescent="0.2">
      <c r="A18" s="170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</row>
    <row r="19" spans="1:13" x14ac:dyDescent="0.2">
      <c r="A19" s="170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</row>
    <row r="20" spans="1:13" x14ac:dyDescent="0.2">
      <c r="A20" s="170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</row>
    <row r="22" spans="1:13" x14ac:dyDescent="0.2">
      <c r="A22" s="172" t="s">
        <v>0</v>
      </c>
      <c r="B22" s="173" t="s">
        <v>1</v>
      </c>
      <c r="C22" s="173" t="s">
        <v>2</v>
      </c>
      <c r="D22" s="173" t="s">
        <v>3</v>
      </c>
      <c r="E22" s="173" t="s">
        <v>4</v>
      </c>
      <c r="F22" s="173" t="s">
        <v>5</v>
      </c>
      <c r="G22" s="173" t="s">
        <v>6</v>
      </c>
      <c r="H22" s="173" t="s">
        <v>7</v>
      </c>
      <c r="I22" s="173" t="s">
        <v>8</v>
      </c>
      <c r="J22" s="173" t="s">
        <v>9</v>
      </c>
      <c r="K22" s="173" t="s">
        <v>10</v>
      </c>
      <c r="L22" s="173" t="s">
        <v>11</v>
      </c>
      <c r="M22" s="173" t="s">
        <v>12</v>
      </c>
    </row>
    <row r="23" spans="1:13" x14ac:dyDescent="0.2">
      <c r="A23" s="174">
        <v>2018</v>
      </c>
      <c r="B23" s="175">
        <v>220.3</v>
      </c>
      <c r="C23" s="175">
        <v>215.5</v>
      </c>
      <c r="D23" s="175">
        <v>242.1</v>
      </c>
      <c r="E23" s="175">
        <v>199.7</v>
      </c>
      <c r="F23" s="175">
        <v>223</v>
      </c>
      <c r="G23" s="175">
        <v>214.1</v>
      </c>
      <c r="H23" s="175">
        <v>218.8</v>
      </c>
      <c r="I23" s="175">
        <v>218.6</v>
      </c>
      <c r="J23" s="175">
        <v>207.3</v>
      </c>
      <c r="K23" s="175">
        <v>259</v>
      </c>
      <c r="L23" s="175">
        <v>268.89999999999998</v>
      </c>
      <c r="M23" s="176">
        <v>218.8</v>
      </c>
    </row>
    <row r="24" spans="1:13" x14ac:dyDescent="0.2">
      <c r="A24" s="174">
        <v>2019</v>
      </c>
      <c r="B24" s="175">
        <v>234.3</v>
      </c>
      <c r="C24" s="175">
        <v>241.4</v>
      </c>
      <c r="D24" s="175">
        <v>257.2</v>
      </c>
      <c r="E24" s="175">
        <v>215.6</v>
      </c>
      <c r="F24" s="175">
        <v>210.5</v>
      </c>
      <c r="G24" s="175">
        <v>202.2</v>
      </c>
      <c r="H24" s="175">
        <v>220.2</v>
      </c>
      <c r="I24" s="175">
        <v>205.8</v>
      </c>
      <c r="J24" s="175">
        <v>238.8</v>
      </c>
      <c r="K24" s="175">
        <v>268.3</v>
      </c>
      <c r="L24" s="175">
        <v>266.60000000000002</v>
      </c>
      <c r="M24" s="176">
        <v>218.3</v>
      </c>
    </row>
    <row r="25" spans="1:13" x14ac:dyDescent="0.2">
      <c r="A25" s="174">
        <v>2020</v>
      </c>
      <c r="B25" s="175">
        <v>219.5</v>
      </c>
      <c r="C25" s="175">
        <v>245.3</v>
      </c>
      <c r="D25" s="175">
        <v>210.2</v>
      </c>
      <c r="E25" s="175">
        <v>149.80000000000001</v>
      </c>
      <c r="F25" s="175">
        <v>155.69999999999999</v>
      </c>
      <c r="G25" s="175">
        <v>189.6</v>
      </c>
      <c r="H25" s="175">
        <v>191.1</v>
      </c>
      <c r="I25" s="175">
        <v>163.9</v>
      </c>
      <c r="J25" s="175">
        <v>212.3</v>
      </c>
      <c r="K25" s="175">
        <v>249.4</v>
      </c>
      <c r="L25" s="175">
        <v>262</v>
      </c>
      <c r="M25" s="176">
        <v>218.3</v>
      </c>
    </row>
    <row r="26" spans="1:13" x14ac:dyDescent="0.2">
      <c r="A26" s="174">
        <v>2021</v>
      </c>
      <c r="B26" s="175">
        <v>198.4</v>
      </c>
      <c r="C26" s="175">
        <v>227</v>
      </c>
      <c r="D26" s="175">
        <v>259.3</v>
      </c>
      <c r="E26" s="175">
        <v>218.2</v>
      </c>
      <c r="F26" s="175">
        <v>201.7</v>
      </c>
      <c r="G26" s="175">
        <v>226.8</v>
      </c>
      <c r="H26" s="175">
        <v>240.7</v>
      </c>
      <c r="I26" s="175">
        <v>236.3</v>
      </c>
      <c r="J26" s="175">
        <v>294.89999999999998</v>
      </c>
      <c r="K26" s="177">
        <v>352.2</v>
      </c>
      <c r="L26" s="175">
        <v>363.9</v>
      </c>
      <c r="M26" s="176">
        <v>325</v>
      </c>
    </row>
    <row r="27" spans="1:13" x14ac:dyDescent="0.2">
      <c r="A27" s="174">
        <v>2022</v>
      </c>
      <c r="B27" s="175">
        <v>330.4</v>
      </c>
      <c r="C27" s="175">
        <v>336.5</v>
      </c>
      <c r="D27" s="175">
        <v>395.8</v>
      </c>
      <c r="E27" s="175">
        <v>396.3</v>
      </c>
      <c r="F27" s="175">
        <v>416</v>
      </c>
      <c r="G27" s="175">
        <v>416.4</v>
      </c>
      <c r="H27" s="175">
        <v>338.2</v>
      </c>
      <c r="I27" s="175">
        <v>329.4</v>
      </c>
      <c r="J27" s="175">
        <v>318.8</v>
      </c>
      <c r="K27" s="175">
        <v>352</v>
      </c>
      <c r="L27" s="175">
        <v>355.8</v>
      </c>
      <c r="M27" s="176">
        <v>349.5</v>
      </c>
    </row>
    <row r="28" spans="1:13" x14ac:dyDescent="0.2">
      <c r="A28" s="178">
        <v>2023</v>
      </c>
      <c r="B28" s="179">
        <v>331.1</v>
      </c>
      <c r="C28" s="179">
        <v>356</v>
      </c>
      <c r="D28" s="180">
        <v>385</v>
      </c>
      <c r="E28" s="180">
        <v>316.89999999999998</v>
      </c>
      <c r="F28" s="180">
        <v>336.5</v>
      </c>
      <c r="G28" s="180"/>
      <c r="H28" s="180"/>
      <c r="I28" s="180"/>
      <c r="J28" s="180"/>
      <c r="K28" s="180"/>
      <c r="L28" s="180"/>
      <c r="M28" s="181"/>
    </row>
    <row r="34" spans="2:21" x14ac:dyDescent="0.2">
      <c r="B34" s="182"/>
      <c r="C34" s="182"/>
      <c r="D34" s="182"/>
      <c r="E34" s="182"/>
      <c r="F34" s="182"/>
      <c r="G34" s="182"/>
      <c r="H34" s="182"/>
      <c r="I34" s="183"/>
      <c r="J34" s="184"/>
      <c r="K34" s="182"/>
      <c r="L34" s="182"/>
      <c r="M34" s="182"/>
      <c r="N34" s="182"/>
      <c r="O34" s="183"/>
      <c r="P34" s="182"/>
      <c r="Q34" s="182"/>
      <c r="R34" s="184"/>
      <c r="S34" s="182"/>
      <c r="T34" s="185"/>
      <c r="U34" s="186"/>
    </row>
  </sheetData>
  <mergeCells count="1">
    <mergeCell ref="A3:M3"/>
  </mergeCells>
  <pageMargins left="0.7" right="0.7" top="0.75" bottom="0.75" header="0.3" footer="0.3"/>
  <pageSetup paperSize="9" orientation="portrait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M41"/>
  <sheetViews>
    <sheetView workbookViewId="0">
      <selection activeCell="C32" sqref="C32"/>
    </sheetView>
  </sheetViews>
  <sheetFormatPr defaultRowHeight="12" x14ac:dyDescent="0.2"/>
  <cols>
    <col min="1" max="1" width="24" style="3" customWidth="1"/>
    <col min="2" max="2" width="14.28515625" style="3" customWidth="1"/>
    <col min="3" max="3" width="14.85546875" style="3" customWidth="1"/>
    <col min="4" max="4" width="14.5703125" style="3" customWidth="1"/>
    <col min="5" max="5" width="14.140625" style="3" customWidth="1"/>
    <col min="6" max="6" width="14.5703125" style="3" customWidth="1"/>
    <col min="7" max="7" width="14.7109375" style="3" customWidth="1"/>
    <col min="8" max="16384" width="9.140625" style="3"/>
  </cols>
  <sheetData>
    <row r="2" spans="1:13" ht="12.75" x14ac:dyDescent="0.2">
      <c r="A2" s="158" t="s">
        <v>114</v>
      </c>
      <c r="B2" s="158"/>
      <c r="C2" s="158"/>
      <c r="D2" s="158"/>
      <c r="E2" s="158"/>
      <c r="F2" s="158"/>
      <c r="G2" s="158"/>
      <c r="H2" s="38"/>
      <c r="I2" s="38"/>
      <c r="J2" s="38"/>
      <c r="K2" s="38"/>
      <c r="L2" s="38"/>
      <c r="M2" s="38"/>
    </row>
    <row r="3" spans="1:13" ht="16.5" customHeight="1" x14ac:dyDescent="0.2">
      <c r="A3" s="4"/>
      <c r="B3" s="4"/>
      <c r="C3" s="4"/>
      <c r="D3" s="4"/>
      <c r="E3" s="4"/>
      <c r="F3" s="4"/>
      <c r="G3" s="4"/>
    </row>
    <row r="4" spans="1:13" ht="16.5" customHeight="1" x14ac:dyDescent="0.2">
      <c r="A4" s="4"/>
      <c r="B4" s="4"/>
      <c r="C4" s="4"/>
      <c r="D4" s="4"/>
      <c r="E4" s="4"/>
      <c r="F4" s="4"/>
      <c r="G4" s="4"/>
    </row>
    <row r="5" spans="1:13" ht="16.5" customHeight="1" x14ac:dyDescent="0.2">
      <c r="A5" s="4"/>
      <c r="B5" s="4"/>
      <c r="C5" s="4"/>
      <c r="D5" s="4"/>
      <c r="E5" s="4"/>
      <c r="F5" s="4"/>
      <c r="G5" s="4"/>
    </row>
    <row r="6" spans="1:13" ht="16.5" customHeight="1" x14ac:dyDescent="0.2">
      <c r="A6" s="4"/>
      <c r="B6" s="4"/>
      <c r="C6" s="4"/>
      <c r="D6" s="4"/>
      <c r="E6" s="4"/>
      <c r="F6" s="4"/>
      <c r="G6" s="4"/>
    </row>
    <row r="7" spans="1:13" ht="16.5" customHeight="1" x14ac:dyDescent="0.2">
      <c r="A7" s="4"/>
      <c r="B7" s="4"/>
      <c r="C7" s="4"/>
      <c r="D7" s="4"/>
      <c r="E7" s="4"/>
      <c r="F7" s="4"/>
      <c r="G7" s="4"/>
    </row>
    <row r="8" spans="1:13" ht="16.5" customHeight="1" x14ac:dyDescent="0.2">
      <c r="A8" s="4"/>
      <c r="B8" s="4"/>
      <c r="C8" s="4"/>
      <c r="D8" s="4"/>
      <c r="E8" s="4"/>
      <c r="F8" s="4"/>
      <c r="G8" s="4"/>
    </row>
    <row r="9" spans="1:13" ht="16.5" customHeight="1" x14ac:dyDescent="0.2">
      <c r="A9" s="4"/>
      <c r="B9" s="4"/>
      <c r="C9" s="4"/>
      <c r="D9" s="4"/>
      <c r="E9" s="4"/>
      <c r="F9" s="4"/>
      <c r="G9" s="4"/>
    </row>
    <row r="10" spans="1:13" ht="16.5" customHeight="1" x14ac:dyDescent="0.2">
      <c r="A10" s="4"/>
      <c r="B10" s="4"/>
      <c r="C10" s="4"/>
      <c r="D10" s="4"/>
      <c r="E10" s="4"/>
      <c r="F10" s="4"/>
      <c r="G10" s="4"/>
    </row>
    <row r="11" spans="1:13" ht="16.5" customHeight="1" x14ac:dyDescent="0.2">
      <c r="A11" s="4"/>
      <c r="B11" s="4"/>
      <c r="C11" s="4"/>
      <c r="D11" s="4"/>
      <c r="E11" s="4"/>
      <c r="F11" s="4"/>
      <c r="G11" s="4"/>
    </row>
    <row r="12" spans="1:13" ht="16.5" customHeight="1" x14ac:dyDescent="0.2">
      <c r="A12" s="4"/>
      <c r="B12" s="4"/>
      <c r="C12" s="4"/>
      <c r="D12" s="4"/>
      <c r="E12" s="4"/>
      <c r="F12" s="4"/>
      <c r="G12" s="4"/>
    </row>
    <row r="13" spans="1:13" ht="16.5" customHeight="1" x14ac:dyDescent="0.2">
      <c r="A13" s="4"/>
      <c r="B13" s="4"/>
      <c r="C13" s="4"/>
      <c r="D13" s="4"/>
      <c r="E13" s="4"/>
      <c r="F13" s="4"/>
      <c r="G13" s="4"/>
    </row>
    <row r="14" spans="1:13" ht="16.5" customHeight="1" x14ac:dyDescent="0.2">
      <c r="A14" s="4"/>
      <c r="B14" s="4"/>
      <c r="C14" s="4"/>
      <c r="D14" s="4"/>
      <c r="E14" s="4"/>
      <c r="F14" s="4"/>
      <c r="G14" s="4"/>
    </row>
    <row r="15" spans="1:13" ht="16.5" customHeight="1" x14ac:dyDescent="0.2">
      <c r="A15" s="4"/>
      <c r="B15" s="4"/>
      <c r="C15" s="4"/>
      <c r="D15" s="4"/>
      <c r="E15" s="4"/>
      <c r="F15" s="4"/>
      <c r="G15" s="4"/>
    </row>
    <row r="16" spans="1:13" ht="16.5" customHeight="1" x14ac:dyDescent="0.2">
      <c r="A16" s="4"/>
      <c r="B16" s="4"/>
      <c r="C16" s="4"/>
      <c r="D16" s="4"/>
      <c r="E16" s="4"/>
      <c r="F16" s="4"/>
      <c r="G16" s="4"/>
    </row>
    <row r="17" spans="1:7" ht="16.5" customHeight="1" x14ac:dyDescent="0.2">
      <c r="A17" s="4"/>
      <c r="B17" s="4"/>
      <c r="C17" s="4"/>
      <c r="D17" s="4"/>
      <c r="E17" s="4"/>
      <c r="F17" s="4"/>
      <c r="G17" s="4"/>
    </row>
    <row r="18" spans="1:7" ht="16.5" customHeight="1" x14ac:dyDescent="0.2">
      <c r="A18" s="4"/>
      <c r="B18" s="4"/>
      <c r="C18" s="4"/>
      <c r="D18" s="4"/>
      <c r="E18" s="4"/>
      <c r="F18" s="4"/>
      <c r="G18" s="4"/>
    </row>
    <row r="19" spans="1:7" ht="16.5" customHeight="1" x14ac:dyDescent="0.2">
      <c r="A19" s="4"/>
      <c r="B19" s="4"/>
      <c r="C19" s="4"/>
      <c r="D19" s="4"/>
      <c r="E19" s="4"/>
      <c r="F19" s="4"/>
      <c r="G19" s="4"/>
    </row>
    <row r="20" spans="1:7" ht="16.5" customHeight="1" x14ac:dyDescent="0.2">
      <c r="A20" s="4"/>
      <c r="B20" s="4"/>
      <c r="C20" s="4"/>
      <c r="D20" s="4"/>
      <c r="E20" s="4"/>
      <c r="F20" s="4"/>
      <c r="G20" s="4"/>
    </row>
    <row r="21" spans="1:7" ht="16.5" customHeight="1" x14ac:dyDescent="0.2">
      <c r="A21" s="2"/>
      <c r="B21" s="2"/>
      <c r="C21" s="2"/>
      <c r="D21" s="2"/>
      <c r="E21" s="2"/>
      <c r="F21" s="2"/>
      <c r="G21" s="2"/>
    </row>
    <row r="22" spans="1:7" ht="16.5" customHeight="1" x14ac:dyDescent="0.2">
      <c r="A22" s="2"/>
      <c r="B22" s="2"/>
      <c r="C22" s="2"/>
      <c r="D22" s="2"/>
      <c r="E22" s="2"/>
      <c r="F22" s="2"/>
      <c r="G22" s="2"/>
    </row>
    <row r="23" spans="1:7" ht="27.75" customHeight="1" x14ac:dyDescent="0.2">
      <c r="A23" s="37" t="s">
        <v>25</v>
      </c>
      <c r="B23" s="23" t="s">
        <v>97</v>
      </c>
      <c r="C23" s="23" t="s">
        <v>98</v>
      </c>
      <c r="D23" s="23" t="s">
        <v>99</v>
      </c>
      <c r="E23" s="23" t="s">
        <v>100</v>
      </c>
      <c r="F23" s="23" t="s">
        <v>101</v>
      </c>
      <c r="G23" s="23" t="s">
        <v>102</v>
      </c>
    </row>
    <row r="24" spans="1:7" x14ac:dyDescent="0.2">
      <c r="A24" s="29" t="s">
        <v>26</v>
      </c>
      <c r="B24" s="121">
        <v>7.5</v>
      </c>
      <c r="C24" s="100">
        <v>6.3</v>
      </c>
      <c r="D24" s="100">
        <v>2.1</v>
      </c>
      <c r="E24" s="100">
        <v>1.8</v>
      </c>
      <c r="F24" s="100">
        <v>2.2000000000000002</v>
      </c>
      <c r="G24" s="102">
        <v>2.8</v>
      </c>
    </row>
    <row r="25" spans="1:7" x14ac:dyDescent="0.2">
      <c r="A25" s="30" t="s">
        <v>27</v>
      </c>
      <c r="B25" s="122">
        <v>4.5</v>
      </c>
      <c r="C25" s="123">
        <v>4.5</v>
      </c>
      <c r="D25" s="123">
        <v>4.5</v>
      </c>
      <c r="E25" s="123">
        <v>4.2</v>
      </c>
      <c r="F25" s="123">
        <v>4.7</v>
      </c>
      <c r="G25" s="103">
        <v>5.3</v>
      </c>
    </row>
    <row r="26" spans="1:7" x14ac:dyDescent="0.2">
      <c r="A26" s="30" t="s">
        <v>28</v>
      </c>
      <c r="B26" s="122">
        <v>76.099999999999994</v>
      </c>
      <c r="C26" s="123">
        <v>76.099999999999994</v>
      </c>
      <c r="D26" s="123">
        <v>86.4</v>
      </c>
      <c r="E26" s="123">
        <v>85.7</v>
      </c>
      <c r="F26" s="123">
        <v>83</v>
      </c>
      <c r="G26" s="103">
        <v>82.7</v>
      </c>
    </row>
    <row r="27" spans="1:7" x14ac:dyDescent="0.2">
      <c r="A27" s="30" t="s">
        <v>29</v>
      </c>
      <c r="B27" s="122">
        <v>1.7</v>
      </c>
      <c r="C27" s="123">
        <v>1.6</v>
      </c>
      <c r="D27" s="123">
        <v>2.4</v>
      </c>
      <c r="E27" s="123">
        <v>2.4</v>
      </c>
      <c r="F27" s="123">
        <v>2.6</v>
      </c>
      <c r="G27" s="103">
        <v>2.5</v>
      </c>
    </row>
    <row r="28" spans="1:7" x14ac:dyDescent="0.2">
      <c r="A28" s="30" t="s">
        <v>45</v>
      </c>
      <c r="B28" s="122">
        <v>0.1</v>
      </c>
      <c r="C28" s="123">
        <v>0.1</v>
      </c>
      <c r="D28" s="123">
        <v>0.2</v>
      </c>
      <c r="E28" s="123">
        <v>0.2</v>
      </c>
      <c r="F28" s="123">
        <v>0.2</v>
      </c>
      <c r="G28" s="103">
        <v>0.3</v>
      </c>
    </row>
    <row r="29" spans="1:7" x14ac:dyDescent="0.2">
      <c r="A29" s="30" t="s">
        <v>46</v>
      </c>
      <c r="B29" s="122">
        <v>9.4</v>
      </c>
      <c r="C29" s="123">
        <v>10.9</v>
      </c>
      <c r="D29" s="123">
        <v>3.9</v>
      </c>
      <c r="E29" s="123">
        <v>5.3</v>
      </c>
      <c r="F29" s="123">
        <v>6.7</v>
      </c>
      <c r="G29" s="103">
        <v>5.8</v>
      </c>
    </row>
    <row r="30" spans="1:7" x14ac:dyDescent="0.2">
      <c r="A30" s="31" t="s">
        <v>47</v>
      </c>
      <c r="B30" s="118">
        <v>0.7</v>
      </c>
      <c r="C30" s="101">
        <v>0.5</v>
      </c>
      <c r="D30" s="101">
        <v>0.5</v>
      </c>
      <c r="E30" s="101">
        <v>0.4</v>
      </c>
      <c r="F30" s="101">
        <v>0.6</v>
      </c>
      <c r="G30" s="104">
        <v>0.6</v>
      </c>
    </row>
    <row r="35" spans="2:7" ht="15" x14ac:dyDescent="0.2">
      <c r="B35" s="48"/>
      <c r="C35" s="48"/>
      <c r="D35" s="49"/>
      <c r="E35" s="49"/>
      <c r="F35" s="49"/>
      <c r="G35" s="49"/>
    </row>
    <row r="36" spans="2:7" ht="15" x14ac:dyDescent="0.2">
      <c r="B36" s="48"/>
      <c r="C36" s="48"/>
      <c r="D36" s="49"/>
      <c r="E36" s="49"/>
      <c r="F36" s="49"/>
      <c r="G36" s="49"/>
    </row>
    <row r="37" spans="2:7" ht="15" x14ac:dyDescent="0.2">
      <c r="B37" s="48"/>
      <c r="C37" s="48"/>
      <c r="D37" s="49"/>
      <c r="E37" s="49"/>
      <c r="F37" s="49"/>
      <c r="G37" s="49"/>
    </row>
    <row r="38" spans="2:7" ht="15" x14ac:dyDescent="0.2">
      <c r="B38" s="48"/>
      <c r="C38" s="48"/>
      <c r="D38" s="49"/>
      <c r="E38" s="49"/>
      <c r="F38" s="49"/>
      <c r="G38" s="49"/>
    </row>
    <row r="39" spans="2:7" ht="15" x14ac:dyDescent="0.2">
      <c r="B39" s="48"/>
      <c r="C39" s="48"/>
      <c r="D39" s="49"/>
      <c r="E39" s="49"/>
      <c r="F39" s="49"/>
      <c r="G39" s="49"/>
    </row>
    <row r="40" spans="2:7" ht="15" x14ac:dyDescent="0.2">
      <c r="B40" s="48"/>
      <c r="C40" s="48"/>
      <c r="D40" s="49"/>
      <c r="E40" s="49"/>
      <c r="F40" s="49"/>
      <c r="G40" s="49"/>
    </row>
    <row r="41" spans="2:7" ht="15" x14ac:dyDescent="0.2">
      <c r="B41" s="48"/>
      <c r="C41" s="48"/>
      <c r="D41" s="49"/>
      <c r="E41" s="49"/>
      <c r="F41" s="49"/>
      <c r="G41" s="49"/>
    </row>
  </sheetData>
  <mergeCells count="1">
    <mergeCell ref="A2:G2"/>
  </mergeCell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M32"/>
  <sheetViews>
    <sheetView workbookViewId="0">
      <selection activeCell="D37" sqref="D37"/>
    </sheetView>
  </sheetViews>
  <sheetFormatPr defaultRowHeight="12" x14ac:dyDescent="0.2"/>
  <cols>
    <col min="1" max="1" width="26.42578125" style="3" bestFit="1" customWidth="1"/>
    <col min="2" max="2" width="14.85546875" style="3" customWidth="1"/>
    <col min="3" max="3" width="15.140625" style="3" customWidth="1"/>
    <col min="4" max="4" width="14.85546875" style="3" customWidth="1"/>
    <col min="5" max="6" width="14.5703125" style="3" customWidth="1"/>
    <col min="7" max="7" width="14.85546875" style="3" customWidth="1"/>
    <col min="8" max="16384" width="9.140625" style="3"/>
  </cols>
  <sheetData>
    <row r="2" spans="1:13" ht="12.75" x14ac:dyDescent="0.2">
      <c r="A2" s="167" t="s">
        <v>115</v>
      </c>
      <c r="B2" s="167"/>
      <c r="C2" s="167"/>
      <c r="D2" s="167"/>
      <c r="E2" s="167"/>
      <c r="F2" s="167"/>
      <c r="G2" s="167"/>
    </row>
    <row r="3" spans="1:13" x14ac:dyDescent="0.2">
      <c r="A3" s="39"/>
      <c r="B3" s="39"/>
      <c r="C3" s="39"/>
      <c r="D3" s="39"/>
      <c r="E3" s="39"/>
      <c r="F3" s="39"/>
      <c r="G3" s="39"/>
      <c r="H3" s="38"/>
      <c r="I3" s="38"/>
      <c r="J3" s="38"/>
      <c r="K3" s="38"/>
      <c r="L3" s="38"/>
      <c r="M3" s="38"/>
    </row>
    <row r="4" spans="1:13" x14ac:dyDescent="0.2">
      <c r="A4" s="4"/>
      <c r="B4" s="4"/>
      <c r="C4" s="4"/>
      <c r="D4" s="4"/>
      <c r="E4" s="4"/>
      <c r="F4" s="4"/>
      <c r="G4" s="4"/>
    </row>
    <row r="5" spans="1:13" x14ac:dyDescent="0.2">
      <c r="A5" s="4"/>
      <c r="B5" s="4"/>
      <c r="C5" s="4"/>
      <c r="D5" s="4"/>
      <c r="E5" s="4"/>
      <c r="F5" s="4"/>
      <c r="G5" s="4"/>
    </row>
    <row r="6" spans="1:13" x14ac:dyDescent="0.2">
      <c r="A6" s="4"/>
      <c r="B6" s="4"/>
      <c r="C6" s="4"/>
      <c r="D6" s="4"/>
      <c r="E6" s="4"/>
      <c r="F6" s="4"/>
      <c r="G6" s="4"/>
    </row>
    <row r="7" spans="1:13" x14ac:dyDescent="0.2">
      <c r="A7" s="4"/>
      <c r="B7" s="4"/>
      <c r="C7" s="4"/>
      <c r="D7" s="4"/>
      <c r="E7" s="4"/>
      <c r="F7" s="4"/>
      <c r="G7" s="4"/>
    </row>
    <row r="8" spans="1:13" x14ac:dyDescent="0.2">
      <c r="A8" s="4"/>
      <c r="B8" s="4"/>
      <c r="C8" s="4"/>
      <c r="D8" s="4"/>
      <c r="E8" s="4"/>
      <c r="F8" s="4"/>
      <c r="G8" s="4"/>
    </row>
    <row r="9" spans="1:13" x14ac:dyDescent="0.2">
      <c r="A9" s="4"/>
      <c r="B9" s="4"/>
      <c r="C9" s="4"/>
      <c r="D9" s="4"/>
      <c r="E9" s="4"/>
      <c r="F9" s="4"/>
      <c r="G9" s="4"/>
    </row>
    <row r="10" spans="1:13" x14ac:dyDescent="0.2">
      <c r="A10" s="4"/>
      <c r="B10" s="4"/>
      <c r="C10" s="4"/>
      <c r="D10" s="4"/>
      <c r="E10" s="4"/>
      <c r="F10" s="4"/>
      <c r="G10" s="4"/>
    </row>
    <row r="11" spans="1:13" x14ac:dyDescent="0.2">
      <c r="A11" s="4"/>
      <c r="B11" s="4"/>
      <c r="C11" s="4"/>
      <c r="D11" s="4"/>
      <c r="E11" s="4"/>
      <c r="F11" s="4"/>
      <c r="G11" s="4"/>
    </row>
    <row r="12" spans="1:13" x14ac:dyDescent="0.2">
      <c r="A12" s="4"/>
      <c r="B12" s="4"/>
      <c r="C12" s="4"/>
      <c r="D12" s="4"/>
      <c r="E12" s="4"/>
      <c r="F12" s="4"/>
      <c r="G12" s="4"/>
    </row>
    <row r="13" spans="1:13" x14ac:dyDescent="0.2">
      <c r="A13" s="4"/>
      <c r="B13" s="4"/>
      <c r="C13" s="4"/>
      <c r="D13" s="4"/>
      <c r="E13" s="4"/>
      <c r="F13" s="4"/>
      <c r="G13" s="4"/>
    </row>
    <row r="14" spans="1:13" x14ac:dyDescent="0.2">
      <c r="A14" s="4"/>
      <c r="B14" s="4"/>
      <c r="C14" s="4"/>
      <c r="D14" s="4"/>
      <c r="E14" s="4"/>
      <c r="F14" s="4"/>
      <c r="G14" s="4"/>
    </row>
    <row r="15" spans="1:13" x14ac:dyDescent="0.2">
      <c r="A15" s="4"/>
      <c r="B15" s="4"/>
      <c r="C15" s="4"/>
      <c r="D15" s="4"/>
      <c r="E15" s="4"/>
      <c r="F15" s="4"/>
      <c r="G15" s="4"/>
    </row>
    <row r="16" spans="1:13" x14ac:dyDescent="0.2">
      <c r="A16" s="4"/>
      <c r="B16" s="4"/>
      <c r="C16" s="4"/>
      <c r="D16" s="4"/>
      <c r="E16" s="4"/>
      <c r="F16" s="4"/>
      <c r="G16" s="4"/>
    </row>
    <row r="17" spans="1:7" x14ac:dyDescent="0.2">
      <c r="A17" s="4"/>
      <c r="B17" s="4"/>
      <c r="C17" s="4"/>
      <c r="D17" s="4"/>
      <c r="E17" s="4"/>
      <c r="F17" s="4"/>
      <c r="G17" s="4"/>
    </row>
    <row r="18" spans="1:7" x14ac:dyDescent="0.2">
      <c r="A18" s="4"/>
      <c r="B18" s="4"/>
      <c r="C18" s="4"/>
      <c r="D18" s="4"/>
      <c r="E18" s="4"/>
      <c r="F18" s="4"/>
      <c r="G18" s="4"/>
    </row>
    <row r="19" spans="1:7" x14ac:dyDescent="0.2">
      <c r="A19" s="5"/>
    </row>
    <row r="20" spans="1:7" x14ac:dyDescent="0.2">
      <c r="A20" s="5"/>
    </row>
    <row r="21" spans="1:7" x14ac:dyDescent="0.2">
      <c r="A21" s="5"/>
    </row>
    <row r="22" spans="1:7" ht="29.25" customHeight="1" x14ac:dyDescent="0.2">
      <c r="A22" s="20"/>
      <c r="B22" s="9" t="s">
        <v>102</v>
      </c>
      <c r="C22" s="9" t="s">
        <v>101</v>
      </c>
      <c r="D22" s="9" t="s">
        <v>100</v>
      </c>
      <c r="E22" s="9" t="s">
        <v>99</v>
      </c>
      <c r="F22" s="9" t="s">
        <v>98</v>
      </c>
      <c r="G22" s="9" t="s">
        <v>97</v>
      </c>
    </row>
    <row r="23" spans="1:7" ht="15" customHeight="1" x14ac:dyDescent="0.2">
      <c r="A23" s="16" t="s">
        <v>48</v>
      </c>
      <c r="B23" s="124">
        <v>49.5</v>
      </c>
      <c r="C23" s="125">
        <v>48.3</v>
      </c>
      <c r="D23" s="125">
        <v>46.8</v>
      </c>
      <c r="E23" s="125">
        <v>47.3</v>
      </c>
      <c r="F23" s="100">
        <v>44.9</v>
      </c>
      <c r="G23" s="102">
        <v>48.3</v>
      </c>
    </row>
    <row r="24" spans="1:7" ht="15" customHeight="1" x14ac:dyDescent="0.2">
      <c r="A24" s="17" t="s">
        <v>49</v>
      </c>
      <c r="B24" s="127">
        <v>23.4</v>
      </c>
      <c r="C24" s="128">
        <v>25.4</v>
      </c>
      <c r="D24" s="128">
        <v>24.7</v>
      </c>
      <c r="E24" s="128">
        <v>22.9</v>
      </c>
      <c r="F24" s="123">
        <v>28</v>
      </c>
      <c r="G24" s="103">
        <v>21</v>
      </c>
    </row>
    <row r="25" spans="1:7" ht="15.75" customHeight="1" x14ac:dyDescent="0.2">
      <c r="A25" s="18" t="s">
        <v>50</v>
      </c>
      <c r="B25" s="130">
        <v>27.1</v>
      </c>
      <c r="C25" s="131">
        <v>26.3</v>
      </c>
      <c r="D25" s="131">
        <v>28.5</v>
      </c>
      <c r="E25" s="131">
        <v>29.8</v>
      </c>
      <c r="F25" s="101">
        <v>27.1</v>
      </c>
      <c r="G25" s="104">
        <v>30.7</v>
      </c>
    </row>
    <row r="26" spans="1:7" x14ac:dyDescent="0.2">
      <c r="G26" s="6"/>
    </row>
    <row r="30" spans="1:7" ht="15.75" x14ac:dyDescent="0.2">
      <c r="B30" s="51"/>
      <c r="C30" s="51"/>
      <c r="D30" s="51"/>
      <c r="E30" s="51"/>
      <c r="F30" s="51"/>
      <c r="G30" s="51"/>
    </row>
    <row r="31" spans="1:7" ht="15.75" x14ac:dyDescent="0.2">
      <c r="B31" s="51"/>
      <c r="C31" s="51"/>
      <c r="D31" s="51"/>
      <c r="E31" s="51"/>
      <c r="F31" s="51"/>
      <c r="G31" s="51"/>
    </row>
    <row r="32" spans="1:7" ht="15.75" x14ac:dyDescent="0.2">
      <c r="B32" s="51"/>
      <c r="C32" s="51"/>
      <c r="D32" s="51"/>
      <c r="E32" s="51"/>
      <c r="F32" s="51"/>
      <c r="G32" s="51"/>
    </row>
  </sheetData>
  <mergeCells count="1">
    <mergeCell ref="A2:G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J48"/>
  <sheetViews>
    <sheetView workbookViewId="0">
      <selection activeCell="I30" sqref="I30"/>
    </sheetView>
  </sheetViews>
  <sheetFormatPr defaultRowHeight="12" x14ac:dyDescent="0.2"/>
  <cols>
    <col min="1" max="1" width="22.85546875" style="3" customWidth="1"/>
    <col min="2" max="2" width="14.85546875" style="3" customWidth="1"/>
    <col min="3" max="3" width="14.42578125" style="3" customWidth="1"/>
    <col min="4" max="4" width="14.85546875" style="3" customWidth="1"/>
    <col min="5" max="5" width="14.28515625" style="3" customWidth="1"/>
    <col min="6" max="6" width="14.85546875" style="3" customWidth="1"/>
    <col min="7" max="7" width="14.42578125" style="3" customWidth="1"/>
    <col min="8" max="16384" width="9.140625" style="3"/>
  </cols>
  <sheetData>
    <row r="2" spans="1:10" ht="13.5" customHeight="1" x14ac:dyDescent="0.2">
      <c r="A2" s="158" t="s">
        <v>116</v>
      </c>
      <c r="B2" s="158"/>
      <c r="C2" s="158"/>
      <c r="D2" s="158"/>
      <c r="E2" s="158"/>
      <c r="F2" s="158"/>
      <c r="G2" s="158"/>
      <c r="H2" s="38"/>
      <c r="I2" s="38"/>
      <c r="J2" s="38"/>
    </row>
    <row r="3" spans="1:10" ht="15" customHeight="1" x14ac:dyDescent="0.2"/>
    <row r="4" spans="1:10" ht="13.5" customHeight="1" x14ac:dyDescent="0.2"/>
    <row r="5" spans="1:10" ht="13.5" customHeight="1" x14ac:dyDescent="0.2"/>
    <row r="6" spans="1:10" ht="15" customHeight="1" x14ac:dyDescent="0.2"/>
    <row r="7" spans="1:10" ht="15.75" customHeight="1" x14ac:dyDescent="0.2"/>
    <row r="8" spans="1:10" ht="16.5" customHeight="1" x14ac:dyDescent="0.2"/>
    <row r="9" spans="1:10" ht="13.5" customHeight="1" x14ac:dyDescent="0.2"/>
    <row r="10" spans="1:10" ht="14.25" customHeight="1" x14ac:dyDescent="0.2"/>
    <row r="11" spans="1:10" ht="16.5" customHeight="1" x14ac:dyDescent="0.2"/>
    <row r="12" spans="1:10" ht="17.25" customHeight="1" x14ac:dyDescent="0.2"/>
    <row r="13" spans="1:10" ht="21.75" customHeight="1" x14ac:dyDescent="0.2"/>
    <row r="17" spans="1:7" ht="15.75" customHeight="1" x14ac:dyDescent="0.2"/>
    <row r="24" spans="1:7" ht="26.25" customHeight="1" x14ac:dyDescent="0.2">
      <c r="A24" s="36"/>
      <c r="B24" s="9" t="s">
        <v>102</v>
      </c>
      <c r="C24" s="9" t="s">
        <v>101</v>
      </c>
      <c r="D24" s="9" t="s">
        <v>100</v>
      </c>
      <c r="E24" s="9" t="s">
        <v>99</v>
      </c>
      <c r="F24" s="9" t="s">
        <v>98</v>
      </c>
      <c r="G24" s="9" t="s">
        <v>97</v>
      </c>
    </row>
    <row r="25" spans="1:7" x14ac:dyDescent="0.2">
      <c r="A25" s="149" t="s">
        <v>33</v>
      </c>
      <c r="B25" s="135">
        <f>IF(OR(312875.33525="",312875.33525="***"),"-",312875.33525/2276206.61995*100)</f>
        <v>13.745471632837653</v>
      </c>
      <c r="C25" s="135">
        <f>IF(329935.3633="","-",329935.3633/2362843.47408*100)</f>
        <v>13.963487929663396</v>
      </c>
      <c r="D25" s="135">
        <f>IF(247500.3249="","-",247500.3249/1980077.64559*100)</f>
        <v>12.499526240863791</v>
      </c>
      <c r="E25" s="135">
        <f>IF(334215.40048="","-",334215.40048/2676462.27457*100)</f>
        <v>12.48720759696473</v>
      </c>
      <c r="F25" s="135">
        <f>IF(534978.72153="","-",534978.72153/3582158.92973*100)</f>
        <v>14.934533392417718</v>
      </c>
      <c r="G25" s="136">
        <f>IF(579065.53272="","-",579065.53272/3706619.37681*100)</f>
        <v>15.622470878527508</v>
      </c>
    </row>
    <row r="26" spans="1:7" x14ac:dyDescent="0.2">
      <c r="A26" s="150" t="s">
        <v>38</v>
      </c>
      <c r="B26" s="133">
        <f>IF(OR(204290.25216="",204290.25216="***"),"-",204290.25216/2276206.61995*100)</f>
        <v>8.9750311052380436</v>
      </c>
      <c r="C26" s="133">
        <f>IF(224151.43116="","-",224151.43116/2362843.47408*100)</f>
        <v>9.4865120613745226</v>
      </c>
      <c r="D26" s="133">
        <f>IF(183978.03421="","-",183978.03421/1980077.64559*100)</f>
        <v>9.2914555456829273</v>
      </c>
      <c r="E26" s="133">
        <f>IF(235097.97632="","-",235097.97632/2676462.27457*100)</f>
        <v>8.7839077185487628</v>
      </c>
      <c r="F26" s="133">
        <f>IF(311121.05215="","-",311121.05215/3582158.92973*100)</f>
        <v>8.6852944900870241</v>
      </c>
      <c r="G26" s="137">
        <f>IF(493387.21514="","-",493387.21514/3706619.37681*100)</f>
        <v>13.310975986010739</v>
      </c>
    </row>
    <row r="27" spans="1:7" x14ac:dyDescent="0.2">
      <c r="A27" s="150" t="s">
        <v>51</v>
      </c>
      <c r="B27" s="133">
        <f>IF(OR(238870.72996="",238870.72996="***"),"-",238870.72996/2276206.61995*100)</f>
        <v>10.49424634241891</v>
      </c>
      <c r="C27" s="133">
        <f>IF(234155.67584="","-",234155.67584/2362843.47408*100)</f>
        <v>9.9099105974919119</v>
      </c>
      <c r="D27" s="133">
        <f>IF(210771.85422="","-",210771.85422/1980077.64559*100)</f>
        <v>10.644625714018236</v>
      </c>
      <c r="E27" s="133">
        <f>IF(314710.73167="","-",314710.73167/2676462.27457*100)</f>
        <v>11.758459465697547</v>
      </c>
      <c r="F27" s="133">
        <f>IF(332285.51665="","-",332285.51665/3582158.92973*100)</f>
        <v>9.276124347588496</v>
      </c>
      <c r="G27" s="137">
        <f>IF(380958.10618="","-",380958.10618/3706619.37681*100)</f>
        <v>10.277777873914347</v>
      </c>
    </row>
    <row r="28" spans="1:7" x14ac:dyDescent="0.2">
      <c r="A28" s="150" t="s">
        <v>35</v>
      </c>
      <c r="B28" s="133">
        <f>IF(OR(138502.72538="",138502.72538="***"),"-",138502.72538/2276206.61995*100)</f>
        <v>6.0848046115884848</v>
      </c>
      <c r="C28" s="133">
        <f>IF(154691.72655="","-",154691.72655/2362843.47408*100)</f>
        <v>6.5468461303908834</v>
      </c>
      <c r="D28" s="133">
        <f>IF(134889.49293="","-",134889.49293/1980077.64559*100)</f>
        <v>6.8123335077502594</v>
      </c>
      <c r="E28" s="133">
        <f>IF(191436.47854="","-",191436.47854/2676462.27457*100)</f>
        <v>7.1525939430906487</v>
      </c>
      <c r="F28" s="133">
        <f>IF(252050.26462="","-",252050.26462/3582158.92973*100)</f>
        <v>7.0362669430470506</v>
      </c>
      <c r="G28" s="137">
        <f>IF(313430.98996="","-",313430.98996/3706619.37681*100)</f>
        <v>8.4559799131505571</v>
      </c>
    </row>
    <row r="29" spans="1:7" x14ac:dyDescent="0.2">
      <c r="A29" s="150" t="s">
        <v>34</v>
      </c>
      <c r="B29" s="133">
        <f>IF(OR(196034.2429="",196034.2429="***"),"-",196034.2429/2276206.61995*100)</f>
        <v>8.6123219738419952</v>
      </c>
      <c r="C29" s="133">
        <f>IF(199354.62937="","-",199354.62937/2362843.47408*100)</f>
        <v>8.437064560428448</v>
      </c>
      <c r="D29" s="133">
        <f>IF(162332.04308="","-",162332.04308/1980077.64559*100)</f>
        <v>8.1982665397765366</v>
      </c>
      <c r="E29" s="133">
        <f>IF(226949.67124="","-",226949.67124/2676462.27457*100)</f>
        <v>8.4794646050619829</v>
      </c>
      <c r="F29" s="133">
        <f>IF(239260.27108="","-",239260.27108/3582158.92973*100)</f>
        <v>6.6792198719679341</v>
      </c>
      <c r="G29" s="137">
        <f>IF(257236.03271="","-",257236.03271/3706619.37681*100)</f>
        <v>6.9399095660958618</v>
      </c>
    </row>
    <row r="30" spans="1:7" x14ac:dyDescent="0.2">
      <c r="A30" s="150" t="s">
        <v>36</v>
      </c>
      <c r="B30" s="133">
        <f>IF(OR(160269.2253="",160269.2253="***"),"-",160269.2253/2276206.61995*100)</f>
        <v>7.0410666542882003</v>
      </c>
      <c r="C30" s="133">
        <f>IF(164977.28889="","-",164977.28889/2362843.47408*100)</f>
        <v>6.9821505613796848</v>
      </c>
      <c r="D30" s="133">
        <f>IF(125493.89063="","-",125493.89063/1980077.64559*100)</f>
        <v>6.3378267468196583</v>
      </c>
      <c r="E30" s="133">
        <f>IF(178261.71393="","-",178261.71393/2676462.27457*100)</f>
        <v>6.660348461613923</v>
      </c>
      <c r="F30" s="133">
        <f>IF(189836.46701="","-",189836.46701/3582158.92973*100)</f>
        <v>5.2994987306246806</v>
      </c>
      <c r="G30" s="137">
        <f>IF(190414.36295="","-",190414.36295/3706619.37681*100)</f>
        <v>5.1371436771011245</v>
      </c>
    </row>
    <row r="31" spans="1:7" x14ac:dyDescent="0.2">
      <c r="A31" s="150" t="s">
        <v>103</v>
      </c>
      <c r="B31" s="133">
        <f>IF(OR(286172.12218="",286172.12218="***"),"-",286172.12218/2276206.61995*100)</f>
        <v>12.572326241028426</v>
      </c>
      <c r="C31" s="133">
        <f>IF(312371.0385="","-",312371.0385/2362843.47408*100)</f>
        <v>13.220132519426631</v>
      </c>
      <c r="D31" s="133">
        <f>IF(255592.76009="","-",255592.76009/1980077.64559*100)</f>
        <v>12.908219061977313</v>
      </c>
      <c r="E31" s="133">
        <f>IF(317211.62606="","-",317211.62606/2676462.27457*100)</f>
        <v>11.851899766118063</v>
      </c>
      <c r="F31" s="133">
        <f>IF(613789.94869="","-",613789.94869/3582158.92973*100)</f>
        <v>17.13463753927477</v>
      </c>
      <c r="G31" s="137">
        <f>IF(176685.35349="","-",176685.35349/3706619.37681*100)</f>
        <v>4.7667520057605532</v>
      </c>
    </row>
    <row r="32" spans="1:7" x14ac:dyDescent="0.2">
      <c r="A32" s="150" t="s">
        <v>37</v>
      </c>
      <c r="B32" s="133">
        <f>IF(OR(78946.5275="",78946.5275="***"),"-",78946.5275/2276206.61995*100)</f>
        <v>3.4683374878214774</v>
      </c>
      <c r="C32" s="133">
        <f>IF(76876.47591="","-",76876.47591/2362843.47408*100)</f>
        <v>3.2535577050838178</v>
      </c>
      <c r="D32" s="133">
        <f>IF(76501.5434="","-",76501.5434/1980077.64559*100)</f>
        <v>3.8635628037306065</v>
      </c>
      <c r="E32" s="133">
        <f>IF(103738.8945="","-",103738.8945/2676462.27457*100)</f>
        <v>3.8759707351625825</v>
      </c>
      <c r="F32" s="133">
        <f>IF(116322.6114="","-",116322.6114/3582158.92973*100)</f>
        <v>3.2472766753754176</v>
      </c>
      <c r="G32" s="137">
        <f>IF(121025.04199="","-",121025.04199/3706619.37681*100)</f>
        <v>3.2651057388621565</v>
      </c>
    </row>
    <row r="33" spans="1:7" x14ac:dyDescent="0.2">
      <c r="A33" s="150" t="s">
        <v>104</v>
      </c>
      <c r="B33" s="133">
        <f>IF(OR(68024.41431="",68024.41431="***"),"-",68024.41431/2276206.61995*100)</f>
        <v>2.9884990981835489</v>
      </c>
      <c r="C33" s="133">
        <f>IF(65411.75334="","-",65411.75334/2362843.47408*100)</f>
        <v>2.7683489853456678</v>
      </c>
      <c r="D33" s="133">
        <f>IF(57994.27069="","-",57994.27069/1980077.64559*100)</f>
        <v>2.9288887139938167</v>
      </c>
      <c r="E33" s="133">
        <f>IF(74469.83759="","-",74469.83759/2676462.27457*100)</f>
        <v>2.7823981790277359</v>
      </c>
      <c r="F33" s="133">
        <f>IF(90363.05372="","-",90363.05372/3582158.92973*100)</f>
        <v>2.5225863925253305</v>
      </c>
      <c r="G33" s="137">
        <f>IF(98713.29312="","-",98713.29312/3706619.37681*100)</f>
        <v>2.6631623882826321</v>
      </c>
    </row>
    <row r="34" spans="1:7" x14ac:dyDescent="0.2">
      <c r="A34" s="150" t="s">
        <v>72</v>
      </c>
      <c r="B34" s="133">
        <f>IF(OR(12991.74925="",12991.74925="***"),"-",12991.74925/2276206.61995*100)</f>
        <v>0.57076317835704127</v>
      </c>
      <c r="C34" s="133">
        <f>IF(14884.32898="","-",14884.32898/2362843.47408*100)</f>
        <v>0.62993292375388443</v>
      </c>
      <c r="D34" s="133">
        <f>IF(13940.70315="","-",13940.70315/1980077.64559*100)</f>
        <v>0.70404830745140368</v>
      </c>
      <c r="E34" s="133">
        <f>IF(19010.77279="","-",19010.77279/2676462.27457*100)</f>
        <v>0.71029481605729961</v>
      </c>
      <c r="F34" s="133">
        <f>IF(78910.40928="","-",78910.40928/3582158.92973*100)</f>
        <v>2.2028729274149699</v>
      </c>
      <c r="G34" s="137">
        <f>IF(87345.01428="","-",87345.01428/3706619.37681*100)</f>
        <v>2.3564603052167468</v>
      </c>
    </row>
    <row r="35" spans="1:7" x14ac:dyDescent="0.2">
      <c r="A35" s="150" t="s">
        <v>40</v>
      </c>
      <c r="B35" s="133">
        <f>IF(OR(52019.93791="",52019.93791="***"),"-",52019.93791/2276206.61995*100)</f>
        <v>2.2853785528109345</v>
      </c>
      <c r="C35" s="133">
        <f>IF(47277.86911="","-",47277.86911/2362843.47408*100)</f>
        <v>2.0008887439489902</v>
      </c>
      <c r="D35" s="133">
        <f>IF(42298.46556="","-",42298.46556/1980077.64559*100)</f>
        <v>2.1362023683367424</v>
      </c>
      <c r="E35" s="133">
        <f>IF(53570.7336="","-",53570.7336/2676462.27457*100)</f>
        <v>2.0015501099714421</v>
      </c>
      <c r="F35" s="133">
        <f>IF(78926.35585="","-",78926.35585/3582158.92973*100)</f>
        <v>2.2033180938722046</v>
      </c>
      <c r="G35" s="137">
        <f>IF(82086.63015="","-",82086.63015/3706619.37681*100)</f>
        <v>2.2145956140941991</v>
      </c>
    </row>
    <row r="36" spans="1:7" ht="13.5" customHeight="1" x14ac:dyDescent="0.2">
      <c r="A36" s="150" t="s">
        <v>59</v>
      </c>
      <c r="B36" s="133">
        <f>IF(OR(9147.95321="",9147.95321="***"),"-",9147.95321/2276206.61995*100)</f>
        <v>0.40189467554579678</v>
      </c>
      <c r="C36" s="133">
        <f>IF(8356.53673="","-",8356.53673/2362843.47408*100)</f>
        <v>0.35366442261917974</v>
      </c>
      <c r="D36" s="133">
        <f>IF(9878.45228="","-",9878.45228/1980077.64559*100)</f>
        <v>0.49889216728450742</v>
      </c>
      <c r="E36" s="133">
        <f>IF(11545.42157="","-",11545.42157/2676462.27457*100)</f>
        <v>0.43136873923825009</v>
      </c>
      <c r="F36" s="133">
        <f>IF(15612.71018="","-",15612.71018/3582158.92973*100)</f>
        <v>0.43584638443657181</v>
      </c>
      <c r="G36" s="137">
        <f>IF(68105.52567="","-",68105.52567/3706619.37681*100)</f>
        <v>1.8374027313431129</v>
      </c>
    </row>
    <row r="37" spans="1:7" ht="12" customHeight="1" x14ac:dyDescent="0.2">
      <c r="A37" s="150" t="s">
        <v>42</v>
      </c>
      <c r="B37" s="133">
        <f>IF(OR(26193.64931="",26193.64931="***"),"-",26193.64931/2276206.61995*100)</f>
        <v>1.1507588581995856</v>
      </c>
      <c r="C37" s="133">
        <f>IF(18846.74539="","-",18846.74539/2362843.47408*100)</f>
        <v>0.79762987251359063</v>
      </c>
      <c r="D37" s="133">
        <f>IF(21458.62221="","-",21458.62221/1980077.64559*100)</f>
        <v>1.0837263002181925</v>
      </c>
      <c r="E37" s="133">
        <f>IF(30084.01167="","-",30084.01167/2676462.27457*100)</f>
        <v>1.1240215098803623</v>
      </c>
      <c r="F37" s="133">
        <f>IF(50007.88355="","-",50007.88355/3582158.92973*100)</f>
        <v>1.3960263776953434</v>
      </c>
      <c r="G37" s="137">
        <f>IF(63135.90136="","-",63135.90136/3706619.37681*100)</f>
        <v>1.703328422524359</v>
      </c>
    </row>
    <row r="38" spans="1:7" ht="11.25" customHeight="1" x14ac:dyDescent="0.2">
      <c r="A38" s="150" t="s">
        <v>60</v>
      </c>
      <c r="B38" s="133">
        <f>IF(OR(33391.93649="",33391.93649="***"),"-",33391.93649/2276206.61995*100)</f>
        <v>1.466999357498288</v>
      </c>
      <c r="C38" s="133">
        <f>IF(44984.27509="","-",44984.27509/2362843.47408*100)</f>
        <v>1.9038195116803132</v>
      </c>
      <c r="D38" s="133">
        <f>IF(31546.1199="","-",31546.1199/1980077.64559*100)</f>
        <v>1.5931759024833725</v>
      </c>
      <c r="E38" s="133">
        <f>IF(46503.23923="","-",46503.23923/2676462.27457*100)</f>
        <v>1.7374890605350006</v>
      </c>
      <c r="F38" s="133">
        <f>IF(52919.55752="","-",52919.55752/3582158.92973*100)</f>
        <v>1.4773090350848486</v>
      </c>
      <c r="G38" s="137">
        <f>IF(60926.60262="","-",60926.60262/3706619.37681*100)</f>
        <v>1.6437242788180428</v>
      </c>
    </row>
    <row r="39" spans="1:7" x14ac:dyDescent="0.2">
      <c r="A39" s="150" t="s">
        <v>41</v>
      </c>
      <c r="B39" s="133">
        <f>IF(OR(34448.96405="",34448.96405="***"),"-",34448.96405/2276206.61995*100)</f>
        <v>1.5134374774271027</v>
      </c>
      <c r="C39" s="133">
        <f>IF(35188.76246="","-",35188.76246/2362843.47408*100)</f>
        <v>1.4892549102813992</v>
      </c>
      <c r="D39" s="133">
        <f>IF(31225.79153="","-",31225.79153/1980077.64559*100)</f>
        <v>1.5769983363806781</v>
      </c>
      <c r="E39" s="133">
        <f>IF(38615.56078="","-",38615.56078/2676462.27457*100)</f>
        <v>1.4427836755593342</v>
      </c>
      <c r="F39" s="133">
        <f>IF(46637.13026="","-",46637.13026/3582158.92973*100)</f>
        <v>1.3019280041691284</v>
      </c>
      <c r="G39" s="137">
        <f>IF(50499.64488="","-",50499.64488/3706619.37681*100)</f>
        <v>1.3624178731688692</v>
      </c>
    </row>
    <row r="40" spans="1:7" x14ac:dyDescent="0.2">
      <c r="A40" s="150" t="s">
        <v>61</v>
      </c>
      <c r="B40" s="133">
        <f>IF(OR(33016.40187="",33016.40187="***"),"-",33016.40187/2276206.61995*100)</f>
        <v>1.4505010916243293</v>
      </c>
      <c r="C40" s="133">
        <f>IF(30082.26799="","-",30082.26799/2362843.47408*100)</f>
        <v>1.2731384164883319</v>
      </c>
      <c r="D40" s="133">
        <f>IF(27071.76981="","-",27071.76981/1980077.64559*100)</f>
        <v>1.3672074865495225</v>
      </c>
      <c r="E40" s="133">
        <f>IF(39582.40195="","-",39582.40195/2676462.27457*100)</f>
        <v>1.4789075237893763</v>
      </c>
      <c r="F40" s="133">
        <f>IF(60249.07479="","-",60249.07479/3582158.92973*100)</f>
        <v>1.6819207626430239</v>
      </c>
      <c r="G40" s="137">
        <f>IF(49952.06489="","-",49952.06489/3706619.37681*100)</f>
        <v>1.3476448432369086</v>
      </c>
    </row>
    <row r="41" spans="1:7" x14ac:dyDescent="0.2">
      <c r="A41" s="150" t="s">
        <v>87</v>
      </c>
      <c r="B41" s="133">
        <f>IF(OR(1223.89514="",1223.89514="***"),"-",1223.89514/2276206.61995*100)</f>
        <v>5.3769070403058783E-2</v>
      </c>
      <c r="C41" s="133">
        <f>IF(3926.06436="","-",3926.06436/2362843.47408*100)</f>
        <v>0.1661584613229049</v>
      </c>
      <c r="D41" s="133">
        <f>IF(4302.81312="","-",4302.81312/1980077.64559*100)</f>
        <v>0.21730527232521221</v>
      </c>
      <c r="E41" s="133">
        <f>IF(5729.55539="","-",5729.55539/2676462.27457*100)</f>
        <v>0.21407196523704075</v>
      </c>
      <c r="F41" s="133">
        <f>IF(7452.05722="","-",7452.05722/3582158.92973*100)</f>
        <v>0.20803256824123345</v>
      </c>
      <c r="G41" s="137">
        <f>IF(44857.51053="","-",44857.51053/3706619.37681*100)</f>
        <v>1.210200076399681</v>
      </c>
    </row>
    <row r="42" spans="1:7" x14ac:dyDescent="0.2">
      <c r="A42" s="150" t="s">
        <v>52</v>
      </c>
      <c r="B42" s="133">
        <f>IF(OR(46594.88351="",46594.88351="***"),"-",46594.88351/2276206.61995*100)</f>
        <v>2.0470410331652369</v>
      </c>
      <c r="C42" s="133">
        <f>IF(38420.85678="","-",38420.85678/2362843.47408*100)</f>
        <v>1.6260432483772376</v>
      </c>
      <c r="D42" s="133">
        <f>IF(23105.27501="","-",23105.27501/1980077.64559*100)</f>
        <v>1.1668873218916305</v>
      </c>
      <c r="E42" s="133">
        <f>IF(39000.60102="","-",39000.60102/2676462.27457*100)</f>
        <v>1.4571698391028445</v>
      </c>
      <c r="F42" s="133">
        <f>IF(34940.69661="","-",34940.69661/3582158.92973*100)</f>
        <v>0.97540888875730591</v>
      </c>
      <c r="G42" s="137">
        <f>IF(38534.76366="","-",38534.76366/3706619.37681*100)</f>
        <v>1.0396201968048815</v>
      </c>
    </row>
    <row r="43" spans="1:7" x14ac:dyDescent="0.2">
      <c r="A43" s="150" t="s">
        <v>77</v>
      </c>
      <c r="B43" s="133">
        <f>IF(OR(25586.31869="",25586.31869="***"),"-",25586.31869/2276206.61995*100)</f>
        <v>1.1240771582749389</v>
      </c>
      <c r="C43" s="133">
        <f>IF(24435.09942="","-",24435.09942/2362843.47408*100)</f>
        <v>1.0341395732746994</v>
      </c>
      <c r="D43" s="133">
        <f>IF(21569.78722="","-",21569.78722/1980077.64559*100)</f>
        <v>1.0893404745031041</v>
      </c>
      <c r="E43" s="133">
        <f>IF(28671.472="","-",28671.472/2676462.27457*100)</f>
        <v>1.0712451384956045</v>
      </c>
      <c r="F43" s="133">
        <f>IF(37111.63134="","-",37111.63134/3582158.92973*100)</f>
        <v>1.0360129761969337</v>
      </c>
      <c r="G43" s="137">
        <f>IF(36999.10458="","-",36999.10458/3706619.37681*100)</f>
        <v>0.9981900167975235</v>
      </c>
    </row>
    <row r="44" spans="1:7" ht="12" customHeight="1" x14ac:dyDescent="0.2">
      <c r="A44" s="150" t="s">
        <v>79</v>
      </c>
      <c r="B44" s="133">
        <f>IF(OR(24013.97071="",24013.97071="***"),"-",24013.97071/2276206.61995*100)</f>
        <v>1.0549995988732999</v>
      </c>
      <c r="C44" s="133">
        <f>IF(18347.85685="","-",18347.85685/2362843.47408*100)</f>
        <v>0.77651596693868796</v>
      </c>
      <c r="D44" s="133">
        <f>IF(19624.56431="","-",19624.56431/1980077.64559*100)</f>
        <v>0.9911007456554819</v>
      </c>
      <c r="E44" s="133">
        <f>IF(25844.58881="","-",25844.58881/2676462.27457*100)</f>
        <v>0.96562499892333398</v>
      </c>
      <c r="F44" s="133">
        <f>IF(22325.36113="","-",22325.36113/3582158.92973*100)</f>
        <v>0.62323759408638923</v>
      </c>
      <c r="G44" s="137">
        <f>IF(36260.99698="","-",36260.99698/3706619.37681*100)</f>
        <v>0.97827678792331341</v>
      </c>
    </row>
    <row r="45" spans="1:7" x14ac:dyDescent="0.2">
      <c r="A45" s="150" t="s">
        <v>39</v>
      </c>
      <c r="B45" s="133">
        <f>IF(OR(38913.64511="",38913.64511="***"),"-",38913.64511/2276206.61995*100)</f>
        <v>1.7095831621320383</v>
      </c>
      <c r="C45" s="133">
        <f>IF(52775.92007="","-",52775.92007/2362843.47408*100)</f>
        <v>2.2335766481759398</v>
      </c>
      <c r="D45" s="133">
        <f>IF(37387.32916="","-",37387.32916/1980077.64559*100)</f>
        <v>1.8881749028008328</v>
      </c>
      <c r="E45" s="133">
        <f>IF(47482.49501="","-",47482.49501/2676462.27457*100)</f>
        <v>1.7740767527772656</v>
      </c>
      <c r="F45" s="133">
        <f>IF(47105.61448="","-",47105.61448/3582158.92973*100)</f>
        <v>1.3150062686791653</v>
      </c>
      <c r="G45" s="137">
        <f>IF(35355.14102="","-",35355.14102/3706619.37681*100)</f>
        <v>0.95383791605890311</v>
      </c>
    </row>
    <row r="46" spans="1:7" x14ac:dyDescent="0.2">
      <c r="A46" s="150" t="s">
        <v>81</v>
      </c>
      <c r="B46" s="133">
        <f>IF(OR(11485.53931="",11485.53931="***"),"-",11485.53931/2276206.61995*100)</f>
        <v>0.50459124445619508</v>
      </c>
      <c r="C46" s="133">
        <f>IF(14103.86159="","-",14103.86159/2362843.47408*100)</f>
        <v>0.59690206925329647</v>
      </c>
      <c r="D46" s="133">
        <f>IF(9225.2112="","-",9225.2112/1980077.64559*100)</f>
        <v>0.46590148727481745</v>
      </c>
      <c r="E46" s="133">
        <f>IF(14328.41212="","-",14328.41212/2676462.27457*100)</f>
        <v>0.53534892892529196</v>
      </c>
      <c r="F46" s="133">
        <f>IF(20704.17097="","-",20704.17097/3582158.92973*100)</f>
        <v>0.57798024532542303</v>
      </c>
      <c r="G46" s="137">
        <f>IF(35051.30479="","-",35051.30479/3706619.37681*100)</f>
        <v>0.94564079088600528</v>
      </c>
    </row>
    <row r="47" spans="1:7" x14ac:dyDescent="0.2">
      <c r="A47" s="150" t="s">
        <v>43</v>
      </c>
      <c r="B47" s="133">
        <f>IF(OR(24198.01658="",24198.01658="***"),"-",24198.01658/2276206.61995*100)</f>
        <v>1.0630852387439038</v>
      </c>
      <c r="C47" s="133">
        <f>IF(23531.58652="","-",23531.58652/2362843.47408*100)</f>
        <v>0.99590120031807405</v>
      </c>
      <c r="D47" s="133">
        <f>IF(20824.28491="","-",20824.28491/1980077.64559*100)</f>
        <v>1.0516903191336735</v>
      </c>
      <c r="E47" s="133">
        <f>IF(25924.73999="","-",25924.73999/2676462.27457*100)</f>
        <v>0.9686196676979153</v>
      </c>
      <c r="F47" s="133">
        <f>IF(29978.68618="","-",29978.68618/3582158.92973*100)</f>
        <v>0.83688878042771819</v>
      </c>
      <c r="G47" s="137">
        <f>IF(30432.69744="","-",30432.69744/3706619.37681*100)</f>
        <v>0.82103648490045567</v>
      </c>
    </row>
    <row r="48" spans="1:7" x14ac:dyDescent="0.2">
      <c r="A48" s="151" t="s">
        <v>80</v>
      </c>
      <c r="B48" s="134">
        <f>IF(OR(18610.94423="",18610.94423="***"),"-",18610.94423/2276206.61995*100)</f>
        <v>0.8176298261714402</v>
      </c>
      <c r="C48" s="134">
        <f>IF(17264.31821="","-",17264.31821/2362843.47408*100)</f>
        <v>0.73065856453830735</v>
      </c>
      <c r="D48" s="134">
        <f>IF(15271.67034="","-",15271.67034/1980077.64559*100)</f>
        <v>0.77126623665555949</v>
      </c>
      <c r="E48" s="134">
        <f>IF(19203.94431="","-",19203.94431/2676462.27457*100)</f>
        <v>0.71751223592663194</v>
      </c>
      <c r="F48" s="134">
        <f>IF(20786.35404="","-",20786.35404/3582158.92973*100)</f>
        <v>0.58027447826182132</v>
      </c>
      <c r="G48" s="138">
        <f>IF(25658.71508="","-",25658.71508/3706619.37681*100)</f>
        <v>0.69224035358285074</v>
      </c>
    </row>
  </sheetData>
  <mergeCells count="1">
    <mergeCell ref="A2:G2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J60"/>
  <sheetViews>
    <sheetView workbookViewId="0">
      <selection activeCell="N17" sqref="N17"/>
    </sheetView>
  </sheetViews>
  <sheetFormatPr defaultRowHeight="12" x14ac:dyDescent="0.2"/>
  <cols>
    <col min="1" max="1" width="47.140625" style="3" customWidth="1"/>
    <col min="2" max="2" width="13.7109375" style="3" customWidth="1"/>
    <col min="3" max="3" width="11.140625" style="3" customWidth="1"/>
    <col min="4" max="4" width="10.28515625" style="3" customWidth="1"/>
    <col min="5" max="5" width="10.140625" style="3" customWidth="1"/>
    <col min="6" max="16384" width="9.140625" style="3"/>
  </cols>
  <sheetData>
    <row r="2" spans="1:10" ht="12.75" x14ac:dyDescent="0.2">
      <c r="A2" s="152" t="s">
        <v>89</v>
      </c>
      <c r="B2" s="152"/>
      <c r="C2" s="152"/>
      <c r="D2" s="152"/>
      <c r="E2" s="152"/>
      <c r="F2" s="152"/>
      <c r="G2" s="152"/>
    </row>
    <row r="3" spans="1:10" x14ac:dyDescent="0.2">
      <c r="A3" s="2"/>
      <c r="B3" s="2"/>
      <c r="C3" s="2"/>
      <c r="D3" s="2"/>
      <c r="E3" s="2"/>
      <c r="F3" s="2"/>
      <c r="G3" s="2"/>
    </row>
    <row r="4" spans="1:10" x14ac:dyDescent="0.2">
      <c r="A4" s="39"/>
      <c r="B4" s="39"/>
      <c r="C4" s="39"/>
      <c r="D4" s="39"/>
      <c r="E4" s="39"/>
      <c r="F4" s="39"/>
      <c r="G4" s="38"/>
      <c r="H4" s="38"/>
      <c r="I4" s="38"/>
      <c r="J4" s="38"/>
    </row>
    <row r="5" spans="1:10" x14ac:dyDescent="0.2">
      <c r="A5" s="4"/>
      <c r="B5" s="4"/>
      <c r="C5" s="4"/>
      <c r="D5" s="4"/>
      <c r="E5" s="4"/>
      <c r="F5" s="4"/>
    </row>
    <row r="6" spans="1:10" x14ac:dyDescent="0.2">
      <c r="A6" s="4"/>
      <c r="B6" s="4"/>
      <c r="C6" s="4"/>
      <c r="D6" s="4"/>
      <c r="E6" s="4"/>
      <c r="F6" s="4"/>
    </row>
    <row r="7" spans="1:10" x14ac:dyDescent="0.2">
      <c r="A7" s="4"/>
      <c r="B7" s="4"/>
      <c r="C7" s="4"/>
      <c r="D7" s="4"/>
      <c r="E7" s="4"/>
      <c r="F7" s="4"/>
    </row>
    <row r="8" spans="1:10" x14ac:dyDescent="0.2">
      <c r="A8" s="4"/>
      <c r="B8" s="4"/>
      <c r="C8" s="4"/>
      <c r="D8" s="4"/>
      <c r="E8" s="4"/>
      <c r="F8" s="4"/>
    </row>
    <row r="9" spans="1:10" x14ac:dyDescent="0.2">
      <c r="A9" s="4"/>
      <c r="B9" s="4"/>
      <c r="C9" s="4"/>
      <c r="D9" s="4"/>
      <c r="E9" s="4"/>
      <c r="F9" s="4"/>
    </row>
    <row r="10" spans="1:10" x14ac:dyDescent="0.2">
      <c r="A10" s="4"/>
      <c r="B10" s="4"/>
      <c r="C10" s="4"/>
      <c r="D10" s="4"/>
      <c r="E10" s="4"/>
      <c r="F10" s="4"/>
    </row>
    <row r="11" spans="1:10" x14ac:dyDescent="0.2">
      <c r="A11" s="4"/>
      <c r="B11" s="4"/>
      <c r="C11" s="4"/>
      <c r="D11" s="4"/>
      <c r="E11" s="4"/>
      <c r="F11" s="4"/>
    </row>
    <row r="12" spans="1:10" x14ac:dyDescent="0.2">
      <c r="A12" s="4"/>
      <c r="B12" s="4"/>
      <c r="C12" s="4"/>
      <c r="D12" s="4"/>
      <c r="E12" s="4"/>
      <c r="F12" s="4"/>
    </row>
    <row r="13" spans="1:10" x14ac:dyDescent="0.2">
      <c r="A13" s="4"/>
      <c r="B13" s="4"/>
      <c r="C13" s="4"/>
      <c r="D13" s="4"/>
      <c r="E13" s="4"/>
      <c r="F13" s="4"/>
    </row>
    <row r="14" spans="1:10" x14ac:dyDescent="0.2">
      <c r="A14" s="4"/>
      <c r="B14" s="4"/>
      <c r="C14" s="4"/>
      <c r="D14" s="4"/>
      <c r="E14" s="4"/>
      <c r="F14" s="4"/>
    </row>
    <row r="15" spans="1:10" x14ac:dyDescent="0.2">
      <c r="A15" s="4"/>
      <c r="B15" s="4"/>
      <c r="C15" s="4"/>
      <c r="D15" s="4"/>
      <c r="E15" s="4"/>
      <c r="F15" s="4"/>
    </row>
    <row r="16" spans="1:10" x14ac:dyDescent="0.2">
      <c r="A16" s="4"/>
      <c r="B16" s="4"/>
      <c r="C16" s="4"/>
      <c r="D16" s="4"/>
      <c r="E16" s="4"/>
      <c r="F16" s="4"/>
    </row>
    <row r="17" spans="1:6" x14ac:dyDescent="0.2">
      <c r="A17" s="4"/>
      <c r="B17" s="4"/>
      <c r="C17" s="4"/>
      <c r="D17" s="4"/>
      <c r="E17" s="4"/>
      <c r="F17" s="4"/>
    </row>
    <row r="18" spans="1:6" x14ac:dyDescent="0.2">
      <c r="A18" s="4"/>
      <c r="B18" s="4"/>
      <c r="C18" s="4"/>
      <c r="D18" s="4"/>
      <c r="E18" s="4"/>
      <c r="F18" s="4"/>
    </row>
    <row r="19" spans="1:6" x14ac:dyDescent="0.2">
      <c r="A19" s="4"/>
      <c r="B19" s="4"/>
      <c r="C19" s="4"/>
      <c r="D19" s="4"/>
      <c r="E19" s="4"/>
      <c r="F19" s="4"/>
    </row>
    <row r="20" spans="1:6" x14ac:dyDescent="0.2">
      <c r="A20" s="4"/>
      <c r="B20" s="4"/>
      <c r="C20" s="4"/>
      <c r="D20" s="4"/>
      <c r="E20" s="4"/>
      <c r="F20" s="4"/>
    </row>
    <row r="21" spans="1:6" x14ac:dyDescent="0.2">
      <c r="A21" s="5"/>
    </row>
    <row r="22" spans="1:6" x14ac:dyDescent="0.2">
      <c r="A22" s="5"/>
    </row>
    <row r="23" spans="1:6" ht="16.5" customHeight="1" x14ac:dyDescent="0.2">
      <c r="A23" s="5"/>
    </row>
    <row r="24" spans="1:6" ht="16.5" customHeight="1" x14ac:dyDescent="0.2">
      <c r="A24" s="5"/>
    </row>
    <row r="25" spans="1:6" ht="9.75" customHeight="1" x14ac:dyDescent="0.2">
      <c r="A25" s="5"/>
    </row>
    <row r="26" spans="1:6" x14ac:dyDescent="0.2">
      <c r="A26" s="5"/>
    </row>
    <row r="27" spans="1:6" x14ac:dyDescent="0.2">
      <c r="A27" s="95" t="s">
        <v>106</v>
      </c>
      <c r="B27" s="36" t="s">
        <v>44</v>
      </c>
    </row>
    <row r="28" spans="1:6" x14ac:dyDescent="0.2">
      <c r="A28" s="141" t="s">
        <v>83</v>
      </c>
      <c r="B28" s="96">
        <v>13.1</v>
      </c>
    </row>
    <row r="29" spans="1:6" ht="13.5" customHeight="1" x14ac:dyDescent="0.2">
      <c r="A29" s="142" t="s">
        <v>73</v>
      </c>
      <c r="B29" s="97">
        <v>11.3</v>
      </c>
    </row>
    <row r="30" spans="1:6" x14ac:dyDescent="0.2">
      <c r="A30" s="142" t="s">
        <v>67</v>
      </c>
      <c r="B30" s="97">
        <v>6.1</v>
      </c>
    </row>
    <row r="31" spans="1:6" x14ac:dyDescent="0.2">
      <c r="A31" s="142" t="s">
        <v>78</v>
      </c>
      <c r="B31" s="97">
        <v>5.4</v>
      </c>
    </row>
    <row r="32" spans="1:6" x14ac:dyDescent="0.2">
      <c r="A32" s="142" t="s">
        <v>84</v>
      </c>
      <c r="B32" s="97">
        <v>3.8</v>
      </c>
    </row>
    <row r="33" spans="1:5" x14ac:dyDescent="0.2">
      <c r="A33" s="142" t="s">
        <v>66</v>
      </c>
      <c r="B33" s="97">
        <v>3.7</v>
      </c>
    </row>
    <row r="34" spans="1:5" x14ac:dyDescent="0.2">
      <c r="A34" s="142" t="s">
        <v>63</v>
      </c>
      <c r="B34" s="97">
        <v>2.6</v>
      </c>
    </row>
    <row r="35" spans="1:5" x14ac:dyDescent="0.2">
      <c r="A35" s="142" t="s">
        <v>76</v>
      </c>
      <c r="B35" s="97">
        <v>2.7</v>
      </c>
    </row>
    <row r="36" spans="1:5" x14ac:dyDescent="0.2">
      <c r="A36" s="142" t="s">
        <v>74</v>
      </c>
      <c r="B36" s="97">
        <v>3.5</v>
      </c>
    </row>
    <row r="37" spans="1:5" x14ac:dyDescent="0.2">
      <c r="A37" s="142" t="s">
        <v>86</v>
      </c>
      <c r="B37" s="97">
        <v>1.9</v>
      </c>
    </row>
    <row r="38" spans="1:5" x14ac:dyDescent="0.2">
      <c r="A38" s="142" t="s">
        <v>69</v>
      </c>
      <c r="B38" s="97">
        <v>2.1</v>
      </c>
    </row>
    <row r="39" spans="1:5" x14ac:dyDescent="0.2">
      <c r="A39" s="142" t="s">
        <v>95</v>
      </c>
      <c r="B39" s="97">
        <v>2.2000000000000002</v>
      </c>
    </row>
    <row r="40" spans="1:5" x14ac:dyDescent="0.2">
      <c r="A40" s="142" t="s">
        <v>108</v>
      </c>
      <c r="B40" s="97">
        <v>2.2000000000000002</v>
      </c>
    </row>
    <row r="41" spans="1:5" x14ac:dyDescent="0.2">
      <c r="A41" s="142" t="s">
        <v>62</v>
      </c>
      <c r="B41" s="97">
        <v>1.9</v>
      </c>
    </row>
    <row r="42" spans="1:5" x14ac:dyDescent="0.2">
      <c r="A42" s="143" t="s">
        <v>70</v>
      </c>
      <c r="B42" s="146">
        <v>37.5</v>
      </c>
    </row>
    <row r="43" spans="1:5" x14ac:dyDescent="0.2">
      <c r="A43" s="58"/>
      <c r="B43" s="145"/>
    </row>
    <row r="44" spans="1:5" x14ac:dyDescent="0.2">
      <c r="A44" s="58"/>
      <c r="B44" s="32"/>
    </row>
    <row r="45" spans="1:5" ht="11.25" customHeight="1" x14ac:dyDescent="0.2">
      <c r="A45" s="95" t="s">
        <v>107</v>
      </c>
      <c r="B45" s="55" t="s">
        <v>44</v>
      </c>
    </row>
    <row r="46" spans="1:5" ht="15" x14ac:dyDescent="0.2">
      <c r="A46" s="141" t="s">
        <v>83</v>
      </c>
      <c r="B46" s="108">
        <v>16.100000000000001</v>
      </c>
      <c r="E46" s="116"/>
    </row>
    <row r="47" spans="1:5" ht="15" x14ac:dyDescent="0.2">
      <c r="A47" s="142" t="s">
        <v>73</v>
      </c>
      <c r="B47" s="109">
        <v>9.3000000000000007</v>
      </c>
      <c r="E47" s="116"/>
    </row>
    <row r="48" spans="1:5" ht="15" x14ac:dyDescent="0.2">
      <c r="A48" s="142" t="s">
        <v>67</v>
      </c>
      <c r="B48" s="109">
        <v>7.1</v>
      </c>
      <c r="E48" s="116"/>
    </row>
    <row r="49" spans="1:5" ht="15" x14ac:dyDescent="0.2">
      <c r="A49" s="142" t="s">
        <v>78</v>
      </c>
      <c r="B49" s="109">
        <v>6.2</v>
      </c>
      <c r="E49" s="116"/>
    </row>
    <row r="50" spans="1:5" ht="15" x14ac:dyDescent="0.2">
      <c r="A50" s="142" t="s">
        <v>84</v>
      </c>
      <c r="B50" s="109">
        <v>3.4</v>
      </c>
      <c r="E50" s="116"/>
    </row>
    <row r="51" spans="1:5" ht="15" x14ac:dyDescent="0.2">
      <c r="A51" s="142" t="s">
        <v>66</v>
      </c>
      <c r="B51" s="109">
        <v>3.4</v>
      </c>
      <c r="E51" s="116"/>
    </row>
    <row r="52" spans="1:5" ht="15" x14ac:dyDescent="0.2">
      <c r="A52" s="142" t="s">
        <v>63</v>
      </c>
      <c r="B52" s="109">
        <v>3</v>
      </c>
      <c r="E52" s="116"/>
    </row>
    <row r="53" spans="1:5" ht="15" x14ac:dyDescent="0.2">
      <c r="A53" s="142" t="s">
        <v>76</v>
      </c>
      <c r="B53" s="109">
        <v>2.6</v>
      </c>
      <c r="E53" s="116"/>
    </row>
    <row r="54" spans="1:5" ht="15" x14ac:dyDescent="0.2">
      <c r="A54" s="142" t="s">
        <v>74</v>
      </c>
      <c r="B54" s="109">
        <v>2.4</v>
      </c>
      <c r="E54" s="116"/>
    </row>
    <row r="55" spans="1:5" ht="15" x14ac:dyDescent="0.2">
      <c r="A55" s="142" t="s">
        <v>86</v>
      </c>
      <c r="B55" s="109">
        <v>2.2999999999999998</v>
      </c>
      <c r="E55" s="116"/>
    </row>
    <row r="56" spans="1:5" ht="15" x14ac:dyDescent="0.2">
      <c r="A56" s="142" t="s">
        <v>69</v>
      </c>
      <c r="B56" s="109">
        <v>2.2000000000000002</v>
      </c>
      <c r="E56" s="116"/>
    </row>
    <row r="57" spans="1:5" ht="15" x14ac:dyDescent="0.2">
      <c r="A57" s="142" t="s">
        <v>95</v>
      </c>
      <c r="B57" s="109">
        <v>2.2000000000000002</v>
      </c>
      <c r="E57" s="116"/>
    </row>
    <row r="58" spans="1:5" ht="15" x14ac:dyDescent="0.2">
      <c r="A58" s="142" t="s">
        <v>108</v>
      </c>
      <c r="B58" s="109">
        <v>2</v>
      </c>
      <c r="E58" s="116"/>
    </row>
    <row r="59" spans="1:5" ht="15" x14ac:dyDescent="0.2">
      <c r="A59" s="142" t="s">
        <v>62</v>
      </c>
      <c r="B59" s="109">
        <v>1.9</v>
      </c>
      <c r="E59" s="116"/>
    </row>
    <row r="60" spans="1:5" x14ac:dyDescent="0.2">
      <c r="A60" s="143" t="s">
        <v>70</v>
      </c>
      <c r="B60" s="114">
        <v>35.9</v>
      </c>
    </row>
  </sheetData>
  <mergeCells count="1">
    <mergeCell ref="A2:G2"/>
  </mergeCell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M28"/>
  <sheetViews>
    <sheetView workbookViewId="0">
      <selection activeCell="I35" sqref="I35"/>
    </sheetView>
  </sheetViews>
  <sheetFormatPr defaultRowHeight="12" x14ac:dyDescent="0.2"/>
  <cols>
    <col min="1" max="9" width="9.140625" style="3"/>
    <col min="10" max="10" width="11.42578125" style="3" customWidth="1"/>
    <col min="11" max="11" width="11.5703125" style="3" customWidth="1"/>
    <col min="12" max="12" width="11.28515625" style="3" customWidth="1"/>
    <col min="13" max="13" width="11.7109375" style="3" customWidth="1"/>
    <col min="14" max="16384" width="9.140625" style="3"/>
  </cols>
  <sheetData>
    <row r="2" spans="1:13" ht="12.75" x14ac:dyDescent="0.2">
      <c r="A2" s="158" t="s">
        <v>93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1:13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3" x14ac:dyDescent="0.2">
      <c r="A4" s="4"/>
      <c r="B4" s="4"/>
      <c r="C4" s="4"/>
      <c r="D4" s="4"/>
      <c r="E4" s="4"/>
      <c r="F4" s="4"/>
      <c r="G4" s="4"/>
      <c r="H4" s="4"/>
      <c r="I4" s="4"/>
      <c r="J4" s="4"/>
    </row>
    <row r="5" spans="1:13" x14ac:dyDescent="0.2">
      <c r="A5" s="4"/>
      <c r="B5" s="4"/>
      <c r="C5" s="4"/>
      <c r="D5" s="4"/>
      <c r="E5" s="4"/>
      <c r="F5" s="4"/>
      <c r="G5" s="4"/>
      <c r="H5" s="4"/>
      <c r="I5" s="4"/>
      <c r="J5" s="4"/>
    </row>
    <row r="6" spans="1:13" x14ac:dyDescent="0.2">
      <c r="A6" s="4"/>
      <c r="B6" s="4"/>
      <c r="C6" s="4"/>
      <c r="D6" s="4"/>
      <c r="E6" s="4"/>
      <c r="F6" s="4"/>
      <c r="G6" s="4"/>
      <c r="H6" s="4"/>
      <c r="I6" s="4"/>
      <c r="J6" s="4"/>
    </row>
    <row r="7" spans="1:13" x14ac:dyDescent="0.2">
      <c r="A7" s="4"/>
      <c r="B7" s="4"/>
      <c r="C7" s="4"/>
      <c r="D7" s="4"/>
      <c r="E7" s="4"/>
      <c r="F7" s="4"/>
      <c r="G7" s="4"/>
      <c r="H7" s="4"/>
      <c r="I7" s="4"/>
      <c r="J7" s="4"/>
    </row>
    <row r="8" spans="1:13" x14ac:dyDescent="0.2">
      <c r="A8" s="4"/>
      <c r="B8" s="4"/>
      <c r="C8" s="4"/>
      <c r="D8" s="4"/>
      <c r="E8" s="4"/>
      <c r="F8" s="4"/>
      <c r="G8" s="4"/>
      <c r="H8" s="4"/>
      <c r="I8" s="4"/>
      <c r="J8" s="4"/>
    </row>
    <row r="9" spans="1:13" x14ac:dyDescent="0.2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3" x14ac:dyDescent="0.2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3" x14ac:dyDescent="0.2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3" x14ac:dyDescent="0.2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3" x14ac:dyDescent="0.2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3" x14ac:dyDescent="0.2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3" x14ac:dyDescent="0.2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3" x14ac:dyDescent="0.2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3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3" x14ac:dyDescent="0.2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3" x14ac:dyDescent="0.2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3" x14ac:dyDescent="0.2">
      <c r="A20" s="4"/>
      <c r="B20" s="4"/>
      <c r="C20" s="4"/>
      <c r="D20" s="4"/>
      <c r="E20" s="4"/>
      <c r="F20" s="4"/>
      <c r="G20" s="4"/>
      <c r="H20" s="4"/>
      <c r="I20" s="4"/>
      <c r="J20" s="4"/>
    </row>
    <row r="22" spans="1:13" x14ac:dyDescent="0.2">
      <c r="A22" s="25" t="s">
        <v>0</v>
      </c>
      <c r="B22" s="36" t="s">
        <v>1</v>
      </c>
      <c r="C22" s="36" t="s">
        <v>2</v>
      </c>
      <c r="D22" s="36" t="s">
        <v>3</v>
      </c>
      <c r="E22" s="36" t="s">
        <v>4</v>
      </c>
      <c r="F22" s="36" t="s">
        <v>5</v>
      </c>
      <c r="G22" s="36" t="s">
        <v>6</v>
      </c>
      <c r="H22" s="36" t="s">
        <v>7</v>
      </c>
      <c r="I22" s="36" t="s">
        <v>8</v>
      </c>
      <c r="J22" s="36" t="s">
        <v>9</v>
      </c>
      <c r="K22" s="36" t="s">
        <v>10</v>
      </c>
      <c r="L22" s="36" t="s">
        <v>11</v>
      </c>
      <c r="M22" s="36" t="s">
        <v>12</v>
      </c>
    </row>
    <row r="23" spans="1:13" x14ac:dyDescent="0.2">
      <c r="A23" s="27">
        <v>2018</v>
      </c>
      <c r="B23" s="32">
        <v>-154</v>
      </c>
      <c r="C23" s="32">
        <v>-212.1</v>
      </c>
      <c r="D23" s="32">
        <v>-282</v>
      </c>
      <c r="E23" s="32">
        <v>-244.9</v>
      </c>
      <c r="F23" s="32">
        <v>-282.60000000000002</v>
      </c>
      <c r="G23" s="32">
        <v>-244.6</v>
      </c>
      <c r="H23" s="32">
        <v>-269.2</v>
      </c>
      <c r="I23" s="32">
        <v>-262.10000000000002</v>
      </c>
      <c r="J23" s="32">
        <v>-266.7</v>
      </c>
      <c r="K23" s="32">
        <v>-281.60000000000002</v>
      </c>
      <c r="L23" s="32">
        <v>-253.70000000000005</v>
      </c>
      <c r="M23" s="33">
        <v>-300.49999999999994</v>
      </c>
    </row>
    <row r="24" spans="1:13" x14ac:dyDescent="0.2">
      <c r="A24" s="27">
        <v>2019</v>
      </c>
      <c r="B24" s="32">
        <v>-138.30000000000001</v>
      </c>
      <c r="C24" s="32">
        <v>-217.9</v>
      </c>
      <c r="D24" s="32">
        <v>-276.60000000000002</v>
      </c>
      <c r="E24" s="32">
        <v>-300</v>
      </c>
      <c r="F24" s="32">
        <v>-271.10000000000002</v>
      </c>
      <c r="G24" s="32">
        <v>-243.2</v>
      </c>
      <c r="H24" s="32">
        <v>-278.89999999999998</v>
      </c>
      <c r="I24" s="32">
        <v>-258.5</v>
      </c>
      <c r="J24" s="32">
        <v>-262.89999999999998</v>
      </c>
      <c r="K24" s="32">
        <v>-257</v>
      </c>
      <c r="L24" s="32">
        <v>-237.5</v>
      </c>
      <c r="M24" s="33">
        <v>-321.39999999999998</v>
      </c>
    </row>
    <row r="25" spans="1:13" x14ac:dyDescent="0.2">
      <c r="A25" s="27">
        <v>2020</v>
      </c>
      <c r="B25" s="32">
        <v>-160.30000000000001</v>
      </c>
      <c r="C25" s="32">
        <v>-239.5</v>
      </c>
      <c r="D25" s="32">
        <v>-290.3</v>
      </c>
      <c r="E25" s="32">
        <v>-135.80000000000001</v>
      </c>
      <c r="F25" s="32">
        <v>-173.7</v>
      </c>
      <c r="G25" s="32">
        <v>-223.9</v>
      </c>
      <c r="H25" s="32">
        <v>-305.5</v>
      </c>
      <c r="I25" s="32">
        <v>-269.7</v>
      </c>
      <c r="J25" s="32">
        <v>-296</v>
      </c>
      <c r="K25" s="32">
        <v>-244.2</v>
      </c>
      <c r="L25" s="32">
        <v>-260.89999999999998</v>
      </c>
      <c r="M25" s="33">
        <v>-349</v>
      </c>
    </row>
    <row r="26" spans="1:13" x14ac:dyDescent="0.2">
      <c r="A26" s="27">
        <v>2021</v>
      </c>
      <c r="B26" s="32">
        <v>-201</v>
      </c>
      <c r="C26" s="32">
        <v>-294.39999999999998</v>
      </c>
      <c r="D26" s="32">
        <v>-370.8</v>
      </c>
      <c r="E26" s="32">
        <v>-344</v>
      </c>
      <c r="F26" s="32">
        <v>-361.7</v>
      </c>
      <c r="G26" s="32">
        <v>-362.8</v>
      </c>
      <c r="H26" s="32">
        <v>-321.3</v>
      </c>
      <c r="I26" s="32">
        <v>-338.6</v>
      </c>
      <c r="J26" s="32">
        <v>-376.3</v>
      </c>
      <c r="K26" s="32">
        <v>-294.60000000000002</v>
      </c>
      <c r="L26" s="32">
        <v>-337.6</v>
      </c>
      <c r="M26" s="33">
        <v>-429.2</v>
      </c>
    </row>
    <row r="27" spans="1:13" x14ac:dyDescent="0.2">
      <c r="A27" s="27">
        <v>2022</v>
      </c>
      <c r="B27" s="32">
        <v>-291.3</v>
      </c>
      <c r="C27" s="32">
        <v>-332.6</v>
      </c>
      <c r="D27" s="32">
        <v>-352.5</v>
      </c>
      <c r="E27" s="32">
        <v>-374.1</v>
      </c>
      <c r="F27" s="32">
        <v>-356.7</v>
      </c>
      <c r="G27" s="32">
        <v>-352</v>
      </c>
      <c r="H27" s="32">
        <v>-422.8</v>
      </c>
      <c r="I27" s="32">
        <v>-450.6</v>
      </c>
      <c r="J27" s="32">
        <v>-525.29999999999995</v>
      </c>
      <c r="K27" s="32">
        <v>-399.2</v>
      </c>
      <c r="L27" s="32">
        <v>-502.5</v>
      </c>
      <c r="M27" s="33">
        <v>-524.29999999999995</v>
      </c>
    </row>
    <row r="28" spans="1:13" x14ac:dyDescent="0.2">
      <c r="A28" s="28">
        <v>2023</v>
      </c>
      <c r="B28" s="10">
        <v>-402.2</v>
      </c>
      <c r="C28" s="10">
        <v>-396.5</v>
      </c>
      <c r="D28" s="34">
        <v>-436.3</v>
      </c>
      <c r="E28" s="34">
        <v>-373.6</v>
      </c>
      <c r="F28" s="34">
        <v>-372.6</v>
      </c>
      <c r="G28" s="34"/>
      <c r="H28" s="34"/>
      <c r="I28" s="34"/>
      <c r="J28" s="34"/>
      <c r="K28" s="34"/>
      <c r="L28" s="34"/>
      <c r="M28" s="35"/>
    </row>
  </sheetData>
  <mergeCells count="1">
    <mergeCell ref="A2:M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M34"/>
  <sheetViews>
    <sheetView zoomScaleNormal="100" workbookViewId="0">
      <selection activeCell="G30" sqref="G30"/>
    </sheetView>
  </sheetViews>
  <sheetFormatPr defaultRowHeight="12" x14ac:dyDescent="0.2"/>
  <cols>
    <col min="1" max="1" width="20.85546875" style="3" customWidth="1"/>
    <col min="2" max="2" width="21.5703125" style="3" customWidth="1"/>
    <col min="3" max="3" width="21.42578125" style="3" customWidth="1"/>
    <col min="4" max="4" width="22.140625" style="3" customWidth="1"/>
    <col min="5" max="16384" width="9.140625" style="3"/>
  </cols>
  <sheetData>
    <row r="2" spans="1:13" ht="12.75" x14ac:dyDescent="0.2">
      <c r="A2" s="162" t="s">
        <v>117</v>
      </c>
      <c r="B2" s="162"/>
      <c r="C2" s="162"/>
      <c r="D2" s="162"/>
      <c r="E2" s="162"/>
      <c r="F2" s="162"/>
      <c r="G2" s="38"/>
      <c r="H2" s="38"/>
      <c r="I2" s="38"/>
      <c r="J2" s="38"/>
      <c r="K2" s="38"/>
      <c r="L2" s="38"/>
      <c r="M2" s="38"/>
    </row>
    <row r="3" spans="1:13" x14ac:dyDescent="0.2">
      <c r="A3" s="71"/>
      <c r="B3" s="71"/>
      <c r="C3" s="71"/>
      <c r="D3" s="71"/>
      <c r="E3" s="71"/>
      <c r="F3" s="71"/>
      <c r="G3" s="38"/>
      <c r="H3" s="38"/>
      <c r="I3" s="38"/>
      <c r="J3" s="38"/>
      <c r="K3" s="38"/>
      <c r="L3" s="38"/>
      <c r="M3" s="38"/>
    </row>
    <row r="4" spans="1:13" ht="19.5" customHeight="1" x14ac:dyDescent="0.2">
      <c r="A4" s="4"/>
      <c r="B4" s="4"/>
      <c r="C4" s="4"/>
      <c r="D4" s="4"/>
      <c r="E4" s="4"/>
      <c r="F4" s="4"/>
    </row>
    <row r="5" spans="1:13" x14ac:dyDescent="0.2">
      <c r="A5" s="4"/>
      <c r="B5" s="4"/>
      <c r="C5" s="4"/>
      <c r="D5" s="4"/>
      <c r="E5" s="4"/>
      <c r="F5" s="4"/>
    </row>
    <row r="6" spans="1:13" x14ac:dyDescent="0.2">
      <c r="A6" s="4"/>
      <c r="B6" s="4"/>
      <c r="C6" s="4"/>
      <c r="D6" s="4"/>
      <c r="E6" s="4"/>
      <c r="F6" s="4"/>
    </row>
    <row r="7" spans="1:13" x14ac:dyDescent="0.2">
      <c r="A7" s="4"/>
      <c r="B7" s="4"/>
      <c r="C7" s="4"/>
      <c r="D7" s="4"/>
      <c r="E7" s="4"/>
      <c r="F7" s="4"/>
    </row>
    <row r="8" spans="1:13" x14ac:dyDescent="0.2">
      <c r="A8" s="4"/>
      <c r="B8" s="4"/>
      <c r="C8" s="4"/>
      <c r="D8" s="4"/>
      <c r="E8" s="4"/>
      <c r="F8" s="4"/>
    </row>
    <row r="9" spans="1:13" x14ac:dyDescent="0.2">
      <c r="A9" s="4"/>
      <c r="B9" s="4"/>
      <c r="C9" s="4"/>
      <c r="D9" s="4"/>
      <c r="E9" s="4"/>
      <c r="F9" s="4"/>
    </row>
    <row r="10" spans="1:13" x14ac:dyDescent="0.2">
      <c r="A10" s="4"/>
      <c r="B10" s="4"/>
      <c r="C10" s="4"/>
      <c r="D10" s="4"/>
      <c r="E10" s="4"/>
      <c r="F10" s="4"/>
    </row>
    <row r="11" spans="1:13" x14ac:dyDescent="0.2">
      <c r="A11" s="4"/>
      <c r="B11" s="4"/>
      <c r="C11" s="4"/>
      <c r="D11" s="4"/>
      <c r="E11" s="4"/>
      <c r="F11" s="4"/>
    </row>
    <row r="12" spans="1:13" x14ac:dyDescent="0.2">
      <c r="A12" s="4"/>
      <c r="B12" s="4"/>
      <c r="C12" s="4"/>
      <c r="D12" s="4"/>
      <c r="E12" s="4"/>
      <c r="F12" s="4"/>
    </row>
    <row r="13" spans="1:13" x14ac:dyDescent="0.2">
      <c r="A13" s="4"/>
      <c r="B13" s="4"/>
      <c r="C13" s="4"/>
      <c r="D13" s="4"/>
      <c r="E13" s="4"/>
      <c r="F13" s="4"/>
    </row>
    <row r="14" spans="1:13" x14ac:dyDescent="0.2">
      <c r="A14" s="4"/>
      <c r="B14" s="4"/>
      <c r="C14" s="4"/>
      <c r="D14" s="4"/>
      <c r="E14" s="4"/>
      <c r="F14" s="4"/>
    </row>
    <row r="15" spans="1:13" x14ac:dyDescent="0.2">
      <c r="A15" s="4"/>
      <c r="B15" s="4"/>
      <c r="C15" s="4"/>
      <c r="D15" s="4"/>
      <c r="E15" s="4"/>
      <c r="F15" s="4"/>
    </row>
    <row r="16" spans="1:13" x14ac:dyDescent="0.2">
      <c r="A16" s="4"/>
      <c r="B16" s="4"/>
      <c r="C16" s="4"/>
      <c r="D16" s="4"/>
      <c r="E16" s="4"/>
      <c r="F16" s="4"/>
    </row>
    <row r="17" spans="1:6" x14ac:dyDescent="0.2">
      <c r="A17" s="4"/>
      <c r="B17" s="4"/>
      <c r="C17" s="4"/>
      <c r="D17" s="4"/>
      <c r="E17" s="4"/>
      <c r="F17" s="4"/>
    </row>
    <row r="18" spans="1:6" x14ac:dyDescent="0.2">
      <c r="A18" s="4"/>
      <c r="B18" s="4"/>
      <c r="C18" s="4"/>
      <c r="D18" s="4"/>
      <c r="E18" s="4"/>
      <c r="F18" s="4"/>
    </row>
    <row r="19" spans="1:6" x14ac:dyDescent="0.2">
      <c r="A19" s="4"/>
      <c r="B19" s="4"/>
      <c r="C19" s="4"/>
      <c r="D19" s="4"/>
      <c r="E19" s="4"/>
      <c r="F19" s="4"/>
    </row>
    <row r="20" spans="1:6" x14ac:dyDescent="0.2">
      <c r="A20" s="4"/>
      <c r="B20" s="4"/>
      <c r="C20" s="4"/>
      <c r="D20" s="4"/>
      <c r="E20" s="4"/>
      <c r="F20" s="4"/>
    </row>
    <row r="21" spans="1:6" x14ac:dyDescent="0.2">
      <c r="A21" s="4"/>
      <c r="B21" s="4"/>
      <c r="C21" s="4"/>
      <c r="D21" s="4"/>
      <c r="E21" s="4"/>
      <c r="F21" s="4"/>
    </row>
    <row r="22" spans="1:6" x14ac:dyDescent="0.2">
      <c r="A22" s="4"/>
      <c r="B22" s="4"/>
      <c r="C22" s="4"/>
      <c r="D22" s="4"/>
      <c r="E22" s="4"/>
      <c r="F22" s="4"/>
    </row>
    <row r="23" spans="1:6" x14ac:dyDescent="0.2">
      <c r="A23" s="4"/>
      <c r="B23" s="4"/>
      <c r="C23" s="4"/>
      <c r="D23" s="4"/>
      <c r="E23" s="4"/>
      <c r="F23" s="4"/>
    </row>
    <row r="24" spans="1:6" x14ac:dyDescent="0.2">
      <c r="A24" s="4"/>
      <c r="B24" s="4"/>
      <c r="C24" s="4"/>
      <c r="D24" s="4"/>
      <c r="E24" s="4"/>
      <c r="F24" s="4"/>
    </row>
    <row r="25" spans="1:6" x14ac:dyDescent="0.2">
      <c r="A25" s="4"/>
      <c r="B25" s="4"/>
      <c r="C25" s="4"/>
      <c r="D25" s="4"/>
      <c r="E25" s="4"/>
      <c r="F25" s="4"/>
    </row>
    <row r="27" spans="1:6" x14ac:dyDescent="0.2">
      <c r="A27" s="93" t="s">
        <v>53</v>
      </c>
      <c r="B27" s="21" t="s">
        <v>54</v>
      </c>
      <c r="C27" s="21" t="s">
        <v>55</v>
      </c>
      <c r="D27" s="22" t="s">
        <v>56</v>
      </c>
    </row>
    <row r="28" spans="1:6" ht="15.75" customHeight="1" x14ac:dyDescent="0.2">
      <c r="A28" s="91" t="s">
        <v>102</v>
      </c>
      <c r="B28" s="121">
        <v>1100.6743613900001</v>
      </c>
      <c r="C28" s="100">
        <v>2276.20661995</v>
      </c>
      <c r="D28" s="136">
        <v>-1175.5322585599999</v>
      </c>
    </row>
    <row r="29" spans="1:6" ht="15" customHeight="1" x14ac:dyDescent="0.2">
      <c r="A29" s="92" t="s">
        <v>101</v>
      </c>
      <c r="B29" s="122">
        <v>1159.0011391400001</v>
      </c>
      <c r="C29" s="123">
        <v>2362.8434740799999</v>
      </c>
      <c r="D29" s="137">
        <v>-1203.8423349399998</v>
      </c>
    </row>
    <row r="30" spans="1:6" ht="14.25" customHeight="1" x14ac:dyDescent="0.2">
      <c r="A30" s="92" t="s">
        <v>100</v>
      </c>
      <c r="B30" s="122">
        <v>980.59775708000006</v>
      </c>
      <c r="C30" s="123">
        <v>1980.07764559</v>
      </c>
      <c r="D30" s="137">
        <v>-999.47988850999991</v>
      </c>
    </row>
    <row r="31" spans="1:6" ht="14.25" customHeight="1" x14ac:dyDescent="0.2">
      <c r="A31" s="92" t="s">
        <v>99</v>
      </c>
      <c r="B31" s="122">
        <v>1104.6915409800001</v>
      </c>
      <c r="C31" s="123">
        <v>2676.4622745699999</v>
      </c>
      <c r="D31" s="137">
        <v>-1571.7707335899997</v>
      </c>
    </row>
    <row r="32" spans="1:6" ht="13.5" customHeight="1" x14ac:dyDescent="0.2">
      <c r="A32" s="92" t="s">
        <v>98</v>
      </c>
      <c r="B32" s="122">
        <v>1874.95438713</v>
      </c>
      <c r="C32" s="123">
        <v>3582.1589297300002</v>
      </c>
      <c r="D32" s="137">
        <v>-1707.2045426000002</v>
      </c>
    </row>
    <row r="33" spans="1:4" ht="13.5" customHeight="1" x14ac:dyDescent="0.2">
      <c r="A33" s="92" t="s">
        <v>97</v>
      </c>
      <c r="B33" s="118">
        <v>1725.4837506700001</v>
      </c>
      <c r="C33" s="101">
        <v>3706.6193768099997</v>
      </c>
      <c r="D33" s="138">
        <v>-1981.1356261399997</v>
      </c>
    </row>
    <row r="34" spans="1:4" x14ac:dyDescent="0.2">
      <c r="A34" s="1"/>
    </row>
  </sheetData>
  <mergeCells count="1">
    <mergeCell ref="A2:F2"/>
  </mergeCells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D38"/>
  <sheetViews>
    <sheetView workbookViewId="0">
      <selection activeCell="AH26" sqref="AH26"/>
    </sheetView>
  </sheetViews>
  <sheetFormatPr defaultRowHeight="12" x14ac:dyDescent="0.2"/>
  <cols>
    <col min="1" max="1" width="17.85546875" style="3" customWidth="1"/>
    <col min="2" max="2" width="5" style="3" customWidth="1"/>
    <col min="3" max="3" width="5.85546875" style="3" customWidth="1"/>
    <col min="4" max="4" width="5.7109375" style="3" customWidth="1"/>
    <col min="5" max="5" width="5.85546875" style="3" customWidth="1"/>
    <col min="6" max="6" width="6.140625" style="3" customWidth="1"/>
    <col min="7" max="8" width="5.5703125" style="3" customWidth="1"/>
    <col min="9" max="9" width="5.42578125" style="3" customWidth="1"/>
    <col min="10" max="10" width="5.7109375" style="3" customWidth="1"/>
    <col min="11" max="11" width="5.5703125" style="3" customWidth="1"/>
    <col min="12" max="12" width="6.140625" style="3" customWidth="1"/>
    <col min="13" max="13" width="6.5703125" style="3" customWidth="1"/>
    <col min="14" max="16" width="6" style="3" customWidth="1"/>
    <col min="17" max="17" width="5.85546875" style="3" customWidth="1"/>
    <col min="18" max="18" width="6.42578125" style="3" customWidth="1"/>
    <col min="19" max="19" width="5.85546875" style="3" customWidth="1"/>
    <col min="20" max="20" width="6.42578125" style="3" customWidth="1"/>
    <col min="21" max="21" width="6" style="3" customWidth="1"/>
    <col min="22" max="22" width="5.85546875" style="3" customWidth="1"/>
    <col min="23" max="23" width="6.85546875" style="3" customWidth="1"/>
    <col min="24" max="24" width="6.140625" style="3" customWidth="1"/>
    <col min="25" max="25" width="7.42578125" style="3" customWidth="1"/>
    <col min="26" max="26" width="6.85546875" style="3" customWidth="1"/>
    <col min="27" max="27" width="6" style="3" customWidth="1"/>
    <col min="28" max="28" width="6.140625" style="3" customWidth="1"/>
    <col min="29" max="29" width="6.5703125" style="3" customWidth="1"/>
    <col min="30" max="30" width="7" style="3" customWidth="1"/>
    <col min="31" max="31" width="6.85546875" style="3" customWidth="1"/>
    <col min="32" max="16384" width="9.140625" style="3"/>
  </cols>
  <sheetData>
    <row r="2" spans="1:19" ht="15.75" customHeight="1" x14ac:dyDescent="0.2">
      <c r="A2" s="158" t="s">
        <v>90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</row>
    <row r="3" spans="1:19" ht="15.75" customHeight="1" x14ac:dyDescent="0.2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9" ht="14.25" customHeight="1" x14ac:dyDescent="0.2">
      <c r="A4" s="4"/>
    </row>
    <row r="5" spans="1:19" ht="14.25" customHeight="1" x14ac:dyDescent="0.2">
      <c r="A5" s="4"/>
    </row>
    <row r="6" spans="1:19" ht="15" customHeight="1" x14ac:dyDescent="0.2">
      <c r="A6" s="4"/>
    </row>
    <row r="7" spans="1:19" ht="16.5" customHeight="1" x14ac:dyDescent="0.2">
      <c r="A7" s="4"/>
    </row>
    <row r="8" spans="1:19" ht="15" customHeight="1" x14ac:dyDescent="0.2">
      <c r="A8" s="4"/>
    </row>
    <row r="9" spans="1:19" ht="14.25" customHeight="1" x14ac:dyDescent="0.2">
      <c r="A9" s="4"/>
    </row>
    <row r="10" spans="1:19" ht="13.5" customHeight="1" x14ac:dyDescent="0.2">
      <c r="A10" s="4"/>
    </row>
    <row r="11" spans="1:19" ht="17.25" customHeight="1" x14ac:dyDescent="0.2">
      <c r="A11" s="4"/>
    </row>
    <row r="12" spans="1:19" ht="17.25" customHeight="1" x14ac:dyDescent="0.2">
      <c r="A12" s="4"/>
    </row>
    <row r="13" spans="1:19" ht="16.5" customHeight="1" x14ac:dyDescent="0.2">
      <c r="A13" s="4"/>
    </row>
    <row r="14" spans="1:19" ht="15" customHeight="1" x14ac:dyDescent="0.2">
      <c r="A14" s="4"/>
    </row>
    <row r="15" spans="1:19" ht="15" customHeight="1" x14ac:dyDescent="0.2">
      <c r="A15" s="4"/>
    </row>
    <row r="16" spans="1:19" ht="15.75" customHeight="1" x14ac:dyDescent="0.2">
      <c r="A16" s="4"/>
    </row>
    <row r="17" spans="1:30" ht="22.5" customHeight="1" x14ac:dyDescent="0.2">
      <c r="A17" s="4"/>
    </row>
    <row r="18" spans="1:30" x14ac:dyDescent="0.2">
      <c r="A18" s="4"/>
    </row>
    <row r="19" spans="1:30" x14ac:dyDescent="0.2">
      <c r="A19" s="5"/>
    </row>
    <row r="20" spans="1:30" x14ac:dyDescent="0.2">
      <c r="A20" s="5"/>
    </row>
    <row r="21" spans="1:30" x14ac:dyDescent="0.2">
      <c r="A21" s="5"/>
    </row>
    <row r="22" spans="1:30" ht="19.5" customHeight="1" x14ac:dyDescent="0.2">
      <c r="A22" s="5"/>
    </row>
    <row r="23" spans="1:30" ht="15" customHeight="1" x14ac:dyDescent="0.2">
      <c r="A23" s="153"/>
      <c r="B23" s="155">
        <v>2021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7"/>
      <c r="N23" s="155">
        <v>2022</v>
      </c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7"/>
      <c r="Z23" s="159">
        <v>2023</v>
      </c>
      <c r="AA23" s="160"/>
      <c r="AB23" s="160"/>
      <c r="AC23" s="160"/>
      <c r="AD23" s="161"/>
    </row>
    <row r="24" spans="1:30" x14ac:dyDescent="0.2">
      <c r="A24" s="154"/>
      <c r="B24" s="20" t="s">
        <v>13</v>
      </c>
      <c r="C24" s="52" t="s">
        <v>14</v>
      </c>
      <c r="D24" s="20" t="s">
        <v>15</v>
      </c>
      <c r="E24" s="20" t="s">
        <v>16</v>
      </c>
      <c r="F24" s="20" t="s">
        <v>17</v>
      </c>
      <c r="G24" s="20" t="s">
        <v>22</v>
      </c>
      <c r="H24" s="20" t="s">
        <v>18</v>
      </c>
      <c r="I24" s="20" t="s">
        <v>23</v>
      </c>
      <c r="J24" s="45" t="s">
        <v>19</v>
      </c>
      <c r="K24" s="26" t="s">
        <v>24</v>
      </c>
      <c r="L24" s="26" t="s">
        <v>20</v>
      </c>
      <c r="M24" s="26" t="s">
        <v>21</v>
      </c>
      <c r="N24" s="87" t="s">
        <v>13</v>
      </c>
      <c r="O24" s="87" t="s">
        <v>14</v>
      </c>
      <c r="P24" s="88" t="s">
        <v>15</v>
      </c>
      <c r="Q24" s="79" t="s">
        <v>16</v>
      </c>
      <c r="R24" s="56" t="s">
        <v>17</v>
      </c>
      <c r="S24" s="56" t="s">
        <v>22</v>
      </c>
      <c r="T24" s="56" t="s">
        <v>18</v>
      </c>
      <c r="U24" s="56" t="s">
        <v>23</v>
      </c>
      <c r="V24" s="56" t="s">
        <v>19</v>
      </c>
      <c r="W24" s="56" t="s">
        <v>24</v>
      </c>
      <c r="X24" s="56" t="s">
        <v>20</v>
      </c>
      <c r="Y24" s="56" t="s">
        <v>21</v>
      </c>
      <c r="Z24" s="56" t="s">
        <v>13</v>
      </c>
      <c r="AA24" s="56" t="s">
        <v>14</v>
      </c>
      <c r="AB24" s="56" t="s">
        <v>15</v>
      </c>
      <c r="AC24" s="21" t="s">
        <v>16</v>
      </c>
      <c r="AD24" s="20" t="s">
        <v>17</v>
      </c>
    </row>
    <row r="25" spans="1:30" ht="28.5" customHeight="1" x14ac:dyDescent="0.2">
      <c r="A25" s="13" t="s">
        <v>57</v>
      </c>
      <c r="B25" s="15">
        <v>90.925213233797848</v>
      </c>
      <c r="C25" s="15">
        <v>114.41147354263464</v>
      </c>
      <c r="D25" s="15">
        <v>114.20579997969134</v>
      </c>
      <c r="E25" s="15">
        <v>84.167356355788357</v>
      </c>
      <c r="F25" s="15">
        <v>92.421884276527052</v>
      </c>
      <c r="G25" s="15">
        <v>112.45124175218632</v>
      </c>
      <c r="H25" s="15">
        <v>106.13290668113962</v>
      </c>
      <c r="I25" s="15">
        <v>98.163759117159898</v>
      </c>
      <c r="J25" s="15">
        <v>124.79747973247373</v>
      </c>
      <c r="K25" s="15">
        <v>119.44752327758337</v>
      </c>
      <c r="L25" s="15">
        <v>103.29810746017232</v>
      </c>
      <c r="M25" s="11">
        <v>89.310814590947814</v>
      </c>
      <c r="N25" s="53">
        <v>101.65548055101389</v>
      </c>
      <c r="O25" s="14">
        <v>101.84864374682041</v>
      </c>
      <c r="P25" s="14">
        <v>117.64360095679429</v>
      </c>
      <c r="Q25" s="54">
        <v>100.12867315249881</v>
      </c>
      <c r="R25" s="14">
        <v>104.95231951698101</v>
      </c>
      <c r="S25" s="14">
        <v>100.11263227721525</v>
      </c>
      <c r="T25" s="14">
        <v>81.219091406345484</v>
      </c>
      <c r="U25" s="14">
        <v>97.395817403540036</v>
      </c>
      <c r="V25" s="14">
        <v>96.775293757579718</v>
      </c>
      <c r="W25" s="77">
        <v>110.41268252711565</v>
      </c>
      <c r="X25" s="77">
        <v>101.07685140675132</v>
      </c>
      <c r="Y25" s="75">
        <v>98.231011775552389</v>
      </c>
      <c r="Z25" s="98">
        <v>94.738709353020752</v>
      </c>
      <c r="AA25" s="77">
        <v>107.53426152887265</v>
      </c>
      <c r="AB25" s="77">
        <v>108.12127054761088</v>
      </c>
      <c r="AC25" s="86">
        <v>82.324999768246713</v>
      </c>
      <c r="AD25" s="11">
        <v>106.16829025236061</v>
      </c>
    </row>
    <row r="26" spans="1:30" ht="40.5" customHeight="1" x14ac:dyDescent="0.2">
      <c r="A26" s="18" t="s">
        <v>58</v>
      </c>
      <c r="B26" s="19">
        <f>IF(219472.10441="","-",198437.26393/219472.10441*100)</f>
        <v>90.415711128050958</v>
      </c>
      <c r="C26" s="10">
        <f>IF(245324.45574="","-",227034.99772/245324.45574*100)</f>
        <v>92.544788099159774</v>
      </c>
      <c r="D26" s="10">
        <f>IF(210230.63314="","-",259287.13538/210230.63314*100)</f>
        <v>123.33461185332185</v>
      </c>
      <c r="E26" s="10">
        <f>IF(149859.83301="","-",218235.12722/149859.83301*100)</f>
        <v>145.62616468779689</v>
      </c>
      <c r="F26" s="10">
        <f>IF(155710.73078="","-",201697.01673/155710.73078*100)</f>
        <v>129.53315145310887</v>
      </c>
      <c r="G26" s="10">
        <f>IF(189578.77956="","-",226810.79989/189578.77956*100)</f>
        <v>119.63933960141166</v>
      </c>
      <c r="H26" s="10">
        <f>IF(191130.33065="","-",240720.89459/191130.33065*100)</f>
        <v>125.94594158412818</v>
      </c>
      <c r="I26" s="10">
        <f>IF(163909.5874="","-",236300.67911/163909.5874*100)</f>
        <v>144.1652577242715</v>
      </c>
      <c r="J26" s="10">
        <f>IF(212259.13319="","-",294897.29212/212259.13319*100)</f>
        <v>138.93267521074247</v>
      </c>
      <c r="K26" s="10">
        <f>IF(249353.22858="","-",352247.51165/249353.22858*100)</f>
        <v>141.26446794210585</v>
      </c>
      <c r="L26" s="10">
        <f>IF(262034.9772="","-",363865.01311/262034.9772*100)</f>
        <v>138.86123791492062</v>
      </c>
      <c r="M26" s="12">
        <f>IF(218242.28602="","-",324970.80722/218242.28602*100)</f>
        <v>148.90368550768355</v>
      </c>
      <c r="N26" s="19">
        <f>IF(198437.26393="","-",330345.74715/198437.26393*100)</f>
        <v>166.47364542706634</v>
      </c>
      <c r="O26" s="76">
        <f>IF(227034.99772="","-",336464.33268/227034.99772*100)</f>
        <v>148.19932435921535</v>
      </c>
      <c r="P26" s="76">
        <f>IF(259287.13538="","-",395828.7569/259287.13538*100)</f>
        <v>152.66039185472528</v>
      </c>
      <c r="Q26" s="76">
        <f>IF(218235.12722="","-",396338.08224/218235.12722*100)</f>
        <v>181.61058088529293</v>
      </c>
      <c r="R26" s="76">
        <f>IF(201697.01673="","-",415966.01044/201697.01673*100)</f>
        <v>206.23310011413275</v>
      </c>
      <c r="S26" s="76">
        <f>IF(226810.79989="","-",416434.52243/226810.79989*100)</f>
        <v>183.60436215205132</v>
      </c>
      <c r="T26" s="76">
        <f>IF(240720.89459="","-",338224.33542/240720.89459*100)</f>
        <v>140.50476839414773</v>
      </c>
      <c r="U26" s="76">
        <f>IF(236300.67911="","-",329416.35614/236300.67911*100)</f>
        <v>139.40559010693906</v>
      </c>
      <c r="V26" s="76">
        <f>IF(294897.29212="","-",318793.64634/294897.29212*100)</f>
        <v>108.10328031438013</v>
      </c>
      <c r="W26" s="10">
        <f>IF(352247.51165="","-",351988.61665/352247.51165*100)</f>
        <v>99.926501964829413</v>
      </c>
      <c r="X26" s="10">
        <f>IF(363865.01311="","-",355779.01102/363865.01311*100)</f>
        <v>97.777746747100537</v>
      </c>
      <c r="Y26" s="12">
        <f>IF(324970.80722="","-",349485.32221/324970.80722*100)</f>
        <v>107.54360528556772</v>
      </c>
      <c r="Z26" s="99">
        <f>IF(330357.20487="","-",331097.88364/330357.20487*100)</f>
        <v>100.22420542342689</v>
      </c>
      <c r="AA26" s="76">
        <f>IF(336464.33268="","-",356043.66411/336464.33268*100)</f>
        <v>105.8191402559811</v>
      </c>
      <c r="AB26" s="76">
        <f>IF(395828.7569="","-",384958.93334/395828.7569*100)</f>
        <v>97.253907562166816</v>
      </c>
      <c r="AC26" s="76">
        <f>IF(396338.08224="","-",316917.44098/396338.08224*100)</f>
        <v>79.961390333440789</v>
      </c>
      <c r="AD26" s="120">
        <f>IF(415966.01044="","-",336465.8286/415966.01044*100)</f>
        <v>80.887817791673328</v>
      </c>
    </row>
    <row r="29" spans="1:30" ht="15.75" x14ac:dyDescent="0.25">
      <c r="N29" s="63"/>
      <c r="O29" s="82"/>
      <c r="P29" s="59"/>
      <c r="Q29" s="83"/>
      <c r="R29" s="59"/>
      <c r="S29" s="59"/>
      <c r="T29" s="59"/>
      <c r="U29" s="59"/>
      <c r="V29" s="59"/>
      <c r="W29" s="73"/>
      <c r="X29" s="73"/>
      <c r="Y29" s="73"/>
    </row>
    <row r="30" spans="1:30" ht="15.75" x14ac:dyDescent="0.25">
      <c r="N30" s="60"/>
      <c r="O30" s="84"/>
      <c r="P30" s="85"/>
      <c r="Q30" s="85"/>
      <c r="R30" s="85"/>
      <c r="S30" s="85"/>
      <c r="T30" s="85"/>
      <c r="U30" s="85"/>
      <c r="V30" s="85"/>
      <c r="W30" s="63"/>
      <c r="X30" s="63"/>
      <c r="Y30" s="81"/>
    </row>
    <row r="33" spans="14:21" ht="15.75" x14ac:dyDescent="0.25">
      <c r="N33" s="63"/>
      <c r="O33" s="64"/>
      <c r="P33" s="65"/>
      <c r="Q33" s="65"/>
      <c r="R33" s="65"/>
      <c r="S33" s="66"/>
      <c r="T33" s="44"/>
      <c r="U33" s="44"/>
    </row>
    <row r="34" spans="14:21" ht="15.75" x14ac:dyDescent="0.25">
      <c r="N34" s="65"/>
      <c r="O34" s="65"/>
      <c r="P34" s="65"/>
      <c r="Q34" s="65"/>
      <c r="R34" s="65"/>
      <c r="S34" s="66"/>
      <c r="T34" s="44"/>
      <c r="U34" s="44"/>
    </row>
    <row r="35" spans="14:21" ht="15.75" x14ac:dyDescent="0.25">
      <c r="N35" s="67"/>
      <c r="O35" s="67"/>
      <c r="P35" s="65"/>
      <c r="Q35" s="65"/>
      <c r="R35" s="67"/>
      <c r="S35" s="68"/>
      <c r="T35" s="68"/>
      <c r="U35" s="68"/>
    </row>
    <row r="36" spans="14:21" ht="15.75" x14ac:dyDescent="0.25">
      <c r="N36" s="67"/>
      <c r="O36" s="67"/>
      <c r="P36" s="65"/>
      <c r="Q36" s="65"/>
      <c r="R36" s="67"/>
      <c r="S36" s="68"/>
      <c r="T36" s="68"/>
      <c r="U36" s="68"/>
    </row>
    <row r="37" spans="14:21" ht="16.5" x14ac:dyDescent="0.25">
      <c r="N37" s="62"/>
      <c r="O37" s="64"/>
      <c r="P37" s="65"/>
      <c r="Q37" s="65"/>
      <c r="R37" s="65"/>
      <c r="S37" s="69"/>
      <c r="T37" s="44"/>
      <c r="U37" s="41"/>
    </row>
    <row r="38" spans="14:21" ht="15.75" x14ac:dyDescent="0.25">
      <c r="N38" s="65"/>
      <c r="O38" s="65"/>
      <c r="P38" s="65"/>
      <c r="Q38" s="65"/>
      <c r="R38" s="65"/>
      <c r="S38" s="66"/>
      <c r="T38" s="44"/>
      <c r="U38" s="44"/>
    </row>
  </sheetData>
  <mergeCells count="5">
    <mergeCell ref="A23:A24"/>
    <mergeCell ref="B23:M23"/>
    <mergeCell ref="N23:Y23"/>
    <mergeCell ref="A2:S2"/>
    <mergeCell ref="Z23:AD2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D32" sqref="D32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30"/>
  <sheetViews>
    <sheetView workbookViewId="0">
      <selection activeCell="H13" sqref="H13"/>
    </sheetView>
  </sheetViews>
  <sheetFormatPr defaultRowHeight="12" x14ac:dyDescent="0.2"/>
  <cols>
    <col min="1" max="1" width="24.42578125" style="3" customWidth="1"/>
    <col min="2" max="2" width="14.5703125" style="3" customWidth="1"/>
    <col min="3" max="3" width="14.7109375" style="3" customWidth="1"/>
    <col min="4" max="4" width="14.140625" style="3" customWidth="1"/>
    <col min="5" max="5" width="15" style="3" customWidth="1"/>
    <col min="6" max="7" width="14.28515625" style="3" customWidth="1"/>
    <col min="8" max="8" width="14.85546875" style="3" customWidth="1"/>
    <col min="9" max="16384" width="9.140625" style="3"/>
  </cols>
  <sheetData>
    <row r="2" spans="1:7" ht="12.75" x14ac:dyDescent="0.2">
      <c r="A2" s="162" t="s">
        <v>113</v>
      </c>
      <c r="B2" s="162"/>
      <c r="C2" s="162"/>
      <c r="D2" s="162"/>
      <c r="E2" s="162"/>
      <c r="F2" s="162"/>
      <c r="G2" s="162"/>
    </row>
    <row r="3" spans="1:7" ht="5.25" customHeight="1" x14ac:dyDescent="0.2">
      <c r="A3" s="71"/>
      <c r="B3" s="71"/>
      <c r="C3" s="71"/>
      <c r="D3" s="71"/>
      <c r="E3" s="71"/>
      <c r="F3" s="71"/>
      <c r="G3" s="71"/>
    </row>
    <row r="4" spans="1:7" ht="17.25" customHeight="1" x14ac:dyDescent="0.2">
      <c r="A4" s="71"/>
      <c r="B4" s="71"/>
      <c r="C4" s="71"/>
      <c r="D4" s="71"/>
      <c r="E4" s="71"/>
      <c r="F4" s="71"/>
      <c r="G4" s="71"/>
    </row>
    <row r="5" spans="1:7" ht="17.25" customHeight="1" x14ac:dyDescent="0.2">
      <c r="A5" s="4"/>
      <c r="B5" s="4"/>
      <c r="C5" s="4"/>
      <c r="D5" s="4"/>
      <c r="E5" s="4"/>
      <c r="F5" s="4"/>
      <c r="G5" s="4"/>
    </row>
    <row r="6" spans="1:7" ht="17.25" customHeight="1" x14ac:dyDescent="0.2">
      <c r="A6" s="4"/>
      <c r="B6" s="4"/>
      <c r="C6" s="4"/>
      <c r="D6" s="4"/>
      <c r="E6" s="4"/>
      <c r="F6" s="4"/>
      <c r="G6" s="4"/>
    </row>
    <row r="7" spans="1:7" ht="17.25" customHeight="1" x14ac:dyDescent="0.2">
      <c r="A7" s="4"/>
      <c r="B7" s="4"/>
      <c r="C7" s="4"/>
      <c r="D7" s="4"/>
      <c r="E7" s="4"/>
      <c r="F7" s="4"/>
      <c r="G7" s="4"/>
    </row>
    <row r="8" spans="1:7" ht="17.25" customHeight="1" x14ac:dyDescent="0.2">
      <c r="A8" s="4"/>
      <c r="B8" s="4"/>
      <c r="C8" s="4"/>
      <c r="D8" s="4"/>
      <c r="E8" s="4"/>
      <c r="F8" s="4"/>
      <c r="G8" s="4"/>
    </row>
    <row r="9" spans="1:7" ht="17.25" customHeight="1" x14ac:dyDescent="0.2">
      <c r="A9" s="4"/>
      <c r="B9" s="4"/>
      <c r="C9" s="4"/>
      <c r="D9" s="4"/>
      <c r="E9" s="4"/>
      <c r="F9" s="4"/>
      <c r="G9" s="4"/>
    </row>
    <row r="10" spans="1:7" ht="17.25" customHeight="1" x14ac:dyDescent="0.2">
      <c r="A10" s="4"/>
      <c r="B10" s="4"/>
      <c r="C10" s="4"/>
      <c r="D10" s="4"/>
      <c r="E10" s="4"/>
      <c r="F10" s="4"/>
      <c r="G10" s="4"/>
    </row>
    <row r="11" spans="1:7" ht="17.25" customHeight="1" x14ac:dyDescent="0.2">
      <c r="A11" s="4"/>
      <c r="B11" s="4"/>
      <c r="C11" s="4"/>
      <c r="D11" s="4"/>
      <c r="E11" s="4"/>
      <c r="F11" s="4"/>
      <c r="G11" s="4"/>
    </row>
    <row r="12" spans="1:7" ht="17.25" customHeight="1" x14ac:dyDescent="0.2">
      <c r="A12" s="4"/>
      <c r="B12" s="4"/>
      <c r="C12" s="4"/>
      <c r="D12" s="4"/>
      <c r="E12" s="4"/>
      <c r="F12" s="4"/>
      <c r="G12" s="4"/>
    </row>
    <row r="13" spans="1:7" ht="17.25" customHeight="1" x14ac:dyDescent="0.2">
      <c r="A13" s="4"/>
      <c r="B13" s="4"/>
      <c r="C13" s="4"/>
      <c r="D13" s="4"/>
      <c r="E13" s="4"/>
      <c r="F13" s="4"/>
      <c r="G13" s="4"/>
    </row>
    <row r="14" spans="1:7" ht="17.25" customHeight="1" x14ac:dyDescent="0.2">
      <c r="A14" s="4"/>
      <c r="B14" s="4"/>
      <c r="C14" s="4"/>
      <c r="D14" s="4"/>
      <c r="E14" s="4"/>
      <c r="F14" s="4"/>
      <c r="G14" s="4"/>
    </row>
    <row r="15" spans="1:7" ht="17.25" customHeight="1" x14ac:dyDescent="0.2">
      <c r="A15" s="4"/>
      <c r="B15" s="4"/>
      <c r="C15" s="4"/>
      <c r="D15" s="4"/>
      <c r="E15" s="4"/>
      <c r="F15" s="4"/>
      <c r="G15" s="4"/>
    </row>
    <row r="16" spans="1:7" ht="17.25" customHeight="1" x14ac:dyDescent="0.2">
      <c r="A16" s="4"/>
      <c r="B16" s="4"/>
      <c r="C16" s="4"/>
      <c r="D16" s="4"/>
      <c r="E16" s="4"/>
      <c r="F16" s="4"/>
      <c r="G16" s="4"/>
    </row>
    <row r="17" spans="1:7" ht="17.25" customHeight="1" x14ac:dyDescent="0.2">
      <c r="A17" s="4"/>
      <c r="B17" s="4"/>
      <c r="C17" s="4"/>
      <c r="D17" s="4"/>
      <c r="E17" s="4"/>
      <c r="F17" s="4"/>
      <c r="G17" s="4"/>
    </row>
    <row r="18" spans="1:7" ht="17.25" customHeight="1" x14ac:dyDescent="0.2">
      <c r="A18" s="4"/>
      <c r="B18" s="4"/>
      <c r="C18" s="4"/>
      <c r="D18" s="4"/>
      <c r="E18" s="4"/>
      <c r="F18" s="4"/>
      <c r="G18" s="4"/>
    </row>
    <row r="19" spans="1:7" ht="17.25" customHeight="1" x14ac:dyDescent="0.2">
      <c r="A19" s="4"/>
      <c r="B19" s="4"/>
      <c r="C19" s="4"/>
      <c r="D19" s="4"/>
      <c r="E19" s="4"/>
      <c r="F19" s="4"/>
      <c r="G19" s="4"/>
    </row>
    <row r="20" spans="1:7" ht="17.25" customHeight="1" x14ac:dyDescent="0.2">
      <c r="A20" s="4"/>
      <c r="B20" s="4"/>
      <c r="C20" s="4"/>
      <c r="D20" s="4"/>
      <c r="E20" s="4"/>
      <c r="F20" s="4"/>
      <c r="G20" s="4"/>
    </row>
    <row r="21" spans="1:7" ht="15" customHeight="1" x14ac:dyDescent="0.2">
      <c r="A21" s="4"/>
      <c r="B21" s="4"/>
      <c r="C21" s="4"/>
      <c r="D21" s="4"/>
      <c r="E21" s="4"/>
      <c r="F21" s="4"/>
      <c r="G21" s="4"/>
    </row>
    <row r="22" spans="1:7" ht="15" customHeight="1" x14ac:dyDescent="0.2"/>
    <row r="23" spans="1:7" ht="30" customHeight="1" x14ac:dyDescent="0.2">
      <c r="A23" s="37" t="s">
        <v>25</v>
      </c>
      <c r="B23" s="23" t="s">
        <v>97</v>
      </c>
      <c r="C23" s="23" t="s">
        <v>98</v>
      </c>
      <c r="D23" s="23" t="s">
        <v>99</v>
      </c>
      <c r="E23" s="23" t="s">
        <v>100</v>
      </c>
      <c r="F23" s="23" t="s">
        <v>101</v>
      </c>
      <c r="G23" s="23" t="s">
        <v>102</v>
      </c>
    </row>
    <row r="24" spans="1:7" x14ac:dyDescent="0.2">
      <c r="A24" s="105" t="s">
        <v>26</v>
      </c>
      <c r="B24" s="121">
        <v>14.5</v>
      </c>
      <c r="C24" s="100">
        <v>16.2</v>
      </c>
      <c r="D24" s="100">
        <v>5.4</v>
      </c>
      <c r="E24" s="100">
        <v>9.5</v>
      </c>
      <c r="F24" s="100">
        <v>7.6</v>
      </c>
      <c r="G24" s="102">
        <v>7.8</v>
      </c>
    </row>
    <row r="25" spans="1:7" x14ac:dyDescent="0.2">
      <c r="A25" s="106" t="s">
        <v>27</v>
      </c>
      <c r="B25" s="122">
        <v>3.1</v>
      </c>
      <c r="C25" s="123">
        <v>9.6</v>
      </c>
      <c r="D25" s="123">
        <v>0.7</v>
      </c>
      <c r="E25" s="123">
        <v>4.8</v>
      </c>
      <c r="F25" s="123">
        <v>4.8</v>
      </c>
      <c r="G25" s="103">
        <v>3.1</v>
      </c>
    </row>
    <row r="26" spans="1:7" x14ac:dyDescent="0.2">
      <c r="A26" s="106" t="s">
        <v>28</v>
      </c>
      <c r="B26" s="122">
        <v>80.099999999999994</v>
      </c>
      <c r="C26" s="123">
        <v>73.400000000000006</v>
      </c>
      <c r="D26" s="123">
        <v>92.7</v>
      </c>
      <c r="E26" s="123">
        <v>84.5</v>
      </c>
      <c r="F26" s="123">
        <v>86</v>
      </c>
      <c r="G26" s="103">
        <v>86.9</v>
      </c>
    </row>
    <row r="27" spans="1:7" x14ac:dyDescent="0.2">
      <c r="A27" s="106" t="s">
        <v>29</v>
      </c>
      <c r="B27" s="122">
        <v>1.2</v>
      </c>
      <c r="C27" s="123">
        <v>0.8</v>
      </c>
      <c r="D27" s="123">
        <v>1.1000000000000001</v>
      </c>
      <c r="E27" s="123">
        <v>1.2</v>
      </c>
      <c r="F27" s="123">
        <v>1.6</v>
      </c>
      <c r="G27" s="103">
        <v>2.1</v>
      </c>
    </row>
    <row r="28" spans="1:7" x14ac:dyDescent="0.2">
      <c r="A28" s="106" t="s">
        <v>45</v>
      </c>
      <c r="B28" s="122">
        <v>0</v>
      </c>
      <c r="C28" s="123">
        <v>0</v>
      </c>
      <c r="D28" s="123">
        <v>0.1</v>
      </c>
      <c r="E28" s="123">
        <v>0</v>
      </c>
      <c r="F28" s="123">
        <v>0</v>
      </c>
      <c r="G28" s="103">
        <v>0.1</v>
      </c>
    </row>
    <row r="29" spans="1:7" x14ac:dyDescent="0.2">
      <c r="A29" s="30" t="s">
        <v>46</v>
      </c>
      <c r="B29" s="122">
        <v>1</v>
      </c>
      <c r="C29" s="123">
        <v>0</v>
      </c>
      <c r="D29" s="123">
        <v>0</v>
      </c>
      <c r="E29" s="123">
        <v>0</v>
      </c>
      <c r="F29" s="123">
        <v>0</v>
      </c>
      <c r="G29" s="103">
        <v>0</v>
      </c>
    </row>
    <row r="30" spans="1:7" x14ac:dyDescent="0.2">
      <c r="A30" s="107" t="s">
        <v>47</v>
      </c>
      <c r="B30" s="118">
        <v>0.1</v>
      </c>
      <c r="C30" s="101">
        <v>0</v>
      </c>
      <c r="D30" s="101">
        <v>0</v>
      </c>
      <c r="E30" s="101">
        <v>0</v>
      </c>
      <c r="F30" s="101">
        <v>0</v>
      </c>
      <c r="G30" s="104">
        <v>0</v>
      </c>
    </row>
  </sheetData>
  <mergeCells count="1">
    <mergeCell ref="A2:G2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32"/>
  <sheetViews>
    <sheetView workbookViewId="0">
      <selection activeCell="H17" sqref="H17"/>
    </sheetView>
  </sheetViews>
  <sheetFormatPr defaultRowHeight="12" x14ac:dyDescent="0.2"/>
  <cols>
    <col min="1" max="1" width="21.140625" style="3" bestFit="1" customWidth="1"/>
    <col min="2" max="2" width="14.7109375" style="3" customWidth="1"/>
    <col min="3" max="5" width="14.85546875" style="3" customWidth="1"/>
    <col min="6" max="6" width="15" style="3" customWidth="1"/>
    <col min="7" max="7" width="13.7109375" style="3" customWidth="1"/>
    <col min="8" max="16384" width="9.140625" style="3"/>
  </cols>
  <sheetData>
    <row r="2" spans="1:13" ht="12.75" x14ac:dyDescent="0.2">
      <c r="A2" s="162" t="s">
        <v>112</v>
      </c>
      <c r="B2" s="162"/>
      <c r="C2" s="162"/>
      <c r="D2" s="162"/>
      <c r="E2" s="162"/>
      <c r="F2" s="162"/>
      <c r="G2" s="162"/>
      <c r="H2" s="38"/>
      <c r="I2" s="38"/>
      <c r="J2" s="38"/>
      <c r="K2" s="38"/>
      <c r="L2" s="38"/>
      <c r="M2" s="38"/>
    </row>
    <row r="3" spans="1:13" ht="11.25" customHeight="1" x14ac:dyDescent="0.2">
      <c r="A3" s="72"/>
      <c r="B3" s="72"/>
      <c r="C3" s="72"/>
      <c r="D3" s="72"/>
      <c r="E3" s="72"/>
      <c r="F3" s="72"/>
      <c r="G3" s="72"/>
      <c r="H3" s="38"/>
      <c r="I3" s="38"/>
      <c r="J3" s="38"/>
      <c r="K3" s="38"/>
      <c r="L3" s="38"/>
      <c r="M3" s="38"/>
    </row>
    <row r="4" spans="1:13" x14ac:dyDescent="0.2">
      <c r="A4" s="4"/>
      <c r="B4" s="4"/>
      <c r="C4" s="4"/>
      <c r="D4" s="4"/>
      <c r="E4" s="4"/>
      <c r="F4" s="4"/>
      <c r="G4" s="4"/>
    </row>
    <row r="5" spans="1:13" x14ac:dyDescent="0.2">
      <c r="A5" s="4"/>
      <c r="B5" s="4"/>
      <c r="C5" s="4"/>
      <c r="D5" s="4"/>
      <c r="E5" s="4"/>
      <c r="F5" s="4"/>
      <c r="G5" s="4"/>
    </row>
    <row r="6" spans="1:13" x14ac:dyDescent="0.2">
      <c r="A6" s="4"/>
      <c r="B6" s="4"/>
      <c r="C6" s="4"/>
      <c r="D6" s="4"/>
      <c r="E6" s="4"/>
      <c r="F6" s="4"/>
      <c r="G6" s="4"/>
    </row>
    <row r="7" spans="1:13" x14ac:dyDescent="0.2">
      <c r="A7" s="4"/>
      <c r="B7" s="4"/>
      <c r="C7" s="4"/>
      <c r="D7" s="4"/>
      <c r="E7" s="4"/>
      <c r="F7" s="4"/>
      <c r="G7" s="4"/>
    </row>
    <row r="8" spans="1:13" x14ac:dyDescent="0.2">
      <c r="A8" s="4"/>
      <c r="B8" s="4"/>
      <c r="C8" s="4"/>
      <c r="D8" s="4"/>
      <c r="E8" s="4"/>
      <c r="F8" s="4"/>
      <c r="G8" s="4"/>
    </row>
    <row r="9" spans="1:13" x14ac:dyDescent="0.2">
      <c r="A9" s="4"/>
      <c r="B9" s="4"/>
      <c r="C9" s="4"/>
      <c r="D9" s="4"/>
      <c r="E9" s="4"/>
      <c r="F9" s="4"/>
      <c r="G9" s="4"/>
    </row>
    <row r="10" spans="1:13" x14ac:dyDescent="0.2">
      <c r="A10" s="4"/>
      <c r="B10" s="4"/>
      <c r="C10" s="4"/>
      <c r="D10" s="4"/>
      <c r="E10" s="4"/>
      <c r="F10" s="4"/>
      <c r="G10" s="4"/>
    </row>
    <row r="11" spans="1:13" x14ac:dyDescent="0.2">
      <c r="A11" s="4"/>
      <c r="B11" s="4"/>
      <c r="C11" s="4"/>
      <c r="D11" s="4"/>
      <c r="E11" s="4"/>
      <c r="F11" s="4"/>
      <c r="G11" s="4"/>
    </row>
    <row r="12" spans="1:13" x14ac:dyDescent="0.2">
      <c r="A12" s="4"/>
      <c r="B12" s="4"/>
      <c r="C12" s="4"/>
      <c r="D12" s="4"/>
      <c r="E12" s="4"/>
      <c r="F12" s="4"/>
      <c r="G12" s="4"/>
    </row>
    <row r="13" spans="1:13" x14ac:dyDescent="0.2">
      <c r="A13" s="4"/>
      <c r="B13" s="4"/>
      <c r="C13" s="4"/>
      <c r="D13" s="4"/>
      <c r="E13" s="4"/>
      <c r="F13" s="4"/>
      <c r="G13" s="4"/>
    </row>
    <row r="14" spans="1:13" x14ac:dyDescent="0.2">
      <c r="A14" s="4"/>
      <c r="B14" s="4"/>
      <c r="C14" s="4"/>
      <c r="D14" s="4"/>
      <c r="E14" s="4"/>
      <c r="F14" s="4"/>
      <c r="G14" s="4"/>
    </row>
    <row r="15" spans="1:13" x14ac:dyDescent="0.2">
      <c r="A15" s="4"/>
      <c r="B15" s="4"/>
      <c r="C15" s="4"/>
      <c r="D15" s="4"/>
      <c r="E15" s="4"/>
      <c r="F15" s="4"/>
      <c r="G15" s="4"/>
    </row>
    <row r="16" spans="1:13" x14ac:dyDescent="0.2">
      <c r="A16" s="4"/>
      <c r="B16" s="4"/>
      <c r="C16" s="4"/>
      <c r="D16" s="4"/>
      <c r="E16" s="4"/>
      <c r="F16" s="4"/>
      <c r="G16" s="4"/>
    </row>
    <row r="17" spans="1:8" x14ac:dyDescent="0.2">
      <c r="A17" s="4"/>
      <c r="B17" s="4"/>
      <c r="C17" s="4"/>
      <c r="D17" s="4"/>
      <c r="E17" s="4"/>
      <c r="F17" s="4"/>
      <c r="G17" s="4"/>
    </row>
    <row r="18" spans="1:8" x14ac:dyDescent="0.2">
      <c r="A18" s="4"/>
      <c r="B18" s="4"/>
      <c r="C18" s="4"/>
      <c r="D18" s="4"/>
      <c r="E18" s="4"/>
      <c r="F18" s="4"/>
      <c r="G18" s="4"/>
    </row>
    <row r="19" spans="1:8" x14ac:dyDescent="0.2">
      <c r="A19" s="5"/>
    </row>
    <row r="20" spans="1:8" x14ac:dyDescent="0.2">
      <c r="A20" s="5"/>
    </row>
    <row r="21" spans="1:8" ht="30.75" customHeight="1" x14ac:dyDescent="0.2">
      <c r="A21" s="20"/>
      <c r="B21" s="9" t="s">
        <v>102</v>
      </c>
      <c r="C21" s="9" t="s">
        <v>101</v>
      </c>
      <c r="D21" s="9" t="s">
        <v>100</v>
      </c>
      <c r="E21" s="9" t="s">
        <v>99</v>
      </c>
      <c r="F21" s="9" t="s">
        <v>98</v>
      </c>
      <c r="G21" s="9" t="s">
        <v>97</v>
      </c>
    </row>
    <row r="22" spans="1:8" ht="15" customHeight="1" x14ac:dyDescent="0.2">
      <c r="A22" s="16" t="s">
        <v>30</v>
      </c>
      <c r="B22" s="124">
        <v>64.5</v>
      </c>
      <c r="C22" s="125">
        <v>62.2</v>
      </c>
      <c r="D22" s="100">
        <v>63</v>
      </c>
      <c r="E22" s="100">
        <v>65.3</v>
      </c>
      <c r="F22" s="125">
        <v>64.5</v>
      </c>
      <c r="G22" s="126">
        <v>61.3</v>
      </c>
      <c r="H22" s="6"/>
    </row>
    <row r="23" spans="1:8" ht="14.25" customHeight="1" x14ac:dyDescent="0.2">
      <c r="A23" s="17" t="s">
        <v>31</v>
      </c>
      <c r="B23" s="127">
        <v>16.100000000000001</v>
      </c>
      <c r="C23" s="128">
        <v>14.7</v>
      </c>
      <c r="D23" s="128">
        <v>16.5</v>
      </c>
      <c r="E23" s="123">
        <v>15.7</v>
      </c>
      <c r="F23" s="128">
        <v>15.2</v>
      </c>
      <c r="G23" s="129">
        <v>25.2</v>
      </c>
      <c r="H23" s="6"/>
    </row>
    <row r="24" spans="1:8" ht="15" customHeight="1" x14ac:dyDescent="0.2">
      <c r="A24" s="18" t="s">
        <v>32</v>
      </c>
      <c r="B24" s="130">
        <v>19.399999999999999</v>
      </c>
      <c r="C24" s="131">
        <v>23.1</v>
      </c>
      <c r="D24" s="131">
        <v>20.5</v>
      </c>
      <c r="E24" s="101">
        <v>19</v>
      </c>
      <c r="F24" s="131">
        <v>20.3</v>
      </c>
      <c r="G24" s="132">
        <v>13.5</v>
      </c>
      <c r="H24" s="6"/>
    </row>
    <row r="30" spans="1:8" ht="15.75" x14ac:dyDescent="0.2">
      <c r="B30" s="50"/>
      <c r="C30" s="50"/>
      <c r="D30" s="50"/>
      <c r="E30" s="51"/>
      <c r="F30" s="50"/>
      <c r="G30" s="50"/>
    </row>
    <row r="31" spans="1:8" ht="15.75" x14ac:dyDescent="0.2">
      <c r="B31" s="50"/>
      <c r="C31" s="50"/>
      <c r="D31" s="50"/>
      <c r="E31" s="51"/>
      <c r="F31" s="50"/>
      <c r="G31" s="50"/>
    </row>
    <row r="32" spans="1:8" ht="15.75" x14ac:dyDescent="0.2">
      <c r="B32" s="50"/>
      <c r="C32" s="50"/>
      <c r="D32" s="50"/>
      <c r="E32" s="51"/>
      <c r="F32" s="50"/>
      <c r="G32" s="50"/>
    </row>
  </sheetData>
  <mergeCells count="1">
    <mergeCell ref="A2:G2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48"/>
  <sheetViews>
    <sheetView workbookViewId="0">
      <selection activeCell="I25" sqref="I25"/>
    </sheetView>
  </sheetViews>
  <sheetFormatPr defaultRowHeight="12" x14ac:dyDescent="0.2"/>
  <cols>
    <col min="1" max="1" width="21" style="3" customWidth="1"/>
    <col min="2" max="3" width="14.5703125" style="3" customWidth="1"/>
    <col min="4" max="4" width="14.28515625" style="3" customWidth="1"/>
    <col min="5" max="5" width="14.140625" style="3" customWidth="1"/>
    <col min="6" max="6" width="14.28515625" style="3" customWidth="1"/>
    <col min="7" max="7" width="14.42578125" style="3" customWidth="1"/>
    <col min="8" max="16384" width="9.140625" style="3"/>
  </cols>
  <sheetData>
    <row r="2" spans="1:7" ht="12.75" x14ac:dyDescent="0.2">
      <c r="A2" s="162" t="s">
        <v>111</v>
      </c>
      <c r="B2" s="162"/>
      <c r="C2" s="162"/>
      <c r="D2" s="162"/>
      <c r="E2" s="162"/>
      <c r="F2" s="162"/>
      <c r="G2" s="162"/>
    </row>
    <row r="3" spans="1:7" x14ac:dyDescent="0.2">
      <c r="A3" s="71"/>
      <c r="B3" s="71"/>
      <c r="C3" s="71"/>
      <c r="D3" s="71"/>
      <c r="E3" s="71"/>
      <c r="F3" s="71"/>
      <c r="G3" s="71"/>
    </row>
    <row r="4" spans="1:7" ht="13.5" customHeight="1" x14ac:dyDescent="0.2">
      <c r="A4" s="4"/>
      <c r="B4" s="4"/>
      <c r="C4" s="4"/>
      <c r="D4" s="4"/>
      <c r="E4" s="4"/>
      <c r="F4" s="4"/>
      <c r="G4" s="4"/>
    </row>
    <row r="5" spans="1:7" ht="13.5" customHeight="1" x14ac:dyDescent="0.2">
      <c r="A5" s="4"/>
      <c r="B5" s="4"/>
      <c r="C5" s="4"/>
      <c r="D5" s="4"/>
      <c r="E5" s="4"/>
      <c r="F5" s="4"/>
      <c r="G5" s="4"/>
    </row>
    <row r="6" spans="1:7" ht="13.5" customHeight="1" x14ac:dyDescent="0.2">
      <c r="A6" s="4"/>
      <c r="B6" s="4"/>
      <c r="C6" s="4"/>
      <c r="D6" s="4"/>
      <c r="E6" s="4"/>
      <c r="F6" s="4"/>
      <c r="G6" s="4"/>
    </row>
    <row r="7" spans="1:7" ht="13.5" customHeight="1" x14ac:dyDescent="0.2">
      <c r="A7" s="4"/>
      <c r="B7" s="4"/>
      <c r="C7" s="4"/>
      <c r="D7" s="4"/>
      <c r="E7" s="4"/>
      <c r="F7" s="4"/>
      <c r="G7" s="4"/>
    </row>
    <row r="8" spans="1:7" ht="13.5" customHeight="1" x14ac:dyDescent="0.2">
      <c r="A8" s="4"/>
      <c r="B8" s="4"/>
      <c r="C8" s="4"/>
      <c r="D8" s="4"/>
      <c r="E8" s="4"/>
      <c r="F8" s="4"/>
      <c r="G8" s="4"/>
    </row>
    <row r="9" spans="1:7" ht="13.5" customHeight="1" x14ac:dyDescent="0.2">
      <c r="A9" s="4"/>
      <c r="B9" s="4"/>
      <c r="C9" s="4"/>
      <c r="D9" s="4"/>
      <c r="E9" s="4"/>
      <c r="F9" s="4"/>
      <c r="G9" s="4"/>
    </row>
    <row r="10" spans="1:7" ht="13.5" customHeight="1" x14ac:dyDescent="0.2">
      <c r="A10" s="4"/>
      <c r="B10" s="4"/>
      <c r="C10" s="4"/>
      <c r="D10" s="4"/>
      <c r="E10" s="4"/>
      <c r="F10" s="4"/>
      <c r="G10" s="4"/>
    </row>
    <row r="11" spans="1:7" ht="13.5" customHeight="1" x14ac:dyDescent="0.2">
      <c r="A11" s="4"/>
      <c r="B11" s="4"/>
      <c r="C11" s="4"/>
      <c r="D11" s="4"/>
      <c r="E11" s="4"/>
      <c r="F11" s="4"/>
      <c r="G11" s="4"/>
    </row>
    <row r="12" spans="1:7" ht="13.5" customHeight="1" x14ac:dyDescent="0.2">
      <c r="A12" s="4"/>
      <c r="B12" s="4"/>
      <c r="C12" s="4"/>
      <c r="D12" s="4"/>
      <c r="E12" s="4"/>
      <c r="F12" s="4"/>
      <c r="G12" s="4"/>
    </row>
    <row r="13" spans="1:7" ht="13.5" customHeight="1" x14ac:dyDescent="0.2">
      <c r="A13" s="4"/>
      <c r="B13" s="4"/>
      <c r="C13" s="4"/>
      <c r="D13" s="4"/>
      <c r="E13" s="4"/>
      <c r="F13" s="4"/>
      <c r="G13" s="4"/>
    </row>
    <row r="14" spans="1:7" ht="13.5" customHeight="1" x14ac:dyDescent="0.2">
      <c r="A14" s="4"/>
      <c r="B14" s="4"/>
      <c r="C14" s="4"/>
      <c r="D14" s="4"/>
      <c r="E14" s="4"/>
      <c r="F14" s="4"/>
      <c r="G14" s="4"/>
    </row>
    <row r="15" spans="1:7" ht="13.5" customHeight="1" x14ac:dyDescent="0.2">
      <c r="A15" s="4"/>
      <c r="B15" s="4"/>
      <c r="C15" s="4"/>
      <c r="D15" s="4"/>
      <c r="E15" s="4"/>
      <c r="F15" s="4"/>
      <c r="G15" s="4"/>
    </row>
    <row r="16" spans="1:7" ht="13.5" customHeight="1" x14ac:dyDescent="0.2">
      <c r="A16" s="4"/>
      <c r="B16" s="4"/>
      <c r="C16" s="4"/>
      <c r="D16" s="4"/>
      <c r="E16" s="4"/>
      <c r="F16" s="4"/>
      <c r="G16" s="4"/>
    </row>
    <row r="17" spans="1:7" ht="13.5" customHeight="1" x14ac:dyDescent="0.2">
      <c r="A17" s="4"/>
      <c r="B17" s="4"/>
      <c r="C17" s="4"/>
      <c r="D17" s="4"/>
      <c r="E17" s="4"/>
      <c r="F17" s="4"/>
      <c r="G17" s="4"/>
    </row>
    <row r="18" spans="1:7" ht="13.5" customHeight="1" x14ac:dyDescent="0.2">
      <c r="A18" s="4"/>
      <c r="B18" s="4"/>
      <c r="C18" s="4"/>
      <c r="D18" s="4"/>
      <c r="E18" s="4"/>
      <c r="F18" s="4"/>
      <c r="G18" s="4"/>
    </row>
    <row r="19" spans="1:7" ht="13.5" customHeight="1" x14ac:dyDescent="0.2">
      <c r="A19" s="4"/>
      <c r="B19" s="4"/>
      <c r="C19" s="4"/>
      <c r="D19" s="4"/>
      <c r="E19" s="4"/>
      <c r="F19" s="4"/>
      <c r="G19" s="4"/>
    </row>
    <row r="20" spans="1:7" ht="13.5" customHeight="1" x14ac:dyDescent="0.2">
      <c r="A20" s="4"/>
      <c r="B20" s="4"/>
      <c r="C20" s="4"/>
      <c r="D20" s="4"/>
      <c r="E20" s="4"/>
      <c r="F20" s="4"/>
      <c r="G20" s="4"/>
    </row>
    <row r="21" spans="1:7" ht="13.5" customHeight="1" x14ac:dyDescent="0.2">
      <c r="A21" s="4"/>
      <c r="B21" s="4"/>
      <c r="C21" s="4"/>
      <c r="D21" s="4"/>
      <c r="E21" s="4"/>
      <c r="F21" s="4"/>
      <c r="G21" s="4"/>
    </row>
    <row r="22" spans="1:7" ht="13.5" customHeight="1" x14ac:dyDescent="0.2">
      <c r="A22" s="5"/>
    </row>
    <row r="23" spans="1:7" ht="13.5" customHeight="1" x14ac:dyDescent="0.2">
      <c r="A23" s="5"/>
    </row>
    <row r="24" spans="1:7" ht="14.25" customHeight="1" x14ac:dyDescent="0.2">
      <c r="A24" s="5"/>
    </row>
    <row r="25" spans="1:7" ht="27" customHeight="1" x14ac:dyDescent="0.2">
      <c r="A25" s="36"/>
      <c r="B25" s="9" t="s">
        <v>102</v>
      </c>
      <c r="C25" s="9" t="s">
        <v>101</v>
      </c>
      <c r="D25" s="9" t="s">
        <v>100</v>
      </c>
      <c r="E25" s="9" t="s">
        <v>99</v>
      </c>
      <c r="F25" s="9" t="s">
        <v>98</v>
      </c>
      <c r="G25" s="9" t="s">
        <v>97</v>
      </c>
    </row>
    <row r="26" spans="1:7" x14ac:dyDescent="0.2">
      <c r="A26" s="139" t="s">
        <v>33</v>
      </c>
      <c r="B26" s="135">
        <f>IF(OR(283608.4613="",283608.4613="***"),"-",283608.4613/1100674.36139*100)</f>
        <v>25.766790910060049</v>
      </c>
      <c r="C26" s="135">
        <f>IF(322407.41264="","-",322407.41264/1159001.13914*100)</f>
        <v>27.817695923856654</v>
      </c>
      <c r="D26" s="135">
        <f>IF(241314.61116="","-",241314.61116/980597.75708*100)</f>
        <v>24.608929545033913</v>
      </c>
      <c r="E26" s="135">
        <f>IF(307437.96193="","-",307437.96193/1104691.54098*100)</f>
        <v>27.830208752867243</v>
      </c>
      <c r="F26" s="135">
        <f>IF(570738.34608="","-",570738.34608/1874954.38713*100)</f>
        <v>30.440118970234337</v>
      </c>
      <c r="G26" s="136">
        <f>IF(551734.66998="","-",551734.66998/1725483.75067*100)</f>
        <v>31.975651452281902</v>
      </c>
    </row>
    <row r="27" spans="1:7" x14ac:dyDescent="0.2">
      <c r="A27" s="140" t="s">
        <v>38</v>
      </c>
      <c r="B27" s="133">
        <f>IF(OR(34340.53792="",34340.53792="***"),"-",34340.53792/1100674.36139*100)</f>
        <v>3.1199543774811507</v>
      </c>
      <c r="C27" s="133">
        <f>IF(31103.43507="","-",31103.43507/1159001.13914*100)</f>
        <v>2.683641458116194</v>
      </c>
      <c r="D27" s="133">
        <f>IF(23438.13647="","-",23438.13647/980597.75708*100)</f>
        <v>2.390188668164356</v>
      </c>
      <c r="E27" s="133">
        <f>IF(31234.98473="","-",31234.98473/1104691.54098*100)</f>
        <v>2.8274847386167772</v>
      </c>
      <c r="F27" s="133">
        <f>IF(157783.47812="","-",157783.47812/1874954.38713*100)</f>
        <v>8.4153235514982221</v>
      </c>
      <c r="G27" s="137">
        <f>IF(298227.07672="","-",298227.07672/1725483.75067*100)</f>
        <v>17.283679235124605</v>
      </c>
    </row>
    <row r="28" spans="1:7" x14ac:dyDescent="0.2">
      <c r="A28" s="140" t="s">
        <v>36</v>
      </c>
      <c r="B28" s="133">
        <f>IF(OR(124758.47944="",124758.47944="***"),"-",124758.47944/1100674.36139*100)</f>
        <v>11.33473112632943</v>
      </c>
      <c r="C28" s="133">
        <f>IF(115022.96048="","-",115022.96048/1159001.13914*100)</f>
        <v>9.9243181560070877</v>
      </c>
      <c r="D28" s="133">
        <f>IF(83656.49598="","-",83656.49598/980597.75708*100)</f>
        <v>8.5311734986127519</v>
      </c>
      <c r="E28" s="133">
        <f>IF(77334.27415="","-",77334.27415/1104691.54098*100)</f>
        <v>7.0005310334317201</v>
      </c>
      <c r="F28" s="133">
        <f>IF(175522.77573="","-",175522.77573/1874954.38713*100)</f>
        <v>9.3614424401370862</v>
      </c>
      <c r="G28" s="137">
        <f>IF(110649.59291="","-",110649.59291/1725483.75067*100)</f>
        <v>6.4126708157660195</v>
      </c>
    </row>
    <row r="29" spans="1:7" x14ac:dyDescent="0.2">
      <c r="A29" s="140" t="s">
        <v>34</v>
      </c>
      <c r="B29" s="133">
        <f>IF(OR(95165.1558="",95165.1558="***"),"-",95165.1558/1100674.36139*100)</f>
        <v>8.6460772721024881</v>
      </c>
      <c r="C29" s="133">
        <f>IF(103957.82324="","-",103957.82324/1159001.13914*100)</f>
        <v>8.9696049235239403</v>
      </c>
      <c r="D29" s="133">
        <f>IF(84725.55704="","-",84725.55704/980597.75708*100)</f>
        <v>8.6401948636200938</v>
      </c>
      <c r="E29" s="133">
        <f>IF(114798.74452="","-",114798.74452/1104691.54098*100)</f>
        <v>10.391927543697772</v>
      </c>
      <c r="F29" s="133">
        <f>IF(107430.87414="","-",107430.87414/1874954.38713*100)</f>
        <v>5.7297860085249788</v>
      </c>
      <c r="G29" s="137">
        <f>IF(93181.73476="","-",93181.73476/1725483.75067*100)</f>
        <v>5.4003252550954377</v>
      </c>
    </row>
    <row r="30" spans="1:7" x14ac:dyDescent="0.2">
      <c r="A30" s="140" t="s">
        <v>35</v>
      </c>
      <c r="B30" s="133">
        <f>IF(OR(44790.53034="",44790.53034="***"),"-",44790.53034/1100674.36139*100)</f>
        <v>4.0693716426205961</v>
      </c>
      <c r="C30" s="133">
        <f>IF(111668.89219="","-",111668.89219/1159001.13914*100)</f>
        <v>9.6349251453592473</v>
      </c>
      <c r="D30" s="133">
        <f>IF(70549.61954="","-",70549.61954/980597.75708*100)</f>
        <v>7.1945524075112024</v>
      </c>
      <c r="E30" s="133">
        <f>IF(100339.70326="","-",100339.70326/1104691.54098*100)</f>
        <v>9.083051651774765</v>
      </c>
      <c r="F30" s="133">
        <f>IF(172689.51568="","-",172689.51568/1874954.38713*100)</f>
        <v>9.2103315614166235</v>
      </c>
      <c r="G30" s="137">
        <f>IF(69188.73885="","-",69188.73885/1725483.75067*100)</f>
        <v>4.0098168889237131</v>
      </c>
    </row>
    <row r="31" spans="1:7" x14ac:dyDescent="0.2">
      <c r="A31" s="140" t="s">
        <v>103</v>
      </c>
      <c r="B31" s="133">
        <f>IF(OR(90350.70814="",90350.70814="***"),"-",90350.70814/1100674.36139*100)</f>
        <v>8.2086683681719919</v>
      </c>
      <c r="C31" s="133">
        <f>IF(95851.64695="","-",95851.64695/1159001.13914*100)</f>
        <v>8.270194369362196</v>
      </c>
      <c r="D31" s="133">
        <f>IF(101863.18162="","-",101863.18162/980597.75708*100)</f>
        <v>10.387866062770293</v>
      </c>
      <c r="E31" s="133">
        <f>IF(104571.01105="","-",104571.01105/1104691.54098*100)</f>
        <v>9.4660823560966509</v>
      </c>
      <c r="F31" s="133">
        <f>IF(92149.38154="","-",92149.38154/1874954.38713*100)</f>
        <v>4.9147532426670617</v>
      </c>
      <c r="G31" s="137">
        <f>IF(66615.19555="","-",66615.19555/1725483.75067*100)</f>
        <v>3.8606677996320471</v>
      </c>
    </row>
    <row r="32" spans="1:7" x14ac:dyDescent="0.2">
      <c r="A32" s="140" t="s">
        <v>60</v>
      </c>
      <c r="B32" s="133">
        <f>IF(OR(17262.7641="",17262.7641="***"),"-",17262.7641/1100674.36139*100)</f>
        <v>1.5683806860186611</v>
      </c>
      <c r="C32" s="133">
        <f>IF(19936.87324="","-",19936.87324/1159001.13914*100)</f>
        <v>1.7201771910934895</v>
      </c>
      <c r="D32" s="133">
        <f>IF(32758.69758="","-",32758.69758/980597.75708*100)</f>
        <v>3.3406865703576609</v>
      </c>
      <c r="E32" s="133">
        <f>IF(34027.64288="","-",34027.64288/1104691.54098*100)</f>
        <v>3.0802845516326856</v>
      </c>
      <c r="F32" s="133">
        <f>IF(40529.81306="","-",40529.81306/1874954.38713*100)</f>
        <v>2.1616426158525992</v>
      </c>
      <c r="G32" s="137">
        <f>IF(65947.47579="","-",65947.47579/1725483.75067*100)</f>
        <v>3.8219702598991616</v>
      </c>
    </row>
    <row r="33" spans="1:7" x14ac:dyDescent="0.2">
      <c r="A33" s="140" t="s">
        <v>37</v>
      </c>
      <c r="B33" s="133">
        <f>IF(OR(37437.04123="",37437.04123="***"),"-",37437.04123/1100674.36139*100)</f>
        <v>3.401282208729036</v>
      </c>
      <c r="C33" s="133">
        <f>IF(43730.83363="","-",43730.83363/1159001.13914*100)</f>
        <v>3.7731484597546707</v>
      </c>
      <c r="D33" s="133">
        <f>IF(40551.89354="","-",40551.89354/980597.75708*100)</f>
        <v>4.1354258917289837</v>
      </c>
      <c r="E33" s="133">
        <f>IF(43191.96557="","-",43191.96557/1104691.54098*100)</f>
        <v>3.9098665978453413</v>
      </c>
      <c r="F33" s="133">
        <f>IF(52895.88904="","-",52895.88904/1874954.38713*100)</f>
        <v>2.8211827126615034</v>
      </c>
      <c r="G33" s="137">
        <f>IF(45499.03081="","-",45499.03081/1725483.75067*100)</f>
        <v>2.6368854990568797</v>
      </c>
    </row>
    <row r="34" spans="1:7" x14ac:dyDescent="0.2">
      <c r="A34" s="140" t="s">
        <v>39</v>
      </c>
      <c r="B34" s="133">
        <f>IF(OR(42137.01116="",42137.01116="***"),"-",42137.01116/1100674.36139*100)</f>
        <v>3.8282904224994181</v>
      </c>
      <c r="C34" s="133">
        <f>IF(36042.27729="","-",36042.27729/1159001.13914*100)</f>
        <v>3.1097706527487992</v>
      </c>
      <c r="D34" s="133">
        <f>IF(28123.06695="","-",28123.06695/980597.75708*100)</f>
        <v>2.8679513844437272</v>
      </c>
      <c r="E34" s="133">
        <f>IF(26894.69034="","-",26894.69034/1104691.54098*100)</f>
        <v>2.4345882395497513</v>
      </c>
      <c r="F34" s="133">
        <f>IF(24830.59257="","-",24830.59257/1874954.38713*100)</f>
        <v>1.3243304872076536</v>
      </c>
      <c r="G34" s="137">
        <f>IF(39655.51681="","-",39655.51681/1725483.75067*100)</f>
        <v>2.2982260362986255</v>
      </c>
    </row>
    <row r="35" spans="1:7" x14ac:dyDescent="0.2">
      <c r="A35" s="140" t="s">
        <v>41</v>
      </c>
      <c r="B35" s="133">
        <f>IF(OR(13011.89975="",13011.89975="***"),"-",13011.89975/1100674.36139*100)</f>
        <v>1.1821752378757842</v>
      </c>
      <c r="C35" s="133">
        <f>IF(16104.08716="","-",16104.08716/1159001.13914*100)</f>
        <v>1.389479838816166</v>
      </c>
      <c r="D35" s="133">
        <f>IF(19662.28065="","-",19662.28065/980597.75708*100)</f>
        <v>2.0051321255873416</v>
      </c>
      <c r="E35" s="133">
        <f>IF(17345.67582="","-",17345.67582/1104691.54098*100)</f>
        <v>1.5701827321509325</v>
      </c>
      <c r="F35" s="133">
        <f>IF(13883.4802="","-",13883.4802/1874954.38713*100)</f>
        <v>0.7404702906533901</v>
      </c>
      <c r="G35" s="137">
        <f>IF(35869.89478="","-",35869.89478/1725483.75067*100)</f>
        <v>2.0788312127582675</v>
      </c>
    </row>
    <row r="36" spans="1:7" x14ac:dyDescent="0.2">
      <c r="A36" s="140" t="s">
        <v>61</v>
      </c>
      <c r="B36" s="133">
        <f>IF(OR(9022.0032="",9022.0032="***"),"-",9022.0032/1100674.36139*100)</f>
        <v>0.8196795997506886</v>
      </c>
      <c r="C36" s="133">
        <f>IF(9136.1493="","-",9136.1493/1159001.13914*100)</f>
        <v>0.78827785335734768</v>
      </c>
      <c r="D36" s="133">
        <f>IF(8722.5312="","-",8722.5312/980597.75708*100)</f>
        <v>0.8895116409376399</v>
      </c>
      <c r="E36" s="133">
        <f>IF(9533.15032="","-",9533.15032/1104691.54098*100)</f>
        <v>0.86296943231256207</v>
      </c>
      <c r="F36" s="133">
        <f>IF(17777.18235="","-",17777.18235/1874954.38713*100)</f>
        <v>0.94813945725962978</v>
      </c>
      <c r="G36" s="137">
        <f>IF(24901.20423="","-",24901.20423/1725483.75067*100)</f>
        <v>1.4431433631485049</v>
      </c>
    </row>
    <row r="37" spans="1:7" x14ac:dyDescent="0.2">
      <c r="A37" s="140" t="s">
        <v>42</v>
      </c>
      <c r="B37" s="133">
        <f>IF(OR(24427.6626="",24427.6626="***"),"-",24427.6626/1100674.36139*100)</f>
        <v>2.2193360231586778</v>
      </c>
      <c r="C37" s="133">
        <f>IF(16729.73418="","-",16729.73418/1159001.13914*100)</f>
        <v>1.4434614095732266</v>
      </c>
      <c r="D37" s="133">
        <f>IF(16632.85304="","-",16632.85304/980597.75708*100)</f>
        <v>1.6961952971959577</v>
      </c>
      <c r="E37" s="133">
        <f>IF(14496.17334="","-",14496.17334/1104691.54098*100)</f>
        <v>1.312237199457513</v>
      </c>
      <c r="F37" s="133">
        <f>IF(86361.17995="","-",86361.17995/1874954.38713*100)</f>
        <v>4.6060416478820798</v>
      </c>
      <c r="G37" s="137">
        <f>IF(21840.77108="","-",21840.77108/1725483.75067*100)</f>
        <v>1.2657766885094857</v>
      </c>
    </row>
    <row r="38" spans="1:7" x14ac:dyDescent="0.2">
      <c r="A38" s="140" t="s">
        <v>94</v>
      </c>
      <c r="B38" s="133">
        <f>IF(OR(1331.79005="",1331.79005="***"),"-",1331.79005/1100674.36139*100)</f>
        <v>0.12099764441847567</v>
      </c>
      <c r="C38" s="133">
        <f>IF(4394.11792="","-",4394.11792/1159001.13914*100)</f>
        <v>0.37912973262998817</v>
      </c>
      <c r="D38" s="133">
        <f>IF(7348.40355="","-",7348.40355/980597.75708*100)</f>
        <v>0.7493800079537094</v>
      </c>
      <c r="E38" s="133">
        <f>IF(3530.47227="","-",3530.47227/1104691.54098*100)</f>
        <v>0.31958896570059986</v>
      </c>
      <c r="F38" s="133">
        <f>IF(11305.01422="","-",11305.01422/1874954.38713*100)</f>
        <v>0.60294875958580674</v>
      </c>
      <c r="G38" s="137">
        <f>IF(21811.31016="","-",21811.31016/1725483.75067*100)</f>
        <v>1.2640692879043769</v>
      </c>
    </row>
    <row r="39" spans="1:7" x14ac:dyDescent="0.2">
      <c r="A39" s="140" t="s">
        <v>40</v>
      </c>
      <c r="B39" s="133">
        <f>IF(OR(3313.31876="",3313.31876="***"),"-",3313.31876/1100674.36139*100)</f>
        <v>0.30102625047209564</v>
      </c>
      <c r="C39" s="133">
        <f>IF(3201.3501="","-",3201.3501/1159001.13914*100)</f>
        <v>0.27621630315009527</v>
      </c>
      <c r="D39" s="133">
        <f>IF(6138.09703="","-",6138.09703/980597.75708*100)</f>
        <v>0.62595462672460878</v>
      </c>
      <c r="E39" s="133">
        <f>IF(16176.57838="","-",16176.57838/1104691.54098*100)</f>
        <v>1.4643525165087574</v>
      </c>
      <c r="F39" s="133">
        <f>IF(22297.7072="","-",22297.7072/1874954.38713*100)</f>
        <v>1.1892399811459513</v>
      </c>
      <c r="G39" s="137">
        <f>IF(21411.42293="","-",21411.42293/1725483.75067*100)</f>
        <v>1.2408939186872092</v>
      </c>
    </row>
    <row r="40" spans="1:7" x14ac:dyDescent="0.2">
      <c r="A40" s="140" t="s">
        <v>96</v>
      </c>
      <c r="B40" s="133">
        <f>IF(OR(6326.14391="",6326.14391="***"),"-",6326.14391/1100674.36139*100)</f>
        <v>0.57475163698834153</v>
      </c>
      <c r="C40" s="133">
        <f>IF(6018.36402="","-",6018.36402/1159001.13914*100)</f>
        <v>0.51927162249950298</v>
      </c>
      <c r="D40" s="133">
        <f>IF(6694.77909="","-",6694.77909/980597.75708*100)</f>
        <v>0.68272429155207837</v>
      </c>
      <c r="E40" s="133">
        <f>IF(9783.94954="","-",9783.94954/1104691.54098*100)</f>
        <v>0.88567253183820061</v>
      </c>
      <c r="F40" s="133">
        <f>IF(15196.77165="","-",15196.77165/1874954.38713*100)</f>
        <v>0.81051420526884166</v>
      </c>
      <c r="G40" s="137">
        <f>IF(21224.57212="","-",21224.57212/1725483.75067*100)</f>
        <v>1.2300650244755167</v>
      </c>
    </row>
    <row r="41" spans="1:7" x14ac:dyDescent="0.2">
      <c r="A41" s="140" t="s">
        <v>104</v>
      </c>
      <c r="B41" s="133">
        <f>IF(OR(22340.00474="",22340.00474="***"),"-",22340.00474/1100674.36139*100)</f>
        <v>2.0296652237622448</v>
      </c>
      <c r="C41" s="133">
        <f>IF(15946.77018="","-",15946.77018/1159001.13914*100)</f>
        <v>1.3759063422347275</v>
      </c>
      <c r="D41" s="133">
        <f>IF(16232.30677="","-",16232.30677/980597.75708*100)</f>
        <v>1.6553481438032414</v>
      </c>
      <c r="E41" s="133">
        <f>IF(14640.71971="","-",14640.71971/1104691.54098*100)</f>
        <v>1.3253219715081592</v>
      </c>
      <c r="F41" s="133">
        <f>IF(20082.68463="","-",20082.68463/1874954.38713*100)</f>
        <v>1.0711025701665546</v>
      </c>
      <c r="G41" s="137">
        <f>IF(20612.2341="","-",20612.2341/1725483.75067*100)</f>
        <v>1.1945771203001092</v>
      </c>
    </row>
    <row r="42" spans="1:7" x14ac:dyDescent="0.2">
      <c r="A42" s="140" t="s">
        <v>87</v>
      </c>
      <c r="B42" s="133">
        <f>IF(OR(6014.58794="",6014.58794="***"),"-",6014.58794/1100674.36139*100)</f>
        <v>0.54644572009512471</v>
      </c>
      <c r="C42" s="133">
        <f>IF(3248.6604="","-",3248.6604/1159001.13914*100)</f>
        <v>0.28029829223555081</v>
      </c>
      <c r="D42" s="133">
        <f>IF(4956.5834="","-",4956.5834/980597.75708*100)</f>
        <v>0.50546550450610794</v>
      </c>
      <c r="E42" s="133">
        <f>IF(5132.71609="","-",5132.71609/1104691.54098*100)</f>
        <v>0.46462889409351649</v>
      </c>
      <c r="F42" s="133">
        <f>IF(4397.61939="","-",4397.61939/1874954.38713*100)</f>
        <v>0.23454540655420708</v>
      </c>
      <c r="G42" s="137">
        <f>IF(18399.6427="","-",18399.6427/1725483.75067*100)</f>
        <v>1.0663469124444362</v>
      </c>
    </row>
    <row r="43" spans="1:7" x14ac:dyDescent="0.2">
      <c r="A43" s="140" t="s">
        <v>43</v>
      </c>
      <c r="B43" s="133">
        <f>IF(OR(37004.73447="",37004.73447="***"),"-",37004.73447/1100674.36139*100)</f>
        <v>3.3620056728920371</v>
      </c>
      <c r="C43" s="133">
        <f>IF(21459.80052="","-",21459.80052/1159001.13914*100)</f>
        <v>1.851577172385142</v>
      </c>
      <c r="D43" s="133">
        <f>IF(15356.87255="","-",15356.87255/980597.75708*100)</f>
        <v>1.5660725755409963</v>
      </c>
      <c r="E43" s="133">
        <f>IF(19967.01137="","-",19967.01137/1104691.54098*100)</f>
        <v>1.8074739082628219</v>
      </c>
      <c r="F43" s="133">
        <f>IF(32614.51877="","-",32614.51877/1874954.38713*100)</f>
        <v>1.7394833172407556</v>
      </c>
      <c r="G43" s="137">
        <f>IF(17710.53476="","-",17710.53476/1725483.75067*100)</f>
        <v>1.0264098258313388</v>
      </c>
    </row>
    <row r="44" spans="1:7" x14ac:dyDescent="0.2">
      <c r="A44" s="140" t="s">
        <v>77</v>
      </c>
      <c r="B44" s="133">
        <f>IF(OR(16586.3295="",16586.3295="***"),"-",16586.3295/1100674.36139*100)</f>
        <v>1.5069243076629633</v>
      </c>
      <c r="C44" s="133">
        <f>IF(16196.57923="","-",16196.57923/1159001.13914*100)</f>
        <v>1.3974601648811282</v>
      </c>
      <c r="D44" s="133">
        <f>IF(14918.85803="","-",14918.85803/980597.75708*100)</f>
        <v>1.5214044619503322</v>
      </c>
      <c r="E44" s="133">
        <f>IF(16703.25049="","-",16703.25049/1104691.54098*100)</f>
        <v>1.5120284595627591</v>
      </c>
      <c r="F44" s="133">
        <f>IF(41060.24721="","-",41060.24721/1874954.38713*100)</f>
        <v>2.1899331254053109</v>
      </c>
      <c r="G44" s="137">
        <f>IF(15632.19093="","-",15632.19093/1725483.75067*100)</f>
        <v>0.90595990393592918</v>
      </c>
    </row>
    <row r="45" spans="1:7" x14ac:dyDescent="0.2">
      <c r="A45" s="140" t="s">
        <v>105</v>
      </c>
      <c r="B45" s="133">
        <f>IF(OR(27050.69669="",27050.69669="***"),"-",27050.69669/1100674.36139*100)</f>
        <v>2.4576475694263196</v>
      </c>
      <c r="C45" s="133">
        <f>IF(31858.75916="","-",31858.75916/1159001.13914*100)</f>
        <v>2.7488117210686935</v>
      </c>
      <c r="D45" s="133">
        <f>IF(37243.51349="","-",37243.51349/980597.75708*100)</f>
        <v>3.7980418801795777</v>
      </c>
      <c r="E45" s="133">
        <f>IF(14274.4816="","-",14274.4816/1104691.54098*100)</f>
        <v>1.2921689965451117</v>
      </c>
      <c r="F45" s="133">
        <f>IF(53213.17595="","-",53213.17595/1874954.38713*100)</f>
        <v>2.8381050928632785</v>
      </c>
      <c r="G45" s="137">
        <f>IF(15177.62835="","-",15177.62835/1725483.75067*100)</f>
        <v>0.87961583782557062</v>
      </c>
    </row>
    <row r="46" spans="1:7" x14ac:dyDescent="0.2">
      <c r="A46" s="147" t="s">
        <v>59</v>
      </c>
      <c r="B46" s="133">
        <f>IF(OR(14674.85454="",14674.85454="***"),"-",14674.85454/1100674.36139*100)</f>
        <v>1.3332603224688255</v>
      </c>
      <c r="C46" s="133">
        <f>IF(9301.76965="","-",9301.76965/1159001.13914*100)</f>
        <v>0.80256777460133311</v>
      </c>
      <c r="D46" s="133">
        <f>IF(18694.16829="","-",18694.16829/980597.75708*100)</f>
        <v>1.9064053690747813</v>
      </c>
      <c r="E46" s="133">
        <f>IF(12204.33477="","-",12204.33477/1104691.54098*100)</f>
        <v>1.1047730807437179</v>
      </c>
      <c r="F46" s="133">
        <f>IF(18557.06545="","-",18557.06545/1874954.38713*100)</f>
        <v>0.98973423446345121</v>
      </c>
      <c r="G46" s="137">
        <f>IF(14949.37382="","-",14949.37382/1725483.75067*100)</f>
        <v>0.86638740087788169</v>
      </c>
    </row>
    <row r="47" spans="1:7" x14ac:dyDescent="0.2">
      <c r="A47" s="147" t="s">
        <v>109</v>
      </c>
      <c r="B47" s="133">
        <f>IF(OR(209.30433="",209.30433="***"),"-",209.30433/1100674.36139*100)</f>
        <v>1.9016008489166358E-2</v>
      </c>
      <c r="C47" s="133">
        <f>IF(1516.47654="","-",1516.47654/1159001.13914*100)</f>
        <v>0.13084340375413722</v>
      </c>
      <c r="D47" s="133">
        <f>IF(85.11492="","-",85.11492/980597.75708*100)</f>
        <v>8.6799015585608853E-3</v>
      </c>
      <c r="E47" s="133">
        <f>IF(1940.0952="","-",1940.0952/1104691.54098*100)</f>
        <v>0.17562325119995867</v>
      </c>
      <c r="F47" s="133">
        <f>IF(5160.05058="","-",5160.05058/1874954.38713*100)</f>
        <v>0.27520939258146487</v>
      </c>
      <c r="G47" s="137">
        <f>IF(11978.80091="","-",11978.80091/1725483.75067*100)</f>
        <v>0.69422855505586012</v>
      </c>
    </row>
    <row r="48" spans="1:7" x14ac:dyDescent="0.2">
      <c r="A48" s="148" t="s">
        <v>110</v>
      </c>
      <c r="B48" s="134">
        <f>IF(OR(4831.66173="",4831.66173="***"),"-",4831.66173/1100674.36139*100)</f>
        <v>0.4389728605923261</v>
      </c>
      <c r="C48" s="134">
        <f>IF(3564.13484="","-",3564.13484/1159001.13914*100)</f>
        <v>0.30751780301481435</v>
      </c>
      <c r="D48" s="134">
        <f>IF(2915.60215="","-",2915.60215/980597.75708*100)</f>
        <v>0.29732906576107304</v>
      </c>
      <c r="E48" s="134">
        <f>IF(3223.01758="","-",3223.01758/1104691.54098*100)</f>
        <v>0.29175724267253633</v>
      </c>
      <c r="F48" s="134">
        <f>IF(4005.48377="","-",4005.48377/1874954.38713*100)</f>
        <v>0.21363099803890215</v>
      </c>
      <c r="G48" s="138">
        <f>IF(9633.09378="","-",9633.09378/1725483.75067*100)</f>
        <v>0.55828365675767733</v>
      </c>
    </row>
  </sheetData>
  <mergeCells count="1">
    <mergeCell ref="A2:G2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H58"/>
  <sheetViews>
    <sheetView workbookViewId="0">
      <selection activeCell="F30" sqref="F30"/>
    </sheetView>
  </sheetViews>
  <sheetFormatPr defaultRowHeight="12" x14ac:dyDescent="0.2"/>
  <cols>
    <col min="1" max="1" width="47.140625" style="3" customWidth="1"/>
    <col min="2" max="2" width="13.5703125" style="3" customWidth="1"/>
    <col min="3" max="3" width="10.7109375" style="3" customWidth="1"/>
    <col min="4" max="4" width="12" style="3" customWidth="1"/>
    <col min="5" max="5" width="11.85546875" style="3" customWidth="1"/>
    <col min="6" max="6" width="8.28515625" style="3" customWidth="1"/>
    <col min="7" max="7" width="8" style="3" customWidth="1"/>
    <col min="8" max="8" width="6" style="3" customWidth="1"/>
    <col min="9" max="16384" width="9.140625" style="3"/>
  </cols>
  <sheetData>
    <row r="2" spans="1:8" ht="15" customHeight="1" x14ac:dyDescent="0.2">
      <c r="A2" s="164" t="s">
        <v>88</v>
      </c>
      <c r="B2" s="164"/>
      <c r="C2" s="164"/>
      <c r="D2" s="164"/>
      <c r="E2" s="164"/>
      <c r="F2" s="164"/>
      <c r="G2" s="164"/>
    </row>
    <row r="3" spans="1:8" ht="15" customHeight="1" x14ac:dyDescent="0.2">
      <c r="A3" s="119"/>
      <c r="B3" s="119"/>
      <c r="C3" s="119"/>
      <c r="D3" s="119"/>
      <c r="E3" s="119"/>
      <c r="F3" s="119"/>
      <c r="G3" s="119"/>
    </row>
    <row r="4" spans="1:8" ht="15" customHeight="1" x14ac:dyDescent="0.2">
      <c r="A4" s="46"/>
      <c r="B4" s="46"/>
      <c r="C4" s="46"/>
      <c r="D4" s="46"/>
      <c r="E4" s="46"/>
      <c r="F4" s="46"/>
      <c r="G4" s="46"/>
    </row>
    <row r="5" spans="1:8" ht="15" customHeight="1" x14ac:dyDescent="0.2">
      <c r="A5" s="46"/>
      <c r="B5" s="46"/>
      <c r="C5" s="46"/>
      <c r="D5" s="46"/>
      <c r="E5" s="46"/>
      <c r="F5" s="46"/>
      <c r="G5" s="46"/>
    </row>
    <row r="6" spans="1:8" x14ac:dyDescent="0.2">
      <c r="A6" s="163"/>
      <c r="B6" s="163"/>
      <c r="C6" s="163"/>
      <c r="D6" s="163"/>
      <c r="E6" s="163"/>
      <c r="F6" s="163"/>
      <c r="G6" s="163"/>
      <c r="H6" s="163"/>
    </row>
    <row r="30" spans="1:6" ht="12.75" customHeight="1" x14ac:dyDescent="0.2">
      <c r="A30" s="94" t="s">
        <v>106</v>
      </c>
      <c r="B30" s="36" t="s">
        <v>44</v>
      </c>
    </row>
    <row r="31" spans="1:6" ht="15" x14ac:dyDescent="0.2">
      <c r="A31" s="141" t="s">
        <v>67</v>
      </c>
      <c r="B31" s="96">
        <v>12.2</v>
      </c>
      <c r="C31" s="110"/>
      <c r="D31" s="115"/>
      <c r="E31" s="116"/>
      <c r="F31" s="116"/>
    </row>
    <row r="32" spans="1:6" ht="15" x14ac:dyDescent="0.2">
      <c r="A32" s="142" t="s">
        <v>85</v>
      </c>
      <c r="B32" s="97">
        <v>6.5</v>
      </c>
      <c r="C32" s="110"/>
      <c r="D32" s="115"/>
      <c r="E32" s="116"/>
      <c r="F32" s="116"/>
    </row>
    <row r="33" spans="1:6" ht="15" x14ac:dyDescent="0.2">
      <c r="A33" s="142" t="s">
        <v>62</v>
      </c>
      <c r="B33" s="97">
        <v>16.3</v>
      </c>
      <c r="C33" s="110"/>
      <c r="D33" s="115"/>
      <c r="E33" s="116"/>
      <c r="F33" s="116"/>
    </row>
    <row r="34" spans="1:6" ht="15" x14ac:dyDescent="0.2">
      <c r="A34" s="142" t="s">
        <v>65</v>
      </c>
      <c r="B34" s="97">
        <v>9.8000000000000007</v>
      </c>
      <c r="C34" s="110"/>
      <c r="D34" s="115"/>
      <c r="E34" s="116"/>
      <c r="F34" s="116"/>
    </row>
    <row r="35" spans="1:6" ht="15" x14ac:dyDescent="0.2">
      <c r="A35" s="142" t="s">
        <v>63</v>
      </c>
      <c r="B35" s="97">
        <v>8.1999999999999993</v>
      </c>
      <c r="C35" s="110"/>
      <c r="D35" s="115"/>
      <c r="E35" s="116"/>
      <c r="F35" s="116"/>
    </row>
    <row r="36" spans="1:6" ht="15" x14ac:dyDescent="0.2">
      <c r="A36" s="142" t="s">
        <v>69</v>
      </c>
      <c r="B36" s="97">
        <v>6.4</v>
      </c>
      <c r="C36" s="110"/>
      <c r="D36" s="115"/>
      <c r="E36" s="116"/>
      <c r="F36" s="116"/>
    </row>
    <row r="37" spans="1:6" ht="15" x14ac:dyDescent="0.2">
      <c r="A37" s="142" t="s">
        <v>71</v>
      </c>
      <c r="B37" s="97">
        <v>3.2</v>
      </c>
      <c r="C37" s="110"/>
      <c r="D37" s="115"/>
      <c r="E37" s="116"/>
      <c r="F37" s="116"/>
    </row>
    <row r="38" spans="1:6" ht="15" x14ac:dyDescent="0.2">
      <c r="A38" s="142" t="s">
        <v>64</v>
      </c>
      <c r="B38" s="97">
        <v>11.8</v>
      </c>
      <c r="C38" s="110"/>
      <c r="D38" s="115"/>
      <c r="E38" s="116"/>
      <c r="F38" s="116"/>
    </row>
    <row r="39" spans="1:6" ht="15" x14ac:dyDescent="0.2">
      <c r="A39" s="142" t="s">
        <v>68</v>
      </c>
      <c r="B39" s="97">
        <v>3.4</v>
      </c>
      <c r="C39" s="110"/>
      <c r="D39" s="115"/>
      <c r="E39" s="116"/>
      <c r="F39" s="116"/>
    </row>
    <row r="40" spans="1:6" ht="15" x14ac:dyDescent="0.2">
      <c r="A40" s="142" t="s">
        <v>82</v>
      </c>
      <c r="B40" s="97">
        <v>1.9</v>
      </c>
      <c r="C40" s="110"/>
      <c r="D40" s="115"/>
      <c r="E40" s="116"/>
      <c r="F40" s="116"/>
    </row>
    <row r="41" spans="1:6" ht="15" x14ac:dyDescent="0.2">
      <c r="A41" s="142" t="s">
        <v>75</v>
      </c>
      <c r="B41" s="97">
        <v>2.1</v>
      </c>
      <c r="C41" s="110"/>
      <c r="D41" s="115"/>
      <c r="E41" s="116"/>
      <c r="F41" s="116"/>
    </row>
    <row r="42" spans="1:6" ht="15" x14ac:dyDescent="0.2">
      <c r="A42" s="142" t="s">
        <v>84</v>
      </c>
      <c r="B42" s="97">
        <v>2.1</v>
      </c>
      <c r="C42" s="110"/>
      <c r="D42" s="115"/>
      <c r="E42" s="116"/>
      <c r="F42" s="116"/>
    </row>
    <row r="43" spans="1:6" ht="15" x14ac:dyDescent="0.2">
      <c r="A43" s="143" t="s">
        <v>70</v>
      </c>
      <c r="B43" s="138">
        <v>16.100000000000001</v>
      </c>
      <c r="C43" s="111"/>
      <c r="D43" s="115"/>
      <c r="E43" s="117"/>
      <c r="F43" s="117"/>
    </row>
    <row r="44" spans="1:6" x14ac:dyDescent="0.2">
      <c r="A44" s="58"/>
      <c r="B44" s="78"/>
    </row>
    <row r="45" spans="1:6" x14ac:dyDescent="0.2">
      <c r="A45" s="94" t="s">
        <v>107</v>
      </c>
      <c r="B45" s="26" t="s">
        <v>44</v>
      </c>
    </row>
    <row r="46" spans="1:6" ht="15" x14ac:dyDescent="0.2">
      <c r="A46" s="141" t="s">
        <v>67</v>
      </c>
      <c r="B46" s="96">
        <v>15.3</v>
      </c>
      <c r="D46" s="116"/>
    </row>
    <row r="47" spans="1:6" ht="15" x14ac:dyDescent="0.2">
      <c r="A47" s="142" t="s">
        <v>85</v>
      </c>
      <c r="B47" s="97">
        <v>13.1</v>
      </c>
      <c r="D47" s="116"/>
    </row>
    <row r="48" spans="1:6" ht="15" x14ac:dyDescent="0.2">
      <c r="A48" s="142" t="s">
        <v>62</v>
      </c>
      <c r="B48" s="97">
        <v>9.6999999999999993</v>
      </c>
      <c r="D48" s="116"/>
    </row>
    <row r="49" spans="1:4" ht="15" x14ac:dyDescent="0.2">
      <c r="A49" s="142" t="s">
        <v>65</v>
      </c>
      <c r="B49" s="97">
        <v>8</v>
      </c>
      <c r="D49" s="116"/>
    </row>
    <row r="50" spans="1:4" ht="15" x14ac:dyDescent="0.2">
      <c r="A50" s="142" t="s">
        <v>63</v>
      </c>
      <c r="B50" s="97">
        <v>7.6</v>
      </c>
      <c r="D50" s="116"/>
    </row>
    <row r="51" spans="1:4" ht="15" x14ac:dyDescent="0.2">
      <c r="A51" s="142" t="s">
        <v>69</v>
      </c>
      <c r="B51" s="97">
        <v>6.9</v>
      </c>
      <c r="D51" s="116"/>
    </row>
    <row r="52" spans="1:4" ht="15" x14ac:dyDescent="0.2">
      <c r="A52" s="142" t="s">
        <v>71</v>
      </c>
      <c r="B52" s="97">
        <v>4.8</v>
      </c>
      <c r="D52" s="116"/>
    </row>
    <row r="53" spans="1:4" ht="15" x14ac:dyDescent="0.2">
      <c r="A53" s="142" t="s">
        <v>64</v>
      </c>
      <c r="B53" s="97">
        <v>4.4000000000000004</v>
      </c>
      <c r="D53" s="116"/>
    </row>
    <row r="54" spans="1:4" ht="15" x14ac:dyDescent="0.2">
      <c r="A54" s="142" t="s">
        <v>68</v>
      </c>
      <c r="B54" s="97">
        <v>3.5</v>
      </c>
      <c r="D54" s="116"/>
    </row>
    <row r="55" spans="1:4" ht="15" x14ac:dyDescent="0.2">
      <c r="A55" s="142" t="s">
        <v>82</v>
      </c>
      <c r="B55" s="97">
        <v>2.9</v>
      </c>
      <c r="D55" s="116"/>
    </row>
    <row r="56" spans="1:4" ht="15" x14ac:dyDescent="0.2">
      <c r="A56" s="142" t="s">
        <v>75</v>
      </c>
      <c r="B56" s="97">
        <v>2.1</v>
      </c>
      <c r="D56" s="116"/>
    </row>
    <row r="57" spans="1:4" ht="15" x14ac:dyDescent="0.2">
      <c r="A57" s="142" t="s">
        <v>84</v>
      </c>
      <c r="B57" s="97">
        <v>2.1</v>
      </c>
      <c r="D57" s="116"/>
    </row>
    <row r="58" spans="1:4" ht="15" x14ac:dyDescent="0.2">
      <c r="A58" s="143" t="s">
        <v>70</v>
      </c>
      <c r="B58" s="138">
        <v>19.600000000000001</v>
      </c>
      <c r="D58" s="117"/>
    </row>
  </sheetData>
  <mergeCells count="2">
    <mergeCell ref="A6:H6"/>
    <mergeCell ref="A2:G2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M30"/>
  <sheetViews>
    <sheetView workbookViewId="0">
      <selection activeCell="D40" sqref="D40"/>
    </sheetView>
  </sheetViews>
  <sheetFormatPr defaultRowHeight="12" x14ac:dyDescent="0.2"/>
  <cols>
    <col min="1" max="1" width="9.85546875" style="3" customWidth="1"/>
    <col min="2" max="2" width="11.28515625" style="3" bestFit="1" customWidth="1"/>
    <col min="3" max="3" width="10" style="3" customWidth="1"/>
    <col min="4" max="4" width="11.28515625" style="3" bestFit="1" customWidth="1"/>
    <col min="5" max="5" width="9.28515625" style="3" bestFit="1" customWidth="1"/>
    <col min="6" max="6" width="11.28515625" style="3" bestFit="1" customWidth="1"/>
    <col min="7" max="7" width="9.28515625" style="3" bestFit="1" customWidth="1"/>
    <col min="8" max="8" width="11.28515625" style="3" bestFit="1" customWidth="1"/>
    <col min="9" max="9" width="9.28515625" style="3" bestFit="1" customWidth="1"/>
    <col min="10" max="10" width="11.85546875" style="3" bestFit="1" customWidth="1"/>
    <col min="11" max="11" width="11.140625" style="3" bestFit="1" customWidth="1"/>
    <col min="12" max="12" width="11.28515625" style="3" bestFit="1" customWidth="1"/>
    <col min="13" max="13" width="11.42578125" style="3" bestFit="1" customWidth="1"/>
    <col min="14" max="14" width="11.28515625" style="3" bestFit="1" customWidth="1"/>
    <col min="15" max="15" width="9.28515625" style="3" bestFit="1" customWidth="1"/>
    <col min="16" max="16" width="11.28515625" style="3" bestFit="1" customWidth="1"/>
    <col min="17" max="17" width="9.28515625" style="3" bestFit="1" customWidth="1"/>
    <col min="18" max="18" width="11.28515625" style="3" bestFit="1" customWidth="1"/>
    <col min="19" max="19" width="9.28515625" style="3" bestFit="1" customWidth="1"/>
    <col min="20" max="20" width="11.28515625" style="3" bestFit="1" customWidth="1"/>
    <col min="21" max="21" width="9.28515625" style="3" bestFit="1" customWidth="1"/>
    <col min="22" max="22" width="11.28515625" style="3" bestFit="1" customWidth="1"/>
    <col min="23" max="23" width="9.28515625" style="3" bestFit="1" customWidth="1"/>
    <col min="24" max="24" width="11.28515625" style="3" bestFit="1" customWidth="1"/>
    <col min="25" max="25" width="9.28515625" style="3" bestFit="1" customWidth="1"/>
    <col min="26" max="16384" width="9.140625" style="3"/>
  </cols>
  <sheetData>
    <row r="2" spans="1:13" ht="12.75" x14ac:dyDescent="0.2">
      <c r="A2" s="162" t="s">
        <v>91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1:13" x14ac:dyDescent="0.2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x14ac:dyDescent="0.2">
      <c r="A4" s="4"/>
      <c r="B4" s="4"/>
      <c r="C4" s="4"/>
      <c r="D4" s="4"/>
      <c r="E4" s="4"/>
      <c r="F4" s="4"/>
      <c r="G4" s="4"/>
      <c r="H4" s="4"/>
      <c r="I4" s="4"/>
      <c r="J4" s="4"/>
    </row>
    <row r="5" spans="1:13" x14ac:dyDescent="0.2">
      <c r="A5" s="4"/>
      <c r="B5" s="4"/>
      <c r="C5" s="4"/>
      <c r="D5" s="4"/>
      <c r="E5" s="4"/>
      <c r="F5" s="4"/>
      <c r="G5" s="4"/>
      <c r="H5" s="4"/>
      <c r="I5" s="4"/>
      <c r="J5" s="4"/>
    </row>
    <row r="6" spans="1:13" x14ac:dyDescent="0.2">
      <c r="A6" s="4"/>
      <c r="B6" s="4"/>
      <c r="C6" s="4"/>
      <c r="D6" s="4"/>
      <c r="E6" s="4"/>
      <c r="F6" s="4"/>
      <c r="G6" s="4"/>
      <c r="H6" s="4"/>
      <c r="I6" s="4"/>
      <c r="J6" s="4"/>
    </row>
    <row r="7" spans="1:13" x14ac:dyDescent="0.2">
      <c r="A7" s="4"/>
      <c r="B7" s="4"/>
      <c r="C7" s="4"/>
      <c r="D7" s="4"/>
      <c r="E7" s="4"/>
      <c r="F7" s="4"/>
      <c r="G7" s="4"/>
      <c r="H7" s="4"/>
      <c r="I7" s="4"/>
      <c r="J7" s="4"/>
    </row>
    <row r="8" spans="1:13" x14ac:dyDescent="0.2">
      <c r="A8" s="4"/>
      <c r="B8" s="4"/>
      <c r="C8" s="4"/>
      <c r="D8" s="4"/>
      <c r="E8" s="4"/>
      <c r="F8" s="4"/>
      <c r="G8" s="4"/>
      <c r="H8" s="4"/>
      <c r="I8" s="4"/>
      <c r="J8" s="4"/>
    </row>
    <row r="9" spans="1:13" x14ac:dyDescent="0.2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3" x14ac:dyDescent="0.2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3" x14ac:dyDescent="0.2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3" x14ac:dyDescent="0.2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3" x14ac:dyDescent="0.2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3" x14ac:dyDescent="0.2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3" x14ac:dyDescent="0.2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3" x14ac:dyDescent="0.2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3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3" x14ac:dyDescent="0.2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3" x14ac:dyDescent="0.2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3" x14ac:dyDescent="0.2">
      <c r="A20" s="4"/>
      <c r="B20" s="4"/>
      <c r="C20" s="4"/>
      <c r="D20" s="4"/>
      <c r="E20" s="4"/>
      <c r="F20" s="4"/>
      <c r="G20" s="4"/>
      <c r="H20" s="4"/>
      <c r="I20" s="4"/>
      <c r="J20" s="4"/>
    </row>
    <row r="22" spans="1:13" x14ac:dyDescent="0.2">
      <c r="A22" s="24" t="s">
        <v>0</v>
      </c>
      <c r="B22" s="24" t="s">
        <v>1</v>
      </c>
      <c r="C22" s="36" t="s">
        <v>2</v>
      </c>
      <c r="D22" s="36" t="s">
        <v>3</v>
      </c>
      <c r="E22" s="36" t="s">
        <v>4</v>
      </c>
      <c r="F22" s="36" t="s">
        <v>5</v>
      </c>
      <c r="G22" s="36" t="s">
        <v>6</v>
      </c>
      <c r="H22" s="36" t="s">
        <v>7</v>
      </c>
      <c r="I22" s="36" t="s">
        <v>8</v>
      </c>
      <c r="J22" s="36" t="s">
        <v>9</v>
      </c>
      <c r="K22" s="36" t="s">
        <v>10</v>
      </c>
      <c r="L22" s="36" t="s">
        <v>11</v>
      </c>
      <c r="M22" s="36" t="s">
        <v>12</v>
      </c>
    </row>
    <row r="23" spans="1:13" x14ac:dyDescent="0.2">
      <c r="A23" s="27">
        <v>2018</v>
      </c>
      <c r="B23" s="32">
        <v>374.3</v>
      </c>
      <c r="C23" s="32">
        <v>427.6</v>
      </c>
      <c r="D23" s="32">
        <v>524.1</v>
      </c>
      <c r="E23" s="32">
        <v>444.6</v>
      </c>
      <c r="F23" s="32">
        <v>505.6</v>
      </c>
      <c r="G23" s="32">
        <v>458.7</v>
      </c>
      <c r="H23" s="32">
        <v>488</v>
      </c>
      <c r="I23" s="32">
        <v>480.7</v>
      </c>
      <c r="J23" s="32">
        <v>474</v>
      </c>
      <c r="K23" s="32">
        <v>540.6</v>
      </c>
      <c r="L23" s="32">
        <v>522.6</v>
      </c>
      <c r="M23" s="33">
        <v>519.29999999999995</v>
      </c>
    </row>
    <row r="24" spans="1:13" x14ac:dyDescent="0.2">
      <c r="A24" s="27">
        <v>2019</v>
      </c>
      <c r="B24" s="32">
        <v>372.6</v>
      </c>
      <c r="C24" s="32">
        <v>459.3</v>
      </c>
      <c r="D24" s="32">
        <v>533.79999999999995</v>
      </c>
      <c r="E24" s="32">
        <v>515.6</v>
      </c>
      <c r="F24" s="32">
        <v>481.6</v>
      </c>
      <c r="G24" s="32">
        <v>445.4</v>
      </c>
      <c r="H24" s="32">
        <v>499.1</v>
      </c>
      <c r="I24" s="32">
        <v>464.3</v>
      </c>
      <c r="J24" s="32">
        <v>501.7</v>
      </c>
      <c r="K24" s="32">
        <v>525.29999999999995</v>
      </c>
      <c r="L24" s="32">
        <v>504.1</v>
      </c>
      <c r="M24" s="33">
        <v>539.70000000000005</v>
      </c>
    </row>
    <row r="25" spans="1:13" x14ac:dyDescent="0.2">
      <c r="A25" s="27">
        <v>2020</v>
      </c>
      <c r="B25" s="32">
        <v>379.8</v>
      </c>
      <c r="C25" s="32">
        <v>484.8</v>
      </c>
      <c r="D25" s="32">
        <v>500.5</v>
      </c>
      <c r="E25" s="32">
        <v>285.60000000000002</v>
      </c>
      <c r="F25" s="32">
        <v>329.4</v>
      </c>
      <c r="G25" s="32">
        <v>413.5</v>
      </c>
      <c r="H25" s="32">
        <v>496.6</v>
      </c>
      <c r="I25" s="32">
        <v>433.6</v>
      </c>
      <c r="J25" s="32">
        <v>508.3</v>
      </c>
      <c r="K25" s="32">
        <v>493.6</v>
      </c>
      <c r="L25" s="32">
        <v>522.9</v>
      </c>
      <c r="M25" s="33">
        <v>567.29999999999995</v>
      </c>
    </row>
    <row r="26" spans="1:13" x14ac:dyDescent="0.2">
      <c r="A26" s="27">
        <v>2021</v>
      </c>
      <c r="B26" s="32">
        <v>399.4</v>
      </c>
      <c r="C26" s="32">
        <v>521.4</v>
      </c>
      <c r="D26" s="32">
        <v>630.1</v>
      </c>
      <c r="E26" s="32">
        <v>562.20000000000005</v>
      </c>
      <c r="F26" s="32">
        <v>563.4</v>
      </c>
      <c r="G26" s="32">
        <v>589.6</v>
      </c>
      <c r="H26" s="32">
        <v>562</v>
      </c>
      <c r="I26" s="32">
        <v>574.9</v>
      </c>
      <c r="J26" s="32">
        <v>671.2</v>
      </c>
      <c r="K26" s="32">
        <v>646.79999999999995</v>
      </c>
      <c r="L26" s="32">
        <v>701.5</v>
      </c>
      <c r="M26" s="33">
        <v>754.2</v>
      </c>
    </row>
    <row r="27" spans="1:13" x14ac:dyDescent="0.2">
      <c r="A27" s="27">
        <v>2022</v>
      </c>
      <c r="B27" s="32">
        <v>621.70000000000005</v>
      </c>
      <c r="C27" s="32">
        <v>669.1</v>
      </c>
      <c r="D27" s="32">
        <v>748.3</v>
      </c>
      <c r="E27" s="32">
        <v>770.4</v>
      </c>
      <c r="F27" s="32">
        <v>772.7</v>
      </c>
      <c r="G27" s="32">
        <v>768.4</v>
      </c>
      <c r="H27" s="32">
        <v>761</v>
      </c>
      <c r="I27" s="32">
        <v>780</v>
      </c>
      <c r="J27" s="32">
        <v>844.1</v>
      </c>
      <c r="K27" s="32">
        <v>751.2</v>
      </c>
      <c r="L27" s="32">
        <v>858.3</v>
      </c>
      <c r="M27" s="33">
        <v>873.8</v>
      </c>
    </row>
    <row r="28" spans="1:13" x14ac:dyDescent="0.2">
      <c r="A28" s="28">
        <v>2023</v>
      </c>
      <c r="B28" s="10">
        <v>733.3</v>
      </c>
      <c r="C28" s="10">
        <v>752.5</v>
      </c>
      <c r="D28" s="34">
        <v>821.2</v>
      </c>
      <c r="E28" s="34">
        <v>690.5</v>
      </c>
      <c r="F28" s="34">
        <v>709.1</v>
      </c>
      <c r="G28" s="34"/>
      <c r="H28" s="34"/>
      <c r="I28" s="34"/>
      <c r="J28" s="34"/>
      <c r="K28" s="34"/>
      <c r="L28" s="34"/>
      <c r="M28" s="35"/>
    </row>
    <row r="30" spans="1:13" x14ac:dyDescent="0.2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</row>
  </sheetData>
  <mergeCells count="1">
    <mergeCell ref="A2:M2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AD32"/>
  <sheetViews>
    <sheetView workbookViewId="0">
      <selection activeCell="AD26" sqref="AD26"/>
    </sheetView>
  </sheetViews>
  <sheetFormatPr defaultRowHeight="12" x14ac:dyDescent="0.2"/>
  <cols>
    <col min="1" max="1" width="19.140625" style="3" customWidth="1"/>
    <col min="2" max="2" width="6.7109375" style="3" customWidth="1"/>
    <col min="3" max="4" width="5.42578125" style="3" customWidth="1"/>
    <col min="5" max="5" width="5.5703125" style="3" customWidth="1"/>
    <col min="6" max="6" width="5.42578125" style="3" customWidth="1"/>
    <col min="7" max="7" width="6" style="3" customWidth="1"/>
    <col min="8" max="8" width="5.28515625" style="3" customWidth="1"/>
    <col min="9" max="11" width="5.7109375" style="3" customWidth="1"/>
    <col min="12" max="12" width="5.42578125" style="3" customWidth="1"/>
    <col min="13" max="14" width="5.5703125" style="3" customWidth="1"/>
    <col min="15" max="16" width="5.85546875" style="3" customWidth="1"/>
    <col min="17" max="17" width="5.5703125" style="3" customWidth="1"/>
    <col min="18" max="18" width="5.42578125" style="3" customWidth="1"/>
    <col min="19" max="19" width="6" style="3" customWidth="1"/>
    <col min="20" max="20" width="0.140625" style="3" customWidth="1"/>
    <col min="21" max="24" width="6" style="3" customWidth="1"/>
    <col min="25" max="25" width="6.42578125" style="3" customWidth="1"/>
    <col min="26" max="28" width="6.28515625" style="3" customWidth="1"/>
    <col min="29" max="30" width="6.7109375" style="3" customWidth="1"/>
    <col min="31" max="31" width="6.5703125" style="3" customWidth="1"/>
    <col min="32" max="16384" width="9.140625" style="3"/>
  </cols>
  <sheetData>
    <row r="2" spans="1:20" ht="12.75" x14ac:dyDescent="0.2">
      <c r="A2" s="158" t="s">
        <v>92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</row>
    <row r="3" spans="1:20" x14ac:dyDescent="0.2">
      <c r="A3" s="4"/>
    </row>
    <row r="4" spans="1:20" x14ac:dyDescent="0.2">
      <c r="A4" s="4"/>
    </row>
    <row r="5" spans="1:20" x14ac:dyDescent="0.2">
      <c r="A5" s="4"/>
    </row>
    <row r="6" spans="1:20" x14ac:dyDescent="0.2">
      <c r="A6" s="4"/>
    </row>
    <row r="7" spans="1:20" x14ac:dyDescent="0.2">
      <c r="A7" s="4"/>
    </row>
    <row r="8" spans="1:20" x14ac:dyDescent="0.2">
      <c r="A8" s="4"/>
    </row>
    <row r="9" spans="1:20" x14ac:dyDescent="0.2">
      <c r="A9" s="4"/>
    </row>
    <row r="10" spans="1:20" x14ac:dyDescent="0.2">
      <c r="A10" s="4"/>
    </row>
    <row r="11" spans="1:20" x14ac:dyDescent="0.2">
      <c r="A11" s="4"/>
    </row>
    <row r="12" spans="1:20" x14ac:dyDescent="0.2">
      <c r="A12" s="4"/>
    </row>
    <row r="13" spans="1:20" x14ac:dyDescent="0.2">
      <c r="A13" s="4"/>
    </row>
    <row r="14" spans="1:20" x14ac:dyDescent="0.2">
      <c r="A14" s="4"/>
    </row>
    <row r="15" spans="1:20" x14ac:dyDescent="0.2">
      <c r="A15" s="4"/>
    </row>
    <row r="16" spans="1:20" x14ac:dyDescent="0.2">
      <c r="A16" s="4"/>
    </row>
    <row r="17" spans="1:30" x14ac:dyDescent="0.2">
      <c r="A17" s="4"/>
    </row>
    <row r="18" spans="1:30" x14ac:dyDescent="0.2">
      <c r="A18" s="4"/>
    </row>
    <row r="19" spans="1:30" x14ac:dyDescent="0.2">
      <c r="A19" s="4"/>
    </row>
    <row r="20" spans="1:30" x14ac:dyDescent="0.2">
      <c r="A20" s="4"/>
    </row>
    <row r="21" spans="1:30" ht="15" customHeight="1" x14ac:dyDescent="0.2">
      <c r="A21" s="4"/>
    </row>
    <row r="22" spans="1:30" x14ac:dyDescent="0.2">
      <c r="A22" s="4"/>
    </row>
    <row r="23" spans="1:30" x14ac:dyDescent="0.2">
      <c r="A23" s="165"/>
      <c r="B23" s="155">
        <v>2021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7"/>
      <c r="N23" s="155">
        <v>2022</v>
      </c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7"/>
      <c r="Z23" s="159">
        <v>2023</v>
      </c>
      <c r="AA23" s="160"/>
      <c r="AB23" s="160"/>
      <c r="AC23" s="160"/>
      <c r="AD23" s="161"/>
    </row>
    <row r="24" spans="1:30" x14ac:dyDescent="0.2">
      <c r="A24" s="166"/>
      <c r="B24" s="21" t="s">
        <v>13</v>
      </c>
      <c r="C24" s="21" t="s">
        <v>14</v>
      </c>
      <c r="D24" s="22" t="s">
        <v>15</v>
      </c>
      <c r="E24" s="21" t="s">
        <v>16</v>
      </c>
      <c r="F24" s="21" t="s">
        <v>17</v>
      </c>
      <c r="G24" s="21" t="s">
        <v>22</v>
      </c>
      <c r="H24" s="21" t="s">
        <v>18</v>
      </c>
      <c r="I24" s="21" t="s">
        <v>23</v>
      </c>
      <c r="J24" s="40" t="s">
        <v>19</v>
      </c>
      <c r="K24" s="28" t="s">
        <v>24</v>
      </c>
      <c r="L24" s="26" t="s">
        <v>20</v>
      </c>
      <c r="M24" s="26" t="s">
        <v>21</v>
      </c>
      <c r="N24" s="47" t="s">
        <v>13</v>
      </c>
      <c r="O24" s="47" t="s">
        <v>14</v>
      </c>
      <c r="P24" s="47" t="s">
        <v>15</v>
      </c>
      <c r="Q24" s="21" t="s">
        <v>16</v>
      </c>
      <c r="R24" s="21" t="s">
        <v>17</v>
      </c>
      <c r="S24" s="21" t="s">
        <v>22</v>
      </c>
      <c r="T24" s="21" t="s">
        <v>18</v>
      </c>
      <c r="U24" s="21" t="s">
        <v>23</v>
      </c>
      <c r="V24" s="21" t="s">
        <v>19</v>
      </c>
      <c r="W24" s="22" t="s">
        <v>24</v>
      </c>
      <c r="X24" s="89" t="s">
        <v>20</v>
      </c>
      <c r="Y24" s="89" t="s">
        <v>21</v>
      </c>
      <c r="Z24" s="112" t="s">
        <v>13</v>
      </c>
      <c r="AA24" s="112" t="s">
        <v>14</v>
      </c>
      <c r="AB24" s="113" t="s">
        <v>15</v>
      </c>
      <c r="AC24" s="113" t="s">
        <v>16</v>
      </c>
      <c r="AD24" s="144" t="s">
        <v>17</v>
      </c>
    </row>
    <row r="25" spans="1:30" ht="27.75" customHeight="1" x14ac:dyDescent="0.2">
      <c r="A25" s="16" t="s">
        <v>57</v>
      </c>
      <c r="B25" s="53">
        <v>70.397914008513311</v>
      </c>
      <c r="C25" s="14">
        <v>130.56565598353049</v>
      </c>
      <c r="D25" s="14">
        <v>120.83026196604835</v>
      </c>
      <c r="E25" s="54">
        <v>89.231037795592442</v>
      </c>
      <c r="F25" s="14">
        <v>100.2114807539604</v>
      </c>
      <c r="G25" s="14">
        <v>104.66057637383682</v>
      </c>
      <c r="H25" s="14">
        <v>95.30942393156748</v>
      </c>
      <c r="I25" s="14">
        <v>102.30310816744974</v>
      </c>
      <c r="J25" s="14">
        <v>116.7433114933096</v>
      </c>
      <c r="K25" s="14">
        <v>96.368466717330918</v>
      </c>
      <c r="L25" s="15">
        <v>108.45193596997535</v>
      </c>
      <c r="M25" s="11">
        <v>107.60757399325725</v>
      </c>
      <c r="N25" s="90">
        <v>82.42810256467493</v>
      </c>
      <c r="O25" s="15">
        <v>107.62832847463979</v>
      </c>
      <c r="P25" s="15">
        <v>111.83649823538117</v>
      </c>
      <c r="Q25" s="15">
        <v>102.95945766976527</v>
      </c>
      <c r="R25" s="15">
        <v>100.28989015201115</v>
      </c>
      <c r="S25" s="15">
        <v>99.449492493428721</v>
      </c>
      <c r="T25" s="15">
        <v>99.042771669685536</v>
      </c>
      <c r="U25" s="15">
        <v>102.48436324688166</v>
      </c>
      <c r="V25" s="15">
        <v>108.22806008303567</v>
      </c>
      <c r="W25" s="86">
        <v>88.988673647198652</v>
      </c>
      <c r="X25" s="86">
        <v>114.26056736134905</v>
      </c>
      <c r="Y25" s="80">
        <v>101.80484196839581</v>
      </c>
      <c r="Z25" s="98">
        <v>83.923113131090105</v>
      </c>
      <c r="AA25" s="77">
        <v>102.61098940878497</v>
      </c>
      <c r="AB25" s="77">
        <v>109.13292087461024</v>
      </c>
      <c r="AC25" s="77">
        <v>84.084330140709312</v>
      </c>
      <c r="AD25" s="75">
        <v>102.74775275231818</v>
      </c>
    </row>
    <row r="26" spans="1:30" ht="42" customHeight="1" x14ac:dyDescent="0.2">
      <c r="A26" s="18" t="s">
        <v>58</v>
      </c>
      <c r="B26" s="19">
        <f>IF(379831.59944="","-",399368.86107/379831.59944*100)</f>
        <v>105.14366410240868</v>
      </c>
      <c r="C26" s="10">
        <f>IF(484785.07909="","-",521438.57325/484785.07909*100)</f>
        <v>107.56077192573727</v>
      </c>
      <c r="D26" s="10">
        <f>IF(500496.7331="","-",630055.59405/500496.7331*100)</f>
        <v>125.88605526903886</v>
      </c>
      <c r="E26" s="10">
        <f>IF(285604.18681="","-",562205.14526/285604.18681*100)</f>
        <v>196.84765533007069</v>
      </c>
      <c r="F26" s="10">
        <f>IF(329360.04715="","-",563394.10094/329360.04715*100)</f>
        <v>171.05720800538208</v>
      </c>
      <c r="G26" s="10">
        <f>IF(413539.17419="","-",589651.5133/413539.17419*100)</f>
        <v>142.58661575531545</v>
      </c>
      <c r="H26" s="10">
        <f>IF(496638.96559="","-",561993.46053/496638.96559*100)</f>
        <v>113.15935709199938</v>
      </c>
      <c r="I26" s="10">
        <f>IF(433625.62616="","-",574936.77782/433625.62616*100)</f>
        <v>132.58828425602752</v>
      </c>
      <c r="J26" s="10">
        <f>IF(508337.58442="","-",671200.23342/508337.58442*100)</f>
        <v>132.03828597207149</v>
      </c>
      <c r="K26" s="10">
        <f>IF(493580.30765="","-",646825.37355/493580.30765*100)</f>
        <v>131.0476458490858</v>
      </c>
      <c r="L26" s="10">
        <f>IF(522886.87074="","-",701494.63996/522886.87074*100)</f>
        <v>134.15801375299989</v>
      </c>
      <c r="M26" s="12">
        <f>IF(567302.1235="","-",754196.91196/567302.1235*100)</f>
        <v>132.94448949123316</v>
      </c>
      <c r="N26" s="19">
        <f>IF(399368.86107="","-",621670.20413/399368.86107*100)</f>
        <v>155.66316373900662</v>
      </c>
      <c r="O26" s="10">
        <f>IF(521438.57325="","-",669093.24933/521438.57325*100)</f>
        <v>128.31679197795137</v>
      </c>
      <c r="P26" s="10">
        <f>IF(630055.59405="","-",748290.45998/630055.59405*100)</f>
        <v>118.765783058918</v>
      </c>
      <c r="Q26" s="10">
        <f>IF(562205.14526="","-",770435.79939/562205.14526*100)</f>
        <v>137.03819786880473</v>
      </c>
      <c r="R26" s="10">
        <f>IF(563394.10094="","-",772669.2169/563394.10094*100)</f>
        <v>137.1454219365863</v>
      </c>
      <c r="S26" s="10">
        <f>IF(589651.5133="","-",768415.61486/589651.5133*100)</f>
        <v>130.31690711002199</v>
      </c>
      <c r="T26" s="10">
        <f>IF(561993.46053="","-",761060.1229/561993.46053*100)</f>
        <v>135.42152646798874</v>
      </c>
      <c r="U26" s="10">
        <f>IF(574936.77782="","-",779967.62088/574936.77782*100)</f>
        <v>135.66145895856928</v>
      </c>
      <c r="V26" s="10">
        <f>IF(671200.23342="","-",844143.83056/671200.23342*100)</f>
        <v>125.76631957631956</v>
      </c>
      <c r="W26" s="10">
        <f>IF(646825.37355="","-",751192.39849/646825.37355*100)</f>
        <v>116.13527069403568</v>
      </c>
      <c r="X26" s="10">
        <f>IF(701494.63996="","-",858316.69649/701494.63996*100)</f>
        <v>122.35541764637607</v>
      </c>
      <c r="Y26" s="12">
        <f>IF(754196.91196="","-",873807.95645/754196.91196*100)</f>
        <v>115.85939196955289</v>
      </c>
      <c r="Z26" s="99">
        <f>IF(621670.20413="","-",733326.83984/621670.20413*100)</f>
        <v>117.96075072735046</v>
      </c>
      <c r="AA26" s="76">
        <f>IF(669093.24933="","-",752473.92596/669093.24933*100)</f>
        <v>112.46174232268726</v>
      </c>
      <c r="AB26" s="76">
        <f>IF(748290.45998="","-",821196.77422/748290.45998*100)</f>
        <v>109.7430500773655</v>
      </c>
      <c r="AC26" s="76">
        <f>IF(770435.79939="","-",690497.80674/770435.79939*100)</f>
        <v>89.624314873050864</v>
      </c>
      <c r="AD26" s="120">
        <f>IF(772669.2169="","-",709475.72148/772669.2169*100)</f>
        <v>91.821403773074266</v>
      </c>
    </row>
    <row r="27" spans="1:30" x14ac:dyDescent="0.2">
      <c r="A27" s="7"/>
      <c r="B27" s="8"/>
      <c r="C27" s="8"/>
      <c r="D27" s="8"/>
      <c r="E27" s="8"/>
      <c r="F27" s="8"/>
      <c r="G27" s="8"/>
      <c r="H27" s="8"/>
    </row>
    <row r="28" spans="1:30" x14ac:dyDescent="0.2">
      <c r="A28" s="7"/>
      <c r="B28" s="8"/>
      <c r="C28" s="8"/>
      <c r="D28" s="8"/>
      <c r="E28" s="8"/>
      <c r="F28" s="8"/>
      <c r="G28" s="8"/>
      <c r="H28" s="8"/>
      <c r="N28" s="57"/>
      <c r="O28" s="15"/>
      <c r="P28" s="15"/>
      <c r="Q28" s="15"/>
      <c r="R28" s="15"/>
      <c r="S28" s="15"/>
      <c r="T28" s="15"/>
      <c r="U28" s="15"/>
      <c r="V28" s="15"/>
      <c r="W28" s="86"/>
      <c r="X28" s="86"/>
      <c r="Y28" s="86"/>
    </row>
    <row r="29" spans="1:30" x14ac:dyDescent="0.2"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30" ht="15.75" x14ac:dyDescent="0.25">
      <c r="N30" s="61"/>
      <c r="O30" s="61"/>
      <c r="P30" s="61"/>
      <c r="Q30" s="15"/>
      <c r="R30" s="15"/>
      <c r="S30" s="15"/>
      <c r="T30" s="15"/>
      <c r="U30" s="15"/>
      <c r="V30" s="66"/>
      <c r="W30" s="74"/>
    </row>
    <row r="31" spans="1:30" ht="15.75" x14ac:dyDescent="0.25">
      <c r="G31" s="41"/>
      <c r="H31" s="41"/>
      <c r="I31" s="43"/>
      <c r="J31" s="41"/>
      <c r="K31" s="41"/>
      <c r="L31" s="41"/>
      <c r="M31" s="43"/>
      <c r="N31" s="41"/>
      <c r="O31" s="43"/>
      <c r="P31" s="41"/>
      <c r="Q31" s="43"/>
      <c r="R31" s="41"/>
      <c r="S31" s="43"/>
      <c r="T31" s="41"/>
      <c r="U31" s="43"/>
      <c r="V31" s="41"/>
      <c r="W31" s="44"/>
      <c r="X31" s="41"/>
      <c r="Y31" s="41"/>
      <c r="Z31" s="41"/>
      <c r="AA31" s="43"/>
      <c r="AB31" s="41"/>
      <c r="AC31" s="42"/>
    </row>
    <row r="32" spans="1:30" ht="15.75" x14ac:dyDescent="0.2">
      <c r="L32" s="43"/>
    </row>
  </sheetData>
  <mergeCells count="5">
    <mergeCell ref="A23:A24"/>
    <mergeCell ref="B23:M23"/>
    <mergeCell ref="N23:Y23"/>
    <mergeCell ref="A2:T2"/>
    <mergeCell ref="Z23:AD2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Figura 1</vt:lpstr>
      <vt:lpstr>Figura 2</vt:lpstr>
      <vt:lpstr>Sheet1</vt:lpstr>
      <vt:lpstr>Figura 3</vt:lpstr>
      <vt:lpstr>Figura 4</vt:lpstr>
      <vt:lpstr>Figura 5</vt:lpstr>
      <vt:lpstr>Figura 6</vt:lpstr>
      <vt:lpstr>Figura 7</vt:lpstr>
      <vt:lpstr>Figura 8</vt:lpstr>
      <vt:lpstr>Figura 9</vt:lpstr>
      <vt:lpstr>Figura 10</vt:lpstr>
      <vt:lpstr>Figura 11</vt:lpstr>
      <vt:lpstr>Figura 12</vt:lpstr>
      <vt:lpstr>Figura 13</vt:lpstr>
      <vt:lpstr>Figura 14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Petrusca</dc:creator>
  <cp:lastModifiedBy>Corina Vicol</cp:lastModifiedBy>
  <cp:lastPrinted>2023-02-01T07:21:59Z</cp:lastPrinted>
  <dcterms:created xsi:type="dcterms:W3CDTF">2017-02-13T11:50:10Z</dcterms:created>
  <dcterms:modified xsi:type="dcterms:W3CDTF">2023-07-17T08:44:47Z</dcterms:modified>
</cp:coreProperties>
</file>