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rinaVicol\Desktop\Comert\"/>
    </mc:Choice>
  </mc:AlternateContent>
  <xr:revisionPtr revIDLastSave="0" documentId="8_{099BC07B-3CC7-41F6-B61C-D6C8F8AD54D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xport_Tari" sheetId="1" r:id="rId1"/>
    <sheet name="Import_Tari" sheetId="2" r:id="rId2"/>
    <sheet name="Balanta Comerciala_Tari" sheetId="3" r:id="rId3"/>
    <sheet name="Export_Moduri_Transport" sheetId="7" r:id="rId4"/>
    <sheet name="Import_Moduri_Transport" sheetId="8" r:id="rId5"/>
    <sheet name="Export_Grupe_Marfuri_CSCI" sheetId="5" r:id="rId6"/>
    <sheet name="Import_Grupe_Marfuri_CSCI" sheetId="6" r:id="rId7"/>
    <sheet name="Balanta_Comerciala_Gr_Marf_CSCI" sheetId="4" r:id="rId8"/>
  </sheets>
  <definedNames>
    <definedName name="_xlnm.Print_Titles" localSheetId="2">'Balanta Comerciala_Tari'!$3:$3</definedName>
    <definedName name="_xlnm.Print_Titles" localSheetId="7">Balanta_Comerciala_Gr_Marf_CSCI!$4:$4</definedName>
    <definedName name="_xlnm.Print_Titles" localSheetId="5">Export_Grupe_Marfuri_CSCI!$4:$5</definedName>
    <definedName name="_xlnm.Print_Titles" localSheetId="0">Export_Tari!$3:$4</definedName>
    <definedName name="_xlnm.Print_Titles" localSheetId="6">Import_Grupe_Marfuri_CSCI!$4:$5</definedName>
    <definedName name="_xlnm.Print_Titles" localSheetId="1">Import_Tari!$3:$4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9" i="4" l="1"/>
  <c r="E78" i="4"/>
  <c r="E77" i="4"/>
  <c r="E76" i="4"/>
  <c r="E75" i="4"/>
  <c r="E74" i="4"/>
  <c r="E72" i="4"/>
  <c r="E71" i="4"/>
  <c r="E70" i="4"/>
  <c r="E68" i="4"/>
  <c r="E67" i="4"/>
  <c r="E66" i="4"/>
  <c r="E65" i="4"/>
  <c r="E64" i="4"/>
  <c r="E63" i="4"/>
  <c r="E62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1" i="4"/>
  <c r="E40" i="4"/>
  <c r="E39" i="4"/>
  <c r="E38" i="4"/>
  <c r="E36" i="4"/>
  <c r="E34" i="4"/>
  <c r="E33" i="4"/>
  <c r="E32" i="4"/>
  <c r="E31" i="4"/>
  <c r="E30" i="4"/>
  <c r="E29" i="4"/>
  <c r="E27" i="4"/>
  <c r="E26" i="4"/>
  <c r="E25" i="4"/>
  <c r="E22" i="4"/>
  <c r="E20" i="4"/>
  <c r="E19" i="4"/>
  <c r="E18" i="4"/>
  <c r="E17" i="4"/>
  <c r="E16" i="4"/>
  <c r="E15" i="4"/>
  <c r="E13" i="4"/>
  <c r="E12" i="4"/>
  <c r="E11" i="4"/>
  <c r="E10" i="4"/>
  <c r="E9" i="4"/>
  <c r="E8" i="4"/>
  <c r="E7" i="4"/>
  <c r="E5" i="4"/>
  <c r="H78" i="6"/>
  <c r="G78" i="6"/>
  <c r="F78" i="6"/>
  <c r="E78" i="6"/>
  <c r="H77" i="6"/>
  <c r="G77" i="6"/>
  <c r="F77" i="6"/>
  <c r="E77" i="6"/>
  <c r="D77" i="6"/>
  <c r="H76" i="6"/>
  <c r="G76" i="6"/>
  <c r="F76" i="6"/>
  <c r="E76" i="6"/>
  <c r="D76" i="6"/>
  <c r="H75" i="6"/>
  <c r="G75" i="6"/>
  <c r="F75" i="6"/>
  <c r="E75" i="6"/>
  <c r="D75" i="6"/>
  <c r="H74" i="6"/>
  <c r="G74" i="6"/>
  <c r="F74" i="6"/>
  <c r="E74" i="6"/>
  <c r="D74" i="6"/>
  <c r="H73" i="6"/>
  <c r="G73" i="6"/>
  <c r="F73" i="6"/>
  <c r="E73" i="6"/>
  <c r="D73" i="6"/>
  <c r="H72" i="6"/>
  <c r="G72" i="6"/>
  <c r="F72" i="6"/>
  <c r="E72" i="6"/>
  <c r="D72" i="6"/>
  <c r="H71" i="6"/>
  <c r="G71" i="6"/>
  <c r="F71" i="6"/>
  <c r="E71" i="6"/>
  <c r="D71" i="6"/>
  <c r="H70" i="6"/>
  <c r="G70" i="6"/>
  <c r="F70" i="6"/>
  <c r="E70" i="6"/>
  <c r="D70" i="6"/>
  <c r="H69" i="6"/>
  <c r="G69" i="6"/>
  <c r="F69" i="6"/>
  <c r="E69" i="6"/>
  <c r="D69" i="6"/>
  <c r="H68" i="6"/>
  <c r="G68" i="6"/>
  <c r="F68" i="6"/>
  <c r="E68" i="6"/>
  <c r="D68" i="6"/>
  <c r="H67" i="6"/>
  <c r="G67" i="6"/>
  <c r="F67" i="6"/>
  <c r="E67" i="6"/>
  <c r="D67" i="6"/>
  <c r="H66" i="6"/>
  <c r="G66" i="6"/>
  <c r="F66" i="6"/>
  <c r="E66" i="6"/>
  <c r="D66" i="6"/>
  <c r="H65" i="6"/>
  <c r="G65" i="6"/>
  <c r="F65" i="6"/>
  <c r="E65" i="6"/>
  <c r="D65" i="6"/>
  <c r="H64" i="6"/>
  <c r="G64" i="6"/>
  <c r="F64" i="6"/>
  <c r="E64" i="6"/>
  <c r="D64" i="6"/>
  <c r="H63" i="6"/>
  <c r="G63" i="6"/>
  <c r="F63" i="6"/>
  <c r="E63" i="6"/>
  <c r="D63" i="6"/>
  <c r="H62" i="6"/>
  <c r="G62" i="6"/>
  <c r="F62" i="6"/>
  <c r="E62" i="6"/>
  <c r="D62" i="6"/>
  <c r="H61" i="6"/>
  <c r="G61" i="6"/>
  <c r="F61" i="6"/>
  <c r="E61" i="6"/>
  <c r="D61" i="6"/>
  <c r="H60" i="6"/>
  <c r="G60" i="6"/>
  <c r="F60" i="6"/>
  <c r="E60" i="6"/>
  <c r="H59" i="6"/>
  <c r="G59" i="6"/>
  <c r="F59" i="6"/>
  <c r="E59" i="6"/>
  <c r="D59" i="6"/>
  <c r="H58" i="6"/>
  <c r="G58" i="6"/>
  <c r="F58" i="6"/>
  <c r="E58" i="6"/>
  <c r="D58" i="6"/>
  <c r="H57" i="6"/>
  <c r="G57" i="6"/>
  <c r="F57" i="6"/>
  <c r="E57" i="6"/>
  <c r="D57" i="6"/>
  <c r="H56" i="6"/>
  <c r="G56" i="6"/>
  <c r="F56" i="6"/>
  <c r="E56" i="6"/>
  <c r="D56" i="6"/>
  <c r="H55" i="6"/>
  <c r="G55" i="6"/>
  <c r="F55" i="6"/>
  <c r="E55" i="6"/>
  <c r="D55" i="6"/>
  <c r="H54" i="6"/>
  <c r="G54" i="6"/>
  <c r="F54" i="6"/>
  <c r="E54" i="6"/>
  <c r="D54" i="6"/>
  <c r="H53" i="6"/>
  <c r="G53" i="6"/>
  <c r="F53" i="6"/>
  <c r="E53" i="6"/>
  <c r="D53" i="6"/>
  <c r="H52" i="6"/>
  <c r="G52" i="6"/>
  <c r="F52" i="6"/>
  <c r="E52" i="6"/>
  <c r="D52" i="6"/>
  <c r="H51" i="6"/>
  <c r="G51" i="6"/>
  <c r="F51" i="6"/>
  <c r="E51" i="6"/>
  <c r="D51" i="6"/>
  <c r="H50" i="6"/>
  <c r="G50" i="6"/>
  <c r="F50" i="6"/>
  <c r="E50" i="6"/>
  <c r="D50" i="6"/>
  <c r="H49" i="6"/>
  <c r="G49" i="6"/>
  <c r="F49" i="6"/>
  <c r="E49" i="6"/>
  <c r="D49" i="6"/>
  <c r="H48" i="6"/>
  <c r="G48" i="6"/>
  <c r="F48" i="6"/>
  <c r="E48" i="6"/>
  <c r="D48" i="6"/>
  <c r="H47" i="6"/>
  <c r="G47" i="6"/>
  <c r="F47" i="6"/>
  <c r="E47" i="6"/>
  <c r="D47" i="6"/>
  <c r="H46" i="6"/>
  <c r="G46" i="6"/>
  <c r="F46" i="6"/>
  <c r="E46" i="6"/>
  <c r="D46" i="6"/>
  <c r="H45" i="6"/>
  <c r="G45" i="6"/>
  <c r="F45" i="6"/>
  <c r="E45" i="6"/>
  <c r="D45" i="6"/>
  <c r="H44" i="6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D42" i="6"/>
  <c r="H41" i="6"/>
  <c r="G41" i="6"/>
  <c r="F41" i="6"/>
  <c r="E41" i="6"/>
  <c r="H40" i="6"/>
  <c r="G40" i="6"/>
  <c r="F40" i="6"/>
  <c r="E40" i="6"/>
  <c r="D40" i="6"/>
  <c r="H39" i="6"/>
  <c r="G39" i="6"/>
  <c r="F39" i="6"/>
  <c r="E39" i="6"/>
  <c r="D39" i="6"/>
  <c r="H38" i="6"/>
  <c r="G38" i="6"/>
  <c r="F38" i="6"/>
  <c r="E38" i="6"/>
  <c r="D38" i="6"/>
  <c r="H37" i="6"/>
  <c r="G37" i="6"/>
  <c r="F37" i="6"/>
  <c r="E37" i="6"/>
  <c r="H36" i="6"/>
  <c r="G36" i="6"/>
  <c r="F36" i="6"/>
  <c r="E36" i="6"/>
  <c r="H35" i="6"/>
  <c r="G35" i="6"/>
  <c r="F35" i="6"/>
  <c r="E35" i="6"/>
  <c r="H34" i="6"/>
  <c r="G34" i="6"/>
  <c r="F34" i="6"/>
  <c r="E34" i="6"/>
  <c r="H33" i="6"/>
  <c r="G33" i="6"/>
  <c r="F33" i="6"/>
  <c r="E33" i="6"/>
  <c r="D33" i="6"/>
  <c r="H32" i="6"/>
  <c r="G32" i="6"/>
  <c r="F32" i="6"/>
  <c r="E32" i="6"/>
  <c r="H31" i="6"/>
  <c r="G31" i="6"/>
  <c r="F31" i="6"/>
  <c r="E31" i="6"/>
  <c r="D31" i="6"/>
  <c r="H30" i="6"/>
  <c r="G30" i="6"/>
  <c r="F30" i="6"/>
  <c r="E30" i="6"/>
  <c r="D30" i="6"/>
  <c r="H29" i="6"/>
  <c r="G29" i="6"/>
  <c r="F29" i="6"/>
  <c r="E29" i="6"/>
  <c r="D29" i="6"/>
  <c r="H28" i="6"/>
  <c r="G28" i="6"/>
  <c r="F28" i="6"/>
  <c r="E28" i="6"/>
  <c r="H27" i="6"/>
  <c r="G27" i="6"/>
  <c r="F27" i="6"/>
  <c r="E27" i="6"/>
  <c r="D27" i="6"/>
  <c r="H26" i="6"/>
  <c r="G26" i="6"/>
  <c r="F26" i="6"/>
  <c r="E26" i="6"/>
  <c r="D26" i="6"/>
  <c r="H25" i="6"/>
  <c r="G25" i="6"/>
  <c r="F25" i="6"/>
  <c r="E25" i="6"/>
  <c r="D25" i="6"/>
  <c r="H24" i="6"/>
  <c r="G24" i="6"/>
  <c r="F24" i="6"/>
  <c r="E24" i="6"/>
  <c r="D24" i="6"/>
  <c r="H23" i="6"/>
  <c r="G23" i="6"/>
  <c r="F23" i="6"/>
  <c r="E23" i="6"/>
  <c r="H22" i="6"/>
  <c r="G22" i="6"/>
  <c r="F22" i="6"/>
  <c r="E22" i="6"/>
  <c r="H21" i="6"/>
  <c r="G21" i="6"/>
  <c r="F21" i="6"/>
  <c r="E21" i="6"/>
  <c r="H20" i="6"/>
  <c r="G20" i="6"/>
  <c r="F20" i="6"/>
  <c r="E20" i="6"/>
  <c r="D20" i="6"/>
  <c r="H19" i="6"/>
  <c r="G19" i="6"/>
  <c r="F19" i="6"/>
  <c r="E19" i="6"/>
  <c r="D19" i="6"/>
  <c r="H18" i="6"/>
  <c r="G18" i="6"/>
  <c r="F18" i="6"/>
  <c r="E18" i="6"/>
  <c r="D18" i="6"/>
  <c r="H17" i="6"/>
  <c r="G17" i="6"/>
  <c r="F17" i="6"/>
  <c r="E17" i="6"/>
  <c r="D17" i="6"/>
  <c r="H16" i="6"/>
  <c r="G16" i="6"/>
  <c r="F16" i="6"/>
  <c r="E16" i="6"/>
  <c r="D16" i="6"/>
  <c r="H15" i="6"/>
  <c r="G15" i="6"/>
  <c r="F15" i="6"/>
  <c r="E15" i="6"/>
  <c r="D15" i="6"/>
  <c r="H14" i="6"/>
  <c r="G14" i="6"/>
  <c r="F14" i="6"/>
  <c r="E14" i="6"/>
  <c r="H13" i="6"/>
  <c r="G13" i="6"/>
  <c r="F13" i="6"/>
  <c r="E13" i="6"/>
  <c r="D13" i="6"/>
  <c r="H12" i="6"/>
  <c r="G12" i="6"/>
  <c r="F12" i="6"/>
  <c r="E12" i="6"/>
  <c r="D12" i="6"/>
  <c r="H11" i="6"/>
  <c r="G11" i="6"/>
  <c r="F11" i="6"/>
  <c r="E11" i="6"/>
  <c r="D11" i="6"/>
  <c r="H10" i="6"/>
  <c r="G10" i="6"/>
  <c r="F10" i="6"/>
  <c r="E10" i="6"/>
  <c r="D10" i="6"/>
  <c r="H9" i="6"/>
  <c r="G9" i="6"/>
  <c r="F9" i="6"/>
  <c r="E9" i="6"/>
  <c r="D9" i="6"/>
  <c r="H8" i="6"/>
  <c r="G8" i="6"/>
  <c r="F8" i="6"/>
  <c r="E8" i="6"/>
  <c r="D8" i="6"/>
  <c r="H7" i="6"/>
  <c r="G7" i="6"/>
  <c r="F7" i="6"/>
  <c r="E7" i="6"/>
  <c r="D7" i="6"/>
  <c r="H6" i="6"/>
  <c r="G6" i="6"/>
  <c r="D6" i="6"/>
  <c r="H78" i="5"/>
  <c r="F78" i="5"/>
  <c r="E78" i="5"/>
  <c r="H77" i="5"/>
  <c r="G77" i="5"/>
  <c r="F77" i="5"/>
  <c r="E77" i="5"/>
  <c r="D77" i="5"/>
  <c r="H76" i="5"/>
  <c r="G76" i="5"/>
  <c r="F76" i="5"/>
  <c r="E76" i="5"/>
  <c r="H75" i="5"/>
  <c r="G75" i="5"/>
  <c r="F75" i="5"/>
  <c r="E75" i="5"/>
  <c r="D75" i="5"/>
  <c r="H74" i="5"/>
  <c r="G74" i="5"/>
  <c r="F74" i="5"/>
  <c r="E74" i="5"/>
  <c r="D74" i="5"/>
  <c r="H73" i="5"/>
  <c r="G73" i="5"/>
  <c r="F73" i="5"/>
  <c r="E73" i="5"/>
  <c r="D73" i="5"/>
  <c r="H72" i="5"/>
  <c r="G72" i="5"/>
  <c r="F72" i="5"/>
  <c r="E72" i="5"/>
  <c r="D72" i="5"/>
  <c r="H71" i="5"/>
  <c r="G71" i="5"/>
  <c r="F71" i="5"/>
  <c r="E71" i="5"/>
  <c r="D71" i="5"/>
  <c r="H70" i="5"/>
  <c r="G70" i="5"/>
  <c r="F70" i="5"/>
  <c r="E70" i="5"/>
  <c r="D70" i="5"/>
  <c r="H69" i="5"/>
  <c r="G69" i="5"/>
  <c r="F69" i="5"/>
  <c r="E69" i="5"/>
  <c r="D69" i="5"/>
  <c r="H68" i="5"/>
  <c r="G68" i="5"/>
  <c r="F68" i="5"/>
  <c r="E68" i="5"/>
  <c r="H67" i="5"/>
  <c r="G67" i="5"/>
  <c r="F67" i="5"/>
  <c r="E67" i="5"/>
  <c r="D67" i="5"/>
  <c r="H66" i="5"/>
  <c r="G66" i="5"/>
  <c r="F66" i="5"/>
  <c r="E66" i="5"/>
  <c r="D66" i="5"/>
  <c r="H65" i="5"/>
  <c r="G65" i="5"/>
  <c r="F65" i="5"/>
  <c r="E65" i="5"/>
  <c r="H64" i="5"/>
  <c r="G64" i="5"/>
  <c r="F64" i="5"/>
  <c r="E64" i="5"/>
  <c r="H63" i="5"/>
  <c r="G63" i="5"/>
  <c r="F63" i="5"/>
  <c r="E63" i="5"/>
  <c r="H62" i="5"/>
  <c r="G62" i="5"/>
  <c r="F62" i="5"/>
  <c r="E62" i="5"/>
  <c r="H61" i="5"/>
  <c r="G61" i="5"/>
  <c r="F61" i="5"/>
  <c r="E61" i="5"/>
  <c r="H60" i="5"/>
  <c r="G60" i="5"/>
  <c r="F60" i="5"/>
  <c r="E60" i="5"/>
  <c r="H59" i="5"/>
  <c r="G59" i="5"/>
  <c r="F59" i="5"/>
  <c r="E59" i="5"/>
  <c r="D59" i="5"/>
  <c r="H58" i="5"/>
  <c r="G58" i="5"/>
  <c r="F58" i="5"/>
  <c r="E58" i="5"/>
  <c r="D58" i="5"/>
  <c r="H57" i="5"/>
  <c r="G57" i="5"/>
  <c r="F57" i="5"/>
  <c r="E57" i="5"/>
  <c r="D57" i="5"/>
  <c r="H56" i="5"/>
  <c r="G56" i="5"/>
  <c r="F56" i="5"/>
  <c r="E56" i="5"/>
  <c r="D56" i="5"/>
  <c r="H55" i="5"/>
  <c r="G55" i="5"/>
  <c r="F55" i="5"/>
  <c r="E55" i="5"/>
  <c r="D55" i="5"/>
  <c r="H54" i="5"/>
  <c r="G54" i="5"/>
  <c r="F54" i="5"/>
  <c r="E54" i="5"/>
  <c r="D54" i="5"/>
  <c r="H53" i="5"/>
  <c r="G53" i="5"/>
  <c r="F53" i="5"/>
  <c r="E53" i="5"/>
  <c r="D53" i="5"/>
  <c r="H52" i="5"/>
  <c r="G52" i="5"/>
  <c r="F52" i="5"/>
  <c r="E52" i="5"/>
  <c r="D52" i="5"/>
  <c r="H51" i="5"/>
  <c r="G51" i="5"/>
  <c r="F51" i="5"/>
  <c r="E51" i="5"/>
  <c r="H50" i="5"/>
  <c r="G50" i="5"/>
  <c r="F50" i="5"/>
  <c r="E50" i="5"/>
  <c r="D50" i="5"/>
  <c r="H49" i="5"/>
  <c r="G49" i="5"/>
  <c r="F49" i="5"/>
  <c r="E49" i="5"/>
  <c r="D49" i="5"/>
  <c r="H48" i="5"/>
  <c r="G48" i="5"/>
  <c r="F48" i="5"/>
  <c r="E48" i="5"/>
  <c r="D48" i="5"/>
  <c r="H47" i="5"/>
  <c r="G47" i="5"/>
  <c r="F47" i="5"/>
  <c r="E47" i="5"/>
  <c r="D47" i="5"/>
  <c r="H46" i="5"/>
  <c r="G46" i="5"/>
  <c r="F46" i="5"/>
  <c r="E46" i="5"/>
  <c r="H45" i="5"/>
  <c r="G45" i="5"/>
  <c r="F45" i="5"/>
  <c r="E45" i="5"/>
  <c r="H44" i="5"/>
  <c r="G44" i="5"/>
  <c r="F44" i="5"/>
  <c r="E44" i="5"/>
  <c r="D44" i="5"/>
  <c r="H43" i="5"/>
  <c r="G43" i="5"/>
  <c r="F43" i="5"/>
  <c r="E43" i="5"/>
  <c r="D43" i="5"/>
  <c r="H42" i="5"/>
  <c r="G42" i="5"/>
  <c r="F42" i="5"/>
  <c r="E42" i="5"/>
  <c r="D42" i="5"/>
  <c r="H41" i="5"/>
  <c r="G41" i="5"/>
  <c r="F41" i="5"/>
  <c r="E41" i="5"/>
  <c r="H40" i="5"/>
  <c r="G40" i="5"/>
  <c r="F40" i="5"/>
  <c r="E40" i="5"/>
  <c r="D40" i="5"/>
  <c r="H39" i="5"/>
  <c r="G39" i="5"/>
  <c r="F39" i="5"/>
  <c r="E39" i="5"/>
  <c r="D39" i="5"/>
  <c r="H38" i="5"/>
  <c r="G38" i="5"/>
  <c r="F38" i="5"/>
  <c r="E38" i="5"/>
  <c r="D38" i="5"/>
  <c r="H37" i="5"/>
  <c r="G37" i="5"/>
  <c r="F37" i="5"/>
  <c r="E37" i="5"/>
  <c r="D37" i="5"/>
  <c r="H36" i="5"/>
  <c r="G36" i="5"/>
  <c r="F36" i="5"/>
  <c r="E36" i="5"/>
  <c r="D36" i="5"/>
  <c r="H35" i="5"/>
  <c r="G35" i="5"/>
  <c r="F35" i="5"/>
  <c r="E35" i="5"/>
  <c r="H34" i="5"/>
  <c r="G34" i="5"/>
  <c r="F34" i="5"/>
  <c r="E34" i="5"/>
  <c r="D34" i="5"/>
  <c r="H33" i="5"/>
  <c r="G33" i="5"/>
  <c r="F33" i="5"/>
  <c r="E33" i="5"/>
  <c r="H32" i="5"/>
  <c r="G32" i="5"/>
  <c r="F32" i="5"/>
  <c r="E32" i="5"/>
  <c r="D32" i="5"/>
  <c r="H31" i="5"/>
  <c r="G31" i="5"/>
  <c r="F31" i="5"/>
  <c r="E31" i="5"/>
  <c r="H30" i="5"/>
  <c r="G30" i="5"/>
  <c r="F30" i="5"/>
  <c r="E30" i="5"/>
  <c r="H29" i="5"/>
  <c r="G29" i="5"/>
  <c r="F29" i="5"/>
  <c r="E29" i="5"/>
  <c r="D29" i="5"/>
  <c r="H28" i="5"/>
  <c r="G28" i="5"/>
  <c r="F28" i="5"/>
  <c r="E28" i="5"/>
  <c r="H27" i="5"/>
  <c r="G27" i="5"/>
  <c r="F27" i="5"/>
  <c r="E27" i="5"/>
  <c r="D27" i="5"/>
  <c r="H26" i="5"/>
  <c r="G26" i="5"/>
  <c r="F26" i="5"/>
  <c r="E26" i="5"/>
  <c r="D26" i="5"/>
  <c r="H25" i="5"/>
  <c r="G25" i="5"/>
  <c r="F25" i="5"/>
  <c r="E25" i="5"/>
  <c r="D25" i="5"/>
  <c r="H24" i="5"/>
  <c r="G24" i="5"/>
  <c r="F24" i="5"/>
  <c r="E24" i="5"/>
  <c r="D24" i="5"/>
  <c r="H23" i="5"/>
  <c r="G23" i="5"/>
  <c r="F23" i="5"/>
  <c r="E23" i="5"/>
  <c r="D23" i="5"/>
  <c r="H22" i="5"/>
  <c r="G22" i="5"/>
  <c r="F22" i="5"/>
  <c r="E22" i="5"/>
  <c r="D22" i="5"/>
  <c r="H21" i="5"/>
  <c r="G21" i="5"/>
  <c r="F21" i="5"/>
  <c r="E21" i="5"/>
  <c r="D21" i="5"/>
  <c r="H20" i="5"/>
  <c r="G20" i="5"/>
  <c r="F20" i="5"/>
  <c r="E20" i="5"/>
  <c r="D20" i="5"/>
  <c r="H19" i="5"/>
  <c r="G19" i="5"/>
  <c r="F19" i="5"/>
  <c r="E19" i="5"/>
  <c r="D19" i="5"/>
  <c r="H18" i="5"/>
  <c r="G18" i="5"/>
  <c r="F18" i="5"/>
  <c r="E18" i="5"/>
  <c r="D18" i="5"/>
  <c r="H17" i="5"/>
  <c r="G17" i="5"/>
  <c r="F17" i="5"/>
  <c r="E17" i="5"/>
  <c r="H16" i="5"/>
  <c r="G16" i="5"/>
  <c r="F16" i="5"/>
  <c r="E16" i="5"/>
  <c r="D16" i="5"/>
  <c r="H15" i="5"/>
  <c r="G15" i="5"/>
  <c r="F15" i="5"/>
  <c r="E15" i="5"/>
  <c r="D15" i="5"/>
  <c r="H14" i="5"/>
  <c r="G14" i="5"/>
  <c r="F14" i="5"/>
  <c r="E14" i="5"/>
  <c r="D14" i="5"/>
  <c r="H13" i="5"/>
  <c r="G13" i="5"/>
  <c r="F13" i="5"/>
  <c r="E13" i="5"/>
  <c r="D13" i="5"/>
  <c r="H12" i="5"/>
  <c r="G12" i="5"/>
  <c r="F12" i="5"/>
  <c r="E12" i="5"/>
  <c r="D12" i="5"/>
  <c r="H11" i="5"/>
  <c r="G11" i="5"/>
  <c r="F11" i="5"/>
  <c r="E11" i="5"/>
  <c r="H10" i="5"/>
  <c r="G10" i="5"/>
  <c r="F10" i="5"/>
  <c r="E10" i="5"/>
  <c r="D10" i="5"/>
  <c r="H9" i="5"/>
  <c r="G9" i="5"/>
  <c r="F9" i="5"/>
  <c r="E9" i="5"/>
  <c r="H8" i="5"/>
  <c r="G8" i="5"/>
  <c r="F8" i="5"/>
  <c r="E8" i="5"/>
  <c r="H7" i="5"/>
  <c r="G7" i="5"/>
  <c r="F7" i="5"/>
  <c r="E7" i="5"/>
  <c r="D7" i="5"/>
  <c r="H6" i="5"/>
  <c r="G6" i="5"/>
  <c r="D6" i="5"/>
  <c r="E39" i="8" l="1"/>
  <c r="D39" i="8"/>
  <c r="E38" i="8"/>
  <c r="D38" i="8"/>
  <c r="E37" i="8"/>
  <c r="D37" i="8"/>
  <c r="E36" i="8"/>
  <c r="D36" i="8"/>
  <c r="E35" i="8"/>
  <c r="E34" i="8"/>
  <c r="D34" i="8"/>
  <c r="E32" i="8"/>
  <c r="D32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3" i="8"/>
  <c r="D23" i="8"/>
  <c r="E22" i="8"/>
  <c r="D22" i="8"/>
  <c r="E21" i="8"/>
  <c r="E20" i="8"/>
  <c r="D20" i="8"/>
  <c r="E19" i="8"/>
  <c r="D19" i="8"/>
  <c r="E18" i="8"/>
  <c r="D18" i="8"/>
  <c r="E17" i="8"/>
  <c r="D17" i="8"/>
  <c r="E16" i="8"/>
  <c r="D16" i="8"/>
  <c r="E14" i="8"/>
  <c r="D14" i="8"/>
  <c r="E13" i="8"/>
  <c r="D13" i="8"/>
  <c r="E12" i="8"/>
  <c r="D12" i="8"/>
  <c r="E11" i="8"/>
  <c r="D11" i="8"/>
  <c r="E10" i="8"/>
  <c r="D10" i="8"/>
  <c r="E9" i="8"/>
  <c r="D9" i="8"/>
  <c r="E8" i="8"/>
  <c r="D8" i="8"/>
  <c r="E7" i="8"/>
  <c r="D7" i="8"/>
  <c r="E39" i="7"/>
  <c r="E38" i="7"/>
  <c r="D38" i="7"/>
  <c r="E37" i="7"/>
  <c r="D37" i="7"/>
  <c r="E36" i="7"/>
  <c r="D36" i="7"/>
  <c r="E35" i="7"/>
  <c r="D35" i="7"/>
  <c r="E34" i="7"/>
  <c r="D34" i="7"/>
  <c r="E32" i="7"/>
  <c r="D32" i="7"/>
  <c r="E31" i="7"/>
  <c r="E30" i="7"/>
  <c r="D30" i="7"/>
  <c r="E29" i="7"/>
  <c r="D29" i="7"/>
  <c r="E28" i="7"/>
  <c r="D28" i="7"/>
  <c r="E27" i="7"/>
  <c r="D27" i="7"/>
  <c r="E26" i="7"/>
  <c r="D26" i="7"/>
  <c r="E25" i="7"/>
  <c r="D25" i="7"/>
  <c r="E23" i="7"/>
  <c r="D23" i="7"/>
  <c r="E22" i="7"/>
  <c r="D22" i="7"/>
  <c r="E21" i="7"/>
  <c r="E20" i="7"/>
  <c r="D20" i="7"/>
  <c r="E19" i="7"/>
  <c r="D19" i="7"/>
  <c r="E18" i="7"/>
  <c r="D18" i="7"/>
  <c r="E17" i="7"/>
  <c r="D17" i="7"/>
  <c r="E16" i="7"/>
  <c r="D16" i="7"/>
  <c r="E14" i="7"/>
  <c r="D14" i="7"/>
  <c r="E13" i="7"/>
  <c r="D13" i="7"/>
  <c r="E12" i="7"/>
  <c r="D12" i="7"/>
  <c r="E11" i="7"/>
  <c r="D11" i="7"/>
  <c r="E10" i="7"/>
  <c r="D10" i="7"/>
  <c r="E9" i="7"/>
  <c r="D9" i="7"/>
  <c r="E8" i="7"/>
  <c r="D8" i="7"/>
  <c r="E7" i="7"/>
  <c r="D7" i="7"/>
  <c r="D15" i="3" l="1"/>
  <c r="D115" i="3"/>
  <c r="D112" i="3"/>
  <c r="D108" i="3"/>
  <c r="D107" i="3"/>
  <c r="D104" i="3"/>
  <c r="D101" i="3"/>
  <c r="D100" i="3"/>
  <c r="D96" i="3"/>
  <c r="D95" i="3"/>
  <c r="D93" i="3"/>
  <c r="D92" i="3"/>
  <c r="D91" i="3"/>
  <c r="D90" i="3"/>
  <c r="D89" i="3"/>
  <c r="D88" i="3"/>
  <c r="D85" i="3"/>
  <c r="D83" i="3"/>
  <c r="D80" i="3"/>
  <c r="D78" i="3"/>
  <c r="D77" i="3"/>
  <c r="D71" i="3"/>
  <c r="D70" i="3"/>
  <c r="D69" i="3"/>
  <c r="D66" i="3"/>
  <c r="D64" i="3"/>
  <c r="D62" i="3"/>
  <c r="D61" i="3"/>
  <c r="D59" i="3"/>
  <c r="D58" i="3"/>
  <c r="D57" i="3"/>
  <c r="D56" i="3"/>
  <c r="D55" i="3"/>
  <c r="D54" i="3"/>
  <c r="D53" i="3"/>
  <c r="D52" i="3"/>
  <c r="D50" i="3"/>
  <c r="D49" i="3"/>
  <c r="D46" i="3"/>
  <c r="D40" i="3"/>
  <c r="D39" i="3"/>
  <c r="D36" i="3"/>
  <c r="D35" i="3"/>
  <c r="D34" i="3"/>
  <c r="D33" i="3"/>
  <c r="D30" i="3"/>
  <c r="D28" i="3"/>
  <c r="D27" i="3"/>
  <c r="D26" i="3"/>
  <c r="D25" i="3"/>
  <c r="D24" i="3"/>
  <c r="D23" i="3"/>
  <c r="D22" i="3"/>
  <c r="D21" i="3"/>
  <c r="D20" i="3"/>
  <c r="D19" i="3"/>
  <c r="D17" i="3"/>
  <c r="D11" i="3"/>
  <c r="D10" i="3"/>
  <c r="D9" i="3"/>
  <c r="D8" i="3"/>
  <c r="D4" i="3"/>
  <c r="G104" i="2"/>
  <c r="F104" i="2"/>
  <c r="E104" i="2"/>
  <c r="D104" i="2"/>
  <c r="C104" i="2"/>
  <c r="G103" i="2"/>
  <c r="F103" i="2"/>
  <c r="E103" i="2"/>
  <c r="D103" i="2"/>
  <c r="G102" i="2"/>
  <c r="F102" i="2"/>
  <c r="E102" i="2"/>
  <c r="D102" i="2"/>
  <c r="C102" i="2"/>
  <c r="G101" i="2"/>
  <c r="F101" i="2"/>
  <c r="E101" i="2"/>
  <c r="D101" i="2"/>
  <c r="C101" i="2"/>
  <c r="G100" i="2"/>
  <c r="F100" i="2"/>
  <c r="E100" i="2"/>
  <c r="D100" i="2"/>
  <c r="C100" i="2"/>
  <c r="G99" i="2"/>
  <c r="F99" i="2"/>
  <c r="E99" i="2"/>
  <c r="D99" i="2"/>
  <c r="C99" i="2"/>
  <c r="G98" i="2"/>
  <c r="F98" i="2"/>
  <c r="E98" i="2"/>
  <c r="D98" i="2"/>
  <c r="C98" i="2"/>
  <c r="G97" i="2"/>
  <c r="F97" i="2"/>
  <c r="E97" i="2"/>
  <c r="D97" i="2"/>
  <c r="G96" i="2"/>
  <c r="F96" i="2"/>
  <c r="E96" i="2"/>
  <c r="D96" i="2"/>
  <c r="C96" i="2"/>
  <c r="G95" i="2"/>
  <c r="F95" i="2"/>
  <c r="E95" i="2"/>
  <c r="D95" i="2"/>
  <c r="G94" i="2"/>
  <c r="F94" i="2"/>
  <c r="E94" i="2"/>
  <c r="D94" i="2"/>
  <c r="C94" i="2"/>
  <c r="G93" i="2"/>
  <c r="F93" i="2"/>
  <c r="E93" i="2"/>
  <c r="D93" i="2"/>
  <c r="G92" i="2"/>
  <c r="F92" i="2"/>
  <c r="E92" i="2"/>
  <c r="D92" i="2"/>
  <c r="G91" i="2"/>
  <c r="F91" i="2"/>
  <c r="E91" i="2"/>
  <c r="D91" i="2"/>
  <c r="C91" i="2"/>
  <c r="G90" i="2"/>
  <c r="F90" i="2"/>
  <c r="E90" i="2"/>
  <c r="D90" i="2"/>
  <c r="G89" i="2"/>
  <c r="F89" i="2"/>
  <c r="E89" i="2"/>
  <c r="D89" i="2"/>
  <c r="C89" i="2"/>
  <c r="G88" i="2"/>
  <c r="F88" i="2"/>
  <c r="E88" i="2"/>
  <c r="D88" i="2"/>
  <c r="C88" i="2"/>
  <c r="G87" i="2"/>
  <c r="F87" i="2"/>
  <c r="E87" i="2"/>
  <c r="D87" i="2"/>
  <c r="C87" i="2"/>
  <c r="G86" i="2"/>
  <c r="F86" i="2"/>
  <c r="E86" i="2"/>
  <c r="D86" i="2"/>
  <c r="C86" i="2"/>
  <c r="G85" i="2"/>
  <c r="F85" i="2"/>
  <c r="E85" i="2"/>
  <c r="D85" i="2"/>
  <c r="C85" i="2"/>
  <c r="G84" i="2"/>
  <c r="F84" i="2"/>
  <c r="E84" i="2"/>
  <c r="D84" i="2"/>
  <c r="C84" i="2"/>
  <c r="G83" i="2"/>
  <c r="F83" i="2"/>
  <c r="E83" i="2"/>
  <c r="D83" i="2"/>
  <c r="G82" i="2"/>
  <c r="F82" i="2"/>
  <c r="E82" i="2"/>
  <c r="D82" i="2"/>
  <c r="G81" i="2"/>
  <c r="F81" i="2"/>
  <c r="E81" i="2"/>
  <c r="D81" i="2"/>
  <c r="G80" i="2"/>
  <c r="F80" i="2"/>
  <c r="E80" i="2"/>
  <c r="D80" i="2"/>
  <c r="C80" i="2"/>
  <c r="G79" i="2"/>
  <c r="F79" i="2"/>
  <c r="E79" i="2"/>
  <c r="D79" i="2"/>
  <c r="G78" i="2"/>
  <c r="F78" i="2"/>
  <c r="E78" i="2"/>
  <c r="D78" i="2"/>
  <c r="C78" i="2"/>
  <c r="G77" i="2"/>
  <c r="F77" i="2"/>
  <c r="E77" i="2"/>
  <c r="D77" i="2"/>
  <c r="C77" i="2"/>
  <c r="G76" i="2"/>
  <c r="F76" i="2"/>
  <c r="E76" i="2"/>
  <c r="D76" i="2"/>
  <c r="C76" i="2"/>
  <c r="G75" i="2"/>
  <c r="F75" i="2"/>
  <c r="E75" i="2"/>
  <c r="D75" i="2"/>
  <c r="C75" i="2"/>
  <c r="G74" i="2"/>
  <c r="F74" i="2"/>
  <c r="E74" i="2"/>
  <c r="D74" i="2"/>
  <c r="C74" i="2"/>
  <c r="G73" i="2"/>
  <c r="F73" i="2"/>
  <c r="E73" i="2"/>
  <c r="D73" i="2"/>
  <c r="G72" i="2"/>
  <c r="F72" i="2"/>
  <c r="E72" i="2"/>
  <c r="D72" i="2"/>
  <c r="C72" i="2"/>
  <c r="G71" i="2"/>
  <c r="F71" i="2"/>
  <c r="E71" i="2"/>
  <c r="D71" i="2"/>
  <c r="G70" i="2"/>
  <c r="F70" i="2"/>
  <c r="E70" i="2"/>
  <c r="D70" i="2"/>
  <c r="G69" i="2"/>
  <c r="F69" i="2"/>
  <c r="E69" i="2"/>
  <c r="D69" i="2"/>
  <c r="C69" i="2"/>
  <c r="G68" i="2"/>
  <c r="F68" i="2"/>
  <c r="E68" i="2"/>
  <c r="D68" i="2"/>
  <c r="C68" i="2"/>
  <c r="G67" i="2"/>
  <c r="F67" i="2"/>
  <c r="E67" i="2"/>
  <c r="D67" i="2"/>
  <c r="C67" i="2"/>
  <c r="G66" i="2"/>
  <c r="F66" i="2"/>
  <c r="E66" i="2"/>
  <c r="D66" i="2"/>
  <c r="G65" i="2"/>
  <c r="F65" i="2"/>
  <c r="E65" i="2"/>
  <c r="D65" i="2"/>
  <c r="C65" i="2"/>
  <c r="G64" i="2"/>
  <c r="F64" i="2"/>
  <c r="E64" i="2"/>
  <c r="D64" i="2"/>
  <c r="C64" i="2"/>
  <c r="G63" i="2"/>
  <c r="F63" i="2"/>
  <c r="E63" i="2"/>
  <c r="D63" i="2"/>
  <c r="C63" i="2"/>
  <c r="G62" i="2"/>
  <c r="F62" i="2"/>
  <c r="E62" i="2"/>
  <c r="D62" i="2"/>
  <c r="C62" i="2"/>
  <c r="G61" i="2"/>
  <c r="F61" i="2"/>
  <c r="E61" i="2"/>
  <c r="D61" i="2"/>
  <c r="C61" i="2"/>
  <c r="G60" i="2"/>
  <c r="F60" i="2"/>
  <c r="E60" i="2"/>
  <c r="D60" i="2"/>
  <c r="G59" i="2"/>
  <c r="F59" i="2"/>
  <c r="E59" i="2"/>
  <c r="D59" i="2"/>
  <c r="C59" i="2"/>
  <c r="G58" i="2"/>
  <c r="F58" i="2"/>
  <c r="E58" i="2"/>
  <c r="D58" i="2"/>
  <c r="C58" i="2"/>
  <c r="G57" i="2"/>
  <c r="F57" i="2"/>
  <c r="E57" i="2"/>
  <c r="D57" i="2"/>
  <c r="C57" i="2"/>
  <c r="G56" i="2"/>
  <c r="F56" i="2"/>
  <c r="E56" i="2"/>
  <c r="D56" i="2"/>
  <c r="C56" i="2"/>
  <c r="G55" i="2"/>
  <c r="F55" i="2"/>
  <c r="E55" i="2"/>
  <c r="D55" i="2"/>
  <c r="C55" i="2"/>
  <c r="G54" i="2"/>
  <c r="F54" i="2"/>
  <c r="E54" i="2"/>
  <c r="D54" i="2"/>
  <c r="C54" i="2"/>
  <c r="G53" i="2"/>
  <c r="F53" i="2"/>
  <c r="E53" i="2"/>
  <c r="D53" i="2"/>
  <c r="C53" i="2"/>
  <c r="G52" i="2"/>
  <c r="F52" i="2"/>
  <c r="E52" i="2"/>
  <c r="D52" i="2"/>
  <c r="G51" i="2"/>
  <c r="F51" i="2"/>
  <c r="E51" i="2"/>
  <c r="D51" i="2"/>
  <c r="C51" i="2"/>
  <c r="G50" i="2"/>
  <c r="F50" i="2"/>
  <c r="E50" i="2"/>
  <c r="D50" i="2"/>
  <c r="C50" i="2"/>
  <c r="G49" i="2"/>
  <c r="F49" i="2"/>
  <c r="E49" i="2"/>
  <c r="D49" i="2"/>
  <c r="G48" i="2"/>
  <c r="F48" i="2"/>
  <c r="E48" i="2"/>
  <c r="D48" i="2"/>
  <c r="C48" i="2"/>
  <c r="G47" i="2"/>
  <c r="F47" i="2"/>
  <c r="E47" i="2"/>
  <c r="D47" i="2"/>
  <c r="C47" i="2"/>
  <c r="G46" i="2"/>
  <c r="F46" i="2"/>
  <c r="E46" i="2"/>
  <c r="D46" i="2"/>
  <c r="C46" i="2"/>
  <c r="G45" i="2"/>
  <c r="F45" i="2"/>
  <c r="E45" i="2"/>
  <c r="D45" i="2"/>
  <c r="C45" i="2"/>
  <c r="G44" i="2"/>
  <c r="F44" i="2"/>
  <c r="E44" i="2"/>
  <c r="D44" i="2"/>
  <c r="C44" i="2"/>
  <c r="G43" i="2"/>
  <c r="F43" i="2"/>
  <c r="E43" i="2"/>
  <c r="D43" i="2"/>
  <c r="C43" i="2"/>
  <c r="G42" i="2"/>
  <c r="F42" i="2"/>
  <c r="E42" i="2"/>
  <c r="D42" i="2"/>
  <c r="C42" i="2"/>
  <c r="G41" i="2"/>
  <c r="F41" i="2"/>
  <c r="E41" i="2"/>
  <c r="D41" i="2"/>
  <c r="C41" i="2"/>
  <c r="G40" i="2"/>
  <c r="F40" i="2"/>
  <c r="E40" i="2"/>
  <c r="D40" i="2"/>
  <c r="G39" i="2"/>
  <c r="F39" i="2"/>
  <c r="E39" i="2"/>
  <c r="D39" i="2"/>
  <c r="C39" i="2"/>
  <c r="G38" i="2"/>
  <c r="F38" i="2"/>
  <c r="E38" i="2"/>
  <c r="D38" i="2"/>
  <c r="G37" i="2"/>
  <c r="F37" i="2"/>
  <c r="E37" i="2"/>
  <c r="D37" i="2"/>
  <c r="C37" i="2"/>
  <c r="G36" i="2"/>
  <c r="F36" i="2"/>
  <c r="E36" i="2"/>
  <c r="D36" i="2"/>
  <c r="G35" i="2"/>
  <c r="F35" i="2"/>
  <c r="E35" i="2"/>
  <c r="D35" i="2"/>
  <c r="C35" i="2"/>
  <c r="G34" i="2"/>
  <c r="F34" i="2"/>
  <c r="E34" i="2"/>
  <c r="D34" i="2"/>
  <c r="C34" i="2"/>
  <c r="G33" i="2"/>
  <c r="F33" i="2"/>
  <c r="E33" i="2"/>
  <c r="D33" i="2"/>
  <c r="C33" i="2"/>
  <c r="G32" i="2"/>
  <c r="F32" i="2"/>
  <c r="E32" i="2"/>
  <c r="D32" i="2"/>
  <c r="C32" i="2"/>
  <c r="G31" i="2"/>
  <c r="F31" i="2"/>
  <c r="E31" i="2"/>
  <c r="D31" i="2"/>
  <c r="G30" i="2"/>
  <c r="F30" i="2"/>
  <c r="E30" i="2"/>
  <c r="D30" i="2"/>
  <c r="C30" i="2"/>
  <c r="G29" i="2"/>
  <c r="F29" i="2"/>
  <c r="E29" i="2"/>
  <c r="D29" i="2"/>
  <c r="C29" i="2"/>
  <c r="G28" i="2"/>
  <c r="F28" i="2"/>
  <c r="E28" i="2"/>
  <c r="D28" i="2"/>
  <c r="C28" i="2"/>
  <c r="G27" i="2"/>
  <c r="F27" i="2"/>
  <c r="E27" i="2"/>
  <c r="D27" i="2"/>
  <c r="C27" i="2"/>
  <c r="G26" i="2"/>
  <c r="F26" i="2"/>
  <c r="E26" i="2"/>
  <c r="D26" i="2"/>
  <c r="C26" i="2"/>
  <c r="G25" i="2"/>
  <c r="F25" i="2"/>
  <c r="E25" i="2"/>
  <c r="D25" i="2"/>
  <c r="C25" i="2"/>
  <c r="G24" i="2"/>
  <c r="F24" i="2"/>
  <c r="E24" i="2"/>
  <c r="D24" i="2"/>
  <c r="C24" i="2"/>
  <c r="G23" i="2"/>
  <c r="F23" i="2"/>
  <c r="E23" i="2"/>
  <c r="D23" i="2"/>
  <c r="C23" i="2"/>
  <c r="G22" i="2"/>
  <c r="F22" i="2"/>
  <c r="E22" i="2"/>
  <c r="D22" i="2"/>
  <c r="C22" i="2"/>
  <c r="G21" i="2"/>
  <c r="F21" i="2"/>
  <c r="E21" i="2"/>
  <c r="D21" i="2"/>
  <c r="C21" i="2"/>
  <c r="G20" i="2"/>
  <c r="F20" i="2"/>
  <c r="E20" i="2"/>
  <c r="D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C16" i="2"/>
  <c r="G15" i="2"/>
  <c r="F15" i="2"/>
  <c r="E15" i="2"/>
  <c r="D15" i="2"/>
  <c r="G14" i="2"/>
  <c r="F14" i="2"/>
  <c r="E14" i="2"/>
  <c r="D14" i="2"/>
  <c r="C14" i="2"/>
  <c r="G13" i="2"/>
  <c r="F13" i="2"/>
  <c r="E13" i="2"/>
  <c r="D13" i="2"/>
  <c r="C13" i="2"/>
  <c r="G12" i="2"/>
  <c r="F12" i="2"/>
  <c r="E12" i="2"/>
  <c r="D12" i="2"/>
  <c r="C12" i="2"/>
  <c r="G11" i="2"/>
  <c r="F11" i="2"/>
  <c r="E11" i="2"/>
  <c r="D11" i="2"/>
  <c r="G10" i="2"/>
  <c r="F10" i="2"/>
  <c r="E10" i="2"/>
  <c r="D10" i="2"/>
  <c r="C10" i="2"/>
  <c r="G9" i="2"/>
  <c r="F9" i="2"/>
  <c r="E9" i="2"/>
  <c r="D9" i="2"/>
  <c r="C9" i="2"/>
  <c r="G8" i="2"/>
  <c r="F8" i="2"/>
  <c r="E8" i="2"/>
  <c r="D8" i="2"/>
  <c r="C8" i="2"/>
  <c r="G7" i="2"/>
  <c r="F7" i="2"/>
  <c r="E7" i="2"/>
  <c r="D7" i="2"/>
  <c r="C7" i="2"/>
  <c r="G5" i="2"/>
  <c r="F5" i="2"/>
  <c r="C5" i="2"/>
  <c r="G94" i="1" l="1"/>
  <c r="F94" i="1"/>
  <c r="E94" i="1"/>
  <c r="D94" i="1"/>
  <c r="G93" i="1"/>
  <c r="F93" i="1"/>
  <c r="E93" i="1"/>
  <c r="D93" i="1"/>
  <c r="G92" i="1"/>
  <c r="F92" i="1"/>
  <c r="E92" i="1"/>
  <c r="D92" i="1"/>
  <c r="C92" i="1"/>
  <c r="G91" i="1"/>
  <c r="F91" i="1"/>
  <c r="E91" i="1"/>
  <c r="D91" i="1"/>
  <c r="G90" i="1"/>
  <c r="F90" i="1"/>
  <c r="E90" i="1"/>
  <c r="D90" i="1"/>
  <c r="C90" i="1"/>
  <c r="G89" i="1"/>
  <c r="F89" i="1"/>
  <c r="E89" i="1"/>
  <c r="D89" i="1"/>
  <c r="G88" i="1"/>
  <c r="F88" i="1"/>
  <c r="E88" i="1"/>
  <c r="D88" i="1"/>
  <c r="C88" i="1"/>
  <c r="G87" i="1"/>
  <c r="F87" i="1"/>
  <c r="E87" i="1"/>
  <c r="D87" i="1"/>
  <c r="G86" i="1"/>
  <c r="F86" i="1"/>
  <c r="E86" i="1"/>
  <c r="D86" i="1"/>
  <c r="G85" i="1"/>
  <c r="F85" i="1"/>
  <c r="E85" i="1"/>
  <c r="D85" i="1"/>
  <c r="C85" i="1"/>
  <c r="G84" i="1"/>
  <c r="F84" i="1"/>
  <c r="E84" i="1"/>
  <c r="D84" i="1"/>
  <c r="C84" i="1"/>
  <c r="G83" i="1"/>
  <c r="F83" i="1"/>
  <c r="E83" i="1"/>
  <c r="D83" i="1"/>
  <c r="C83" i="1"/>
  <c r="G82" i="1"/>
  <c r="F82" i="1"/>
  <c r="E82" i="1"/>
  <c r="D82" i="1"/>
  <c r="C82" i="1"/>
  <c r="G81" i="1"/>
  <c r="F81" i="1"/>
  <c r="E81" i="1"/>
  <c r="D81" i="1"/>
  <c r="G80" i="1"/>
  <c r="F80" i="1"/>
  <c r="E80" i="1"/>
  <c r="D80" i="1"/>
  <c r="G79" i="1"/>
  <c r="F79" i="1"/>
  <c r="E79" i="1"/>
  <c r="D79" i="1"/>
  <c r="C79" i="1"/>
  <c r="G78" i="1"/>
  <c r="F78" i="1"/>
  <c r="E78" i="1"/>
  <c r="D78" i="1"/>
  <c r="G77" i="1"/>
  <c r="F77" i="1"/>
  <c r="E77" i="1"/>
  <c r="D77" i="1"/>
  <c r="G76" i="1"/>
  <c r="F76" i="1"/>
  <c r="E76" i="1"/>
  <c r="D76" i="1"/>
  <c r="G75" i="1"/>
  <c r="F75" i="1"/>
  <c r="E75" i="1"/>
  <c r="D75" i="1"/>
  <c r="C75" i="1"/>
  <c r="G74" i="1"/>
  <c r="F74" i="1"/>
  <c r="E74" i="1"/>
  <c r="D74" i="1"/>
  <c r="C74" i="1"/>
  <c r="G73" i="1"/>
  <c r="F73" i="1"/>
  <c r="E73" i="1"/>
  <c r="D73" i="1"/>
  <c r="C73" i="1"/>
  <c r="G72" i="1"/>
  <c r="F72" i="1"/>
  <c r="E72" i="1"/>
  <c r="D72" i="1"/>
  <c r="G71" i="1"/>
  <c r="F71" i="1"/>
  <c r="E71" i="1"/>
  <c r="D71" i="1"/>
  <c r="G70" i="1"/>
  <c r="F70" i="1"/>
  <c r="E70" i="1"/>
  <c r="D70" i="1"/>
  <c r="G69" i="1"/>
  <c r="F69" i="1"/>
  <c r="E69" i="1"/>
  <c r="D69" i="1"/>
  <c r="G68" i="1"/>
  <c r="F68" i="1"/>
  <c r="E68" i="1"/>
  <c r="D68" i="1"/>
  <c r="G67" i="1"/>
  <c r="F67" i="1"/>
  <c r="E67" i="1"/>
  <c r="D67" i="1"/>
  <c r="C67" i="1"/>
  <c r="G66" i="1"/>
  <c r="F66" i="1"/>
  <c r="E66" i="1"/>
  <c r="D66" i="1"/>
  <c r="C66" i="1"/>
  <c r="G65" i="1"/>
  <c r="F65" i="1"/>
  <c r="E65" i="1"/>
  <c r="D65" i="1"/>
  <c r="C65" i="1"/>
  <c r="G64" i="1"/>
  <c r="F64" i="1"/>
  <c r="E64" i="1"/>
  <c r="D64" i="1"/>
  <c r="C64" i="1"/>
  <c r="G63" i="1"/>
  <c r="F63" i="1"/>
  <c r="E63" i="1"/>
  <c r="D63" i="1"/>
  <c r="C63" i="1"/>
  <c r="G62" i="1"/>
  <c r="F62" i="1"/>
  <c r="E62" i="1"/>
  <c r="D62" i="1"/>
  <c r="G61" i="1"/>
  <c r="F61" i="1"/>
  <c r="E61" i="1"/>
  <c r="D61" i="1"/>
  <c r="C61" i="1"/>
  <c r="G60" i="1"/>
  <c r="F60" i="1"/>
  <c r="E60" i="1"/>
  <c r="D60" i="1"/>
  <c r="C60" i="1"/>
  <c r="G59" i="1"/>
  <c r="F59" i="1"/>
  <c r="E59" i="1"/>
  <c r="D59" i="1"/>
  <c r="G58" i="1"/>
  <c r="F58" i="1"/>
  <c r="E58" i="1"/>
  <c r="D58" i="1"/>
  <c r="G57" i="1"/>
  <c r="F57" i="1"/>
  <c r="E57" i="1"/>
  <c r="D57" i="1"/>
  <c r="G56" i="1"/>
  <c r="F56" i="1"/>
  <c r="E56" i="1"/>
  <c r="D56" i="1"/>
  <c r="G55" i="1"/>
  <c r="F55" i="1"/>
  <c r="E55" i="1"/>
  <c r="D55" i="1"/>
  <c r="C55" i="1"/>
  <c r="G54" i="1"/>
  <c r="F54" i="1"/>
  <c r="E54" i="1"/>
  <c r="D54" i="1"/>
  <c r="C54" i="1"/>
  <c r="G53" i="1"/>
  <c r="F53" i="1"/>
  <c r="E53" i="1"/>
  <c r="D53" i="1"/>
  <c r="C53" i="1"/>
  <c r="G52" i="1"/>
  <c r="F52" i="1"/>
  <c r="E52" i="1"/>
  <c r="D52" i="1"/>
  <c r="C52" i="1"/>
  <c r="G51" i="1"/>
  <c r="F51" i="1"/>
  <c r="E51" i="1"/>
  <c r="D51" i="1"/>
  <c r="C51" i="1"/>
  <c r="G50" i="1"/>
  <c r="F50" i="1"/>
  <c r="E50" i="1"/>
  <c r="D50" i="1"/>
  <c r="G49" i="1"/>
  <c r="F49" i="1"/>
  <c r="E49" i="1"/>
  <c r="D49" i="1"/>
  <c r="C49" i="1"/>
  <c r="G48" i="1"/>
  <c r="F48" i="1"/>
  <c r="E48" i="1"/>
  <c r="D48" i="1"/>
  <c r="G47" i="1"/>
  <c r="F47" i="1"/>
  <c r="E47" i="1"/>
  <c r="D47" i="1"/>
  <c r="C47" i="1"/>
  <c r="G46" i="1"/>
  <c r="F46" i="1"/>
  <c r="E46" i="1"/>
  <c r="D46" i="1"/>
  <c r="C46" i="1"/>
  <c r="G45" i="1"/>
  <c r="F45" i="1"/>
  <c r="E45" i="1"/>
  <c r="D45" i="1"/>
  <c r="G44" i="1"/>
  <c r="F44" i="1"/>
  <c r="E44" i="1"/>
  <c r="D44" i="1"/>
  <c r="C44" i="1"/>
  <c r="G43" i="1"/>
  <c r="F43" i="1"/>
  <c r="E43" i="1"/>
  <c r="D43" i="1"/>
  <c r="G42" i="1"/>
  <c r="F42" i="1"/>
  <c r="E42" i="1"/>
  <c r="D42" i="1"/>
  <c r="C42" i="1"/>
  <c r="G41" i="1"/>
  <c r="F41" i="1"/>
  <c r="E41" i="1"/>
  <c r="D41" i="1"/>
  <c r="C41" i="1"/>
  <c r="G40" i="1"/>
  <c r="F40" i="1"/>
  <c r="E40" i="1"/>
  <c r="D40" i="1"/>
  <c r="G39" i="1"/>
  <c r="F39" i="1"/>
  <c r="E39" i="1"/>
  <c r="D39" i="1"/>
  <c r="G38" i="1"/>
  <c r="F38" i="1"/>
  <c r="E38" i="1"/>
  <c r="D38" i="1"/>
  <c r="G37" i="1"/>
  <c r="F37" i="1"/>
  <c r="E37" i="1"/>
  <c r="D37" i="1"/>
  <c r="C37" i="1"/>
  <c r="G36" i="1"/>
  <c r="F36" i="1"/>
  <c r="E36" i="1"/>
  <c r="D36" i="1"/>
  <c r="G35" i="1"/>
  <c r="F35" i="1"/>
  <c r="E35" i="1"/>
  <c r="D35" i="1"/>
  <c r="G34" i="1"/>
  <c r="F34" i="1"/>
  <c r="E34" i="1"/>
  <c r="D34" i="1"/>
  <c r="C34" i="1"/>
  <c r="G33" i="1"/>
  <c r="F33" i="1"/>
  <c r="E33" i="1"/>
  <c r="D33" i="1"/>
  <c r="C33" i="1"/>
  <c r="G32" i="1"/>
  <c r="F32" i="1"/>
  <c r="E32" i="1"/>
  <c r="D32" i="1"/>
  <c r="C32" i="1"/>
  <c r="G31" i="1"/>
  <c r="F31" i="1"/>
  <c r="E31" i="1"/>
  <c r="D31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G27" i="1"/>
  <c r="F27" i="1"/>
  <c r="E27" i="1"/>
  <c r="D27" i="1"/>
  <c r="C27" i="1"/>
  <c r="G26" i="1"/>
  <c r="F26" i="1"/>
  <c r="E26" i="1"/>
  <c r="D26" i="1"/>
  <c r="G25" i="1"/>
  <c r="F25" i="1"/>
  <c r="E25" i="1"/>
  <c r="D25" i="1"/>
  <c r="C25" i="1"/>
  <c r="G24" i="1"/>
  <c r="F24" i="1"/>
  <c r="E24" i="1"/>
  <c r="D24" i="1"/>
  <c r="C24" i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G20" i="1"/>
  <c r="F20" i="1"/>
  <c r="E20" i="1"/>
  <c r="D20" i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C15" i="1"/>
  <c r="G14" i="1"/>
  <c r="F14" i="1"/>
  <c r="E14" i="1"/>
  <c r="D14" i="1"/>
  <c r="C14" i="1"/>
  <c r="G13" i="1"/>
  <c r="F13" i="1"/>
  <c r="E13" i="1"/>
  <c r="D13" i="1"/>
  <c r="C13" i="1"/>
  <c r="G12" i="1"/>
  <c r="F12" i="1"/>
  <c r="E12" i="1"/>
  <c r="D12" i="1"/>
  <c r="C12" i="1"/>
  <c r="G11" i="1"/>
  <c r="F11" i="1"/>
  <c r="E11" i="1"/>
  <c r="D11" i="1"/>
  <c r="C11" i="1"/>
  <c r="G10" i="1"/>
  <c r="F10" i="1"/>
  <c r="E10" i="1"/>
  <c r="D10" i="1"/>
  <c r="C10" i="1"/>
  <c r="G9" i="1"/>
  <c r="F9" i="1"/>
  <c r="E9" i="1"/>
  <c r="D9" i="1"/>
  <c r="C9" i="1"/>
  <c r="G8" i="1"/>
  <c r="F8" i="1"/>
  <c r="E8" i="1"/>
  <c r="D8" i="1"/>
  <c r="C8" i="1"/>
  <c r="G7" i="1"/>
  <c r="F7" i="1"/>
  <c r="E7" i="1"/>
  <c r="D7" i="1"/>
  <c r="C7" i="1"/>
  <c r="G5" i="1"/>
  <c r="F5" i="1"/>
  <c r="C5" i="1"/>
</calcChain>
</file>

<file path=xl/sharedStrings.xml><?xml version="1.0" encoding="utf-8"?>
<sst xmlns="http://schemas.openxmlformats.org/spreadsheetml/2006/main" count="1084" uniqueCount="391">
  <si>
    <t>Structura, %</t>
  </si>
  <si>
    <t>Gradul de influenţă a ţărilor, grupelor de ţări  la creşterea (+),  scăderea (-) exporturilor, %</t>
  </si>
  <si>
    <t>România</t>
  </si>
  <si>
    <t>Italia</t>
  </si>
  <si>
    <t>Germania</t>
  </si>
  <si>
    <t>Polonia</t>
  </si>
  <si>
    <t>Bulgaria</t>
  </si>
  <si>
    <t>Austria</t>
  </si>
  <si>
    <t>Grecia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</si>
  <si>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</si>
  <si>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</si>
  <si>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</si>
  <si>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</si>
  <si>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</si>
  <si>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</si>
  <si>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</si>
  <si>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</si>
  <si>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</si>
  <si>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de 2,0 ori</t>
  </si>
  <si>
    <t>¹ În preţuri curente</t>
  </si>
  <si>
    <t>x</t>
  </si>
  <si>
    <t>Animale vii</t>
  </si>
  <si>
    <t>Materiale brute necomestibile, exclusiv combustibili</t>
  </si>
  <si>
    <t>Produse chimice organice</t>
  </si>
  <si>
    <t>Produse chimice anorganice</t>
  </si>
  <si>
    <t>Materiale plastice sub forme primare</t>
  </si>
  <si>
    <t>Materiale plastice prelucrate</t>
  </si>
  <si>
    <t>Cauciuc prelucrat</t>
  </si>
  <si>
    <t>Articole din minerale nemetalice</t>
  </si>
  <si>
    <t>Metale neferoase</t>
  </si>
  <si>
    <t>Articole prelucrate din metal</t>
  </si>
  <si>
    <t>Alte echipamente de transport</t>
  </si>
  <si>
    <t>Articole manufacturate diverse</t>
  </si>
  <si>
    <t>Alte articole diverse</t>
  </si>
  <si>
    <t>Coreea de Sud</t>
  </si>
  <si>
    <t>Arabia Saudită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</si>
  <si>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</si>
  <si>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</si>
  <si>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</si>
  <si>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</si>
  <si>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</si>
  <si>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</si>
  <si>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</si>
  <si>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</si>
  <si>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</si>
  <si>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</si>
  <si>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</si>
  <si>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</si>
  <si>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</si>
  <si>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</si>
  <si>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</si>
  <si>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</si>
  <si>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</si>
  <si>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</si>
  <si>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</si>
  <si>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</si>
  <si>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</si>
  <si>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</si>
  <si>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</si>
  <si>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</si>
  <si>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</si>
  <si>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</si>
  <si>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</si>
  <si>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Indonezia</t>
  </si>
  <si>
    <t>Serbia</t>
  </si>
  <si>
    <t>Iordania</t>
  </si>
  <si>
    <t>Canada</t>
  </si>
  <si>
    <t>India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</si>
  <si>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</si>
  <si>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</si>
  <si>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</si>
  <si>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</si>
  <si>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</si>
  <si>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</si>
  <si>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</si>
  <si>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</si>
  <si>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</si>
  <si>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</si>
  <si>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</si>
  <si>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</si>
  <si>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</si>
  <si>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</si>
  <si>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</si>
  <si>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</si>
  <si>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</si>
  <si>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</si>
  <si>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</si>
  <si>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Tunisia</t>
  </si>
  <si>
    <t>Columbia</t>
  </si>
  <si>
    <t>Australia</t>
  </si>
  <si>
    <t>Noua Zeelandă</t>
  </si>
  <si>
    <t>de 2,1 ori</t>
  </si>
  <si>
    <t>Mongolia</t>
  </si>
  <si>
    <t>Peru</t>
  </si>
  <si>
    <t>Kenya</t>
  </si>
  <si>
    <t>mii dolari        SUA</t>
  </si>
  <si>
    <t>EXPORT - total</t>
  </si>
  <si>
    <t>Oman</t>
  </si>
  <si>
    <t>Albania</t>
  </si>
  <si>
    <t>de 1,7 ori</t>
  </si>
  <si>
    <t>de 1,6 ori</t>
  </si>
  <si>
    <t>de 1,9 ori</t>
  </si>
  <si>
    <t>Gradul de influenţă a grupelor de mărfuri  la creşterea (+),  scăderea (-) exporturilor, %</t>
  </si>
  <si>
    <t>Qatar</t>
  </si>
  <si>
    <t>Ponderea, %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</si>
  <si>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</si>
  <si>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</si>
  <si>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</si>
  <si>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</si>
  <si>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</si>
  <si>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</si>
  <si>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</si>
  <si>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</si>
  <si>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</si>
  <si>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mii dolari             SUA</t>
  </si>
  <si>
    <t>Siria</t>
  </si>
  <si>
    <t>IMPORT - total</t>
  </si>
  <si>
    <t>Etiopia</t>
  </si>
  <si>
    <t>Bahrain</t>
  </si>
  <si>
    <t xml:space="preserve">   din care:</t>
  </si>
  <si>
    <t xml:space="preserve">IMPORT - total      </t>
  </si>
  <si>
    <t>Macedonia de Nord</t>
  </si>
  <si>
    <t>Cote D'Ivoire</t>
  </si>
  <si>
    <t xml:space="preserve">     din care:</t>
  </si>
  <si>
    <t>Zimbabwe</t>
  </si>
  <si>
    <t>Camerun</t>
  </si>
  <si>
    <t xml:space="preserve">EXPORT - total      </t>
  </si>
  <si>
    <r>
      <rPr>
        <b/>
        <sz val="12"/>
        <color indexed="8"/>
        <rFont val="Times New Roman"/>
        <family val="1"/>
        <charset val="204"/>
      </rPr>
      <t>Anexa 6.</t>
    </r>
    <r>
      <rPr>
        <b/>
        <i/>
        <sz val="12"/>
        <color indexed="8"/>
        <rFont val="Times New Roman"/>
        <family val="1"/>
        <charset val="204"/>
      </rPr>
      <t xml:space="preserve">  Exporturile structurate pe grupe de mărfuri, </t>
    </r>
  </si>
  <si>
    <r>
      <rPr>
        <b/>
        <sz val="12"/>
        <color indexed="8"/>
        <rFont val="Times New Roman"/>
        <family val="1"/>
        <charset val="204"/>
      </rPr>
      <t>Anexa 7.</t>
    </r>
    <r>
      <rPr>
        <b/>
        <i/>
        <sz val="12"/>
        <color indexed="8"/>
        <rFont val="Times New Roman"/>
        <family val="1"/>
        <charset val="204"/>
      </rPr>
      <t xml:space="preserve">  Importurile structurate pe grupe de mărfuri, </t>
    </r>
  </si>
  <si>
    <r>
      <rPr>
        <b/>
        <sz val="12"/>
        <color indexed="8"/>
        <rFont val="Times New Roman"/>
        <family val="1"/>
        <charset val="204"/>
      </rPr>
      <t xml:space="preserve">Anexa 8.  </t>
    </r>
    <r>
      <rPr>
        <b/>
        <i/>
        <sz val="12"/>
        <color indexed="8"/>
        <rFont val="Times New Roman"/>
        <family val="1"/>
        <charset val="204"/>
      </rPr>
      <t xml:space="preserve">Balanţa comercială structurată pe grupe de mărfuri, </t>
    </r>
  </si>
  <si>
    <t>Mali</t>
  </si>
  <si>
    <t>Ţările Uniunii Europene (UE-27) - total</t>
  </si>
  <si>
    <t>Celelalte țări ale lumii - total</t>
  </si>
  <si>
    <t>Ţările CSI - total</t>
  </si>
  <si>
    <t>Celelalte ţări ale lumii - total</t>
  </si>
  <si>
    <t>Liberia</t>
  </si>
  <si>
    <t>Cambodgia</t>
  </si>
  <si>
    <t>Ghana</t>
  </si>
  <si>
    <t>Zahăr, preparate pe bază de zahăr; miere</t>
  </si>
  <si>
    <t>Hrană destinată animalelor (exclusiv cereale nemăcinate)</t>
  </si>
  <si>
    <t>Pastă de hârtie şi deşeuri de hârtie</t>
  </si>
  <si>
    <t>Fibre textile (cu excepţia lânii în fuior şi a lânii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</si>
  <si>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</si>
  <si>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</si>
  <si>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</si>
  <si>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</si>
  <si>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Petrol, produse petroliere şi produse înrudite</t>
  </si>
  <si>
    <t>Uleiuri, grăsimi şi ceruri de origine animală sau vegetală</t>
  </si>
  <si>
    <t>Grăsimi şi uleiuri vegetale fixate, brute, rafinate sau fracţionate</t>
  </si>
  <si>
    <t>Produse chimice şi produse derivate nespecificate în altă parte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</si>
  <si>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</si>
  <si>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</si>
  <si>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</si>
  <si>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</si>
  <si>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Alte materiale şi produse chimice</t>
  </si>
  <si>
    <t>Piele, altă piele şi blană prelucrate</t>
  </si>
  <si>
    <t>Articole din lemn (exclusiv mobilă)</t>
  </si>
  <si>
    <t>Hârtie, carton şi articole din pastă de celuloză, din hârtie sau din carton</t>
  </si>
  <si>
    <t>Fire, tesături, articole textile necuprinse în altă parte şi produse conexe</t>
  </si>
  <si>
    <t>Fier şi oţel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</si>
  <si>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</si>
  <si>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</si>
  <si>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</si>
  <si>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</si>
  <si>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</si>
  <si>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</si>
  <si>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</si>
  <si>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</si>
  <si>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</si>
  <si>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Mobilă şi părţile ei</t>
  </si>
  <si>
    <t>Articole de voiaj; sacoşe şi similare</t>
  </si>
  <si>
    <t>Îmbrăcăminte şi accesorii</t>
  </si>
  <si>
    <t>Încălţăminte</t>
  </si>
  <si>
    <t>Aparate fotografice, echipamente şi furnituri de optică; ceasuri şi orologii</t>
  </si>
  <si>
    <t>Bunuri neclasificate în altă secţiune din CSCI</t>
  </si>
  <si>
    <t>Produse alimentare şi 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</si>
  <si>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</si>
  <si>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</si>
  <si>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</si>
  <si>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</si>
  <si>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</si>
  <si>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Cafea, ceai, cacao, condimente şi înlocuitori ai acestora</t>
  </si>
  <si>
    <t>Produse şi preparate alimentare diverse</t>
  </si>
  <si>
    <t>Băuturi şi tutun</t>
  </si>
  <si>
    <t>Băuturi (alcoolice şi nealcoolice)</t>
  </si>
  <si>
    <t>Tutun brut şi prelucrat</t>
  </si>
  <si>
    <t>Seminţe şi fructe oleaginoase</t>
  </si>
  <si>
    <t>Cauciuc brut (inclusiv cauciuc sintetic şi regenerat)</t>
  </si>
  <si>
    <t>Lemn şi plută</t>
  </si>
  <si>
    <t>Cărbune, cocs şi brichete</t>
  </si>
  <si>
    <t>Gaz şi produse industriale obţinute din gaz</t>
  </si>
  <si>
    <t>Alte uleiuri şi grăsimi animale sau vegetale prelucrate; ceară de origine animală sau vegetală, amestecuri sau preparate necomestibile din uleiuri animale sau vegetale</t>
  </si>
  <si>
    <t>Piei crude, piei tăbăcite şi blănuri brute</t>
  </si>
  <si>
    <t>Uleiuri şi grăsimi de origine animală</t>
  </si>
  <si>
    <t>Construcţii prefabricate; alte instalaţii şi accesorii pentru instalaţii sanitare, de încalzit şi de iluminat</t>
  </si>
  <si>
    <t>de 2,2 ori</t>
  </si>
  <si>
    <t>de 1,8 ori</t>
  </si>
  <si>
    <t>Țările CSI - total</t>
  </si>
  <si>
    <t>Țările Uniunii Europene (UE-27)</t>
  </si>
  <si>
    <t xml:space="preserve">Țările CSI </t>
  </si>
  <si>
    <t xml:space="preserve">Celelalte țări ale lumii </t>
  </si>
  <si>
    <t>Afganistan</t>
  </si>
  <si>
    <t>Tanzania</t>
  </si>
  <si>
    <t>Cod           CSCI</t>
  </si>
  <si>
    <t>0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</si>
  <si>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</si>
  <si>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</si>
  <si>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</si>
  <si>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</si>
  <si>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</si>
  <si>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</si>
  <si>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</si>
  <si>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</si>
  <si>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</si>
  <si>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</si>
  <si>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</si>
  <si>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11</t>
  </si>
  <si>
    <t>12</t>
  </si>
  <si>
    <t>2</t>
  </si>
  <si>
    <t>21</t>
  </si>
  <si>
    <t>22</t>
  </si>
  <si>
    <t>24</t>
  </si>
  <si>
    <t>25</t>
  </si>
  <si>
    <t>26</t>
  </si>
  <si>
    <t>27</t>
  </si>
  <si>
    <t>28</t>
  </si>
  <si>
    <t>29</t>
  </si>
  <si>
    <t>3</t>
  </si>
  <si>
    <t>32</t>
  </si>
  <si>
    <t>33</t>
  </si>
  <si>
    <t>4</t>
  </si>
  <si>
    <t>41</t>
  </si>
  <si>
    <t>42</t>
  </si>
  <si>
    <t>43</t>
  </si>
  <si>
    <t>5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</si>
  <si>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</si>
  <si>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</si>
  <si>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</si>
  <si>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</si>
  <si>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</si>
  <si>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</si>
  <si>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</si>
  <si>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</si>
  <si>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</si>
  <si>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</si>
  <si>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</si>
  <si>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</si>
  <si>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</si>
  <si>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</si>
  <si>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</si>
  <si>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</si>
  <si>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</si>
  <si>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</si>
  <si>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</si>
  <si>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</si>
  <si>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</si>
  <si>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</si>
  <si>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</si>
  <si>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</si>
  <si>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</si>
  <si>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</si>
  <si>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</si>
  <si>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</si>
  <si>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</si>
  <si>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</t>
  </si>
  <si>
    <t>81</t>
  </si>
  <si>
    <t>82</t>
  </si>
  <si>
    <t>83</t>
  </si>
  <si>
    <t>84</t>
  </si>
  <si>
    <t>85</t>
  </si>
  <si>
    <t>87</t>
  </si>
  <si>
    <t>88</t>
  </si>
  <si>
    <t>89</t>
  </si>
  <si>
    <t>23</t>
  </si>
  <si>
    <t>34</t>
  </si>
  <si>
    <t>9</t>
  </si>
  <si>
    <t>Cod CSCI</t>
  </si>
  <si>
    <t>conform Clasificării Standard de Comerţ Internaţional (CSCI)</t>
  </si>
  <si>
    <t xml:space="preserve">  ¹ În preţuri curente</t>
  </si>
  <si>
    <t>35</t>
  </si>
  <si>
    <t>Energie electrica</t>
  </si>
  <si>
    <t>Energie electrică</t>
  </si>
  <si>
    <t>BALANŢA COMERCIALĂ - total, mii dolari SUA</t>
  </si>
  <si>
    <r>
      <rPr>
        <b/>
        <sz val="12"/>
        <rFont val="Times New Roman"/>
        <family val="1"/>
        <charset val="204"/>
      </rPr>
      <t>Anexa 5.</t>
    </r>
    <r>
      <rPr>
        <b/>
        <i/>
        <sz val="12"/>
        <rFont val="Times New Roman"/>
        <family val="1"/>
        <charset val="204"/>
      </rPr>
      <t xml:space="preserve">  Importurile structurate după modul de transport al mărfurilor </t>
    </r>
  </si>
  <si>
    <r>
      <rPr>
        <b/>
        <sz val="12"/>
        <rFont val="Times New Roman"/>
        <family val="1"/>
        <charset val="204"/>
      </rPr>
      <t xml:space="preserve">Anexa 4.  </t>
    </r>
    <r>
      <rPr>
        <b/>
        <i/>
        <sz val="12"/>
        <rFont val="Times New Roman"/>
        <family val="1"/>
        <charset val="204"/>
      </rPr>
      <t xml:space="preserve">Exporturile structurate după modul de transport al mărfurilor </t>
    </r>
  </si>
  <si>
    <t>Celelalte țări ale lumii</t>
  </si>
  <si>
    <t>Malawi</t>
  </si>
  <si>
    <r>
      <rPr>
        <b/>
        <sz val="12"/>
        <rFont val="Times New Roman"/>
        <family val="1"/>
        <charset val="204"/>
      </rPr>
      <t xml:space="preserve">Anexa 1.  </t>
    </r>
    <r>
      <rPr>
        <b/>
        <i/>
        <sz val="12"/>
        <rFont val="Times New Roman"/>
        <family val="1"/>
        <charset val="204"/>
      </rPr>
      <t>Exporturile structurate pe principalele ţări de destinaţie a mărfurilor şi pe grupe de ţări</t>
    </r>
  </si>
  <si>
    <r>
      <rPr>
        <b/>
        <sz val="12"/>
        <color indexed="8"/>
        <rFont val="Times New Roman"/>
        <family val="1"/>
        <charset val="204"/>
      </rPr>
      <t xml:space="preserve">Anexa 2.  </t>
    </r>
    <r>
      <rPr>
        <b/>
        <i/>
        <sz val="12"/>
        <color indexed="8"/>
        <rFont val="Times New Roman"/>
        <family val="1"/>
        <charset val="204"/>
      </rPr>
      <t>Importurile structurate pe principalele ţări de origine a mărfurilor şi pe grupe de ţări</t>
    </r>
  </si>
  <si>
    <r>
      <rPr>
        <b/>
        <sz val="12"/>
        <color indexed="8"/>
        <rFont val="Times New Roman"/>
        <family val="1"/>
        <charset val="204"/>
      </rPr>
      <t xml:space="preserve">Anexa 3.  </t>
    </r>
    <r>
      <rPr>
        <b/>
        <i/>
        <sz val="12"/>
        <color indexed="8"/>
        <rFont val="Times New Roman"/>
        <family val="1"/>
        <charset val="204"/>
      </rPr>
      <t>Balanţa comercială structurată pe principalele ţări şi pe grupe de ţări</t>
    </r>
  </si>
  <si>
    <t>Franța</t>
  </si>
  <si>
    <t>Croația</t>
  </si>
  <si>
    <t>Federația Rusă</t>
  </si>
  <si>
    <t>Elveția</t>
  </si>
  <si>
    <t>Regatul Unit al Marii Britanii și Irlandei de Nord</t>
  </si>
  <si>
    <t>Bosnia și Herțegovina</t>
  </si>
  <si>
    <t>de 2,8 ori</t>
  </si>
  <si>
    <t>Șri Lanka</t>
  </si>
  <si>
    <t>Cehia</t>
  </si>
  <si>
    <t>Kârgâzstan</t>
  </si>
  <si>
    <t>Taiwan, provincie a Chinei</t>
  </si>
  <si>
    <t>Insulele Feroe</t>
  </si>
  <si>
    <t>Burkina Faso</t>
  </si>
  <si>
    <t>de 3,1 ori</t>
  </si>
  <si>
    <t>Regatul Țărilor de Jos (Netherlands)</t>
  </si>
  <si>
    <t>Țările Uniunii Europene - total</t>
  </si>
  <si>
    <t>Gaz și produse industriale obținute din gaz</t>
  </si>
  <si>
    <t>Mărfuri manufacturate, clasificate mai ales după materia primă</t>
  </si>
  <si>
    <t>de 2,6 ori</t>
  </si>
  <si>
    <t>de 2,7 ori</t>
  </si>
  <si>
    <t>de 2,5 ori</t>
  </si>
  <si>
    <t>de 3,0 ori</t>
  </si>
  <si>
    <t>de 4,0 ori</t>
  </si>
  <si>
    <t>de 2,3 ori</t>
  </si>
  <si>
    <t>de 3,2 ori</t>
  </si>
  <si>
    <t>de 2,9 ori</t>
  </si>
  <si>
    <t>Republica Dominicană</t>
  </si>
  <si>
    <t>Kosovo</t>
  </si>
  <si>
    <t>Expedieri postale</t>
  </si>
  <si>
    <t>Instalatii fixe de transport</t>
  </si>
  <si>
    <t>de 3,4 ori</t>
  </si>
  <si>
    <t>de 9,2 ori</t>
  </si>
  <si>
    <t>Tuvalu</t>
  </si>
  <si>
    <t>-</t>
  </si>
  <si>
    <t>Instrumente şi aparate profesionale, ştiinţifice şi de control</t>
  </si>
  <si>
    <t>Ciad</t>
  </si>
  <si>
    <t>de 3,7 ori</t>
  </si>
  <si>
    <t>de 5,3 ori</t>
  </si>
  <si>
    <t>de 4,2 ori</t>
  </si>
  <si>
    <t>de 76,3 ori</t>
  </si>
  <si>
    <t>de 3,6 ori</t>
  </si>
  <si>
    <r>
      <t xml:space="preserve">  </t>
    </r>
    <r>
      <rPr>
        <b/>
        <vertAlign val="superscript"/>
        <sz val="8"/>
        <rFont val="Times New Roman"/>
        <family val="1"/>
        <charset val="204"/>
      </rPr>
      <t>2</t>
    </r>
    <r>
      <rPr>
        <b/>
        <sz val="8"/>
        <rFont val="Times New Roman"/>
        <family val="1"/>
        <charset val="204"/>
      </rPr>
      <t xml:space="preserve"> Faţă de anul precedent</t>
    </r>
  </si>
  <si>
    <t xml:space="preserve">      din care:</t>
  </si>
  <si>
    <t xml:space="preserve">       din care:</t>
  </si>
  <si>
    <t>ianuarie-februarie 2023</t>
  </si>
  <si>
    <t>ianuarie-februarie 2022</t>
  </si>
  <si>
    <t>în % faţă de  ianuarie-februarie 2022 ¹</t>
  </si>
  <si>
    <r>
      <t xml:space="preserve">ianuarie-februarie 2022 </t>
    </r>
    <r>
      <rPr>
        <b/>
        <vertAlign val="superscript"/>
        <sz val="10"/>
        <rFont val="Times New Roman"/>
        <family val="1"/>
        <charset val="204"/>
      </rPr>
      <t>1,2</t>
    </r>
  </si>
  <si>
    <r>
      <t xml:space="preserve">ianuarie-februarie 2023 </t>
    </r>
    <r>
      <rPr>
        <b/>
        <vertAlign val="superscript"/>
        <sz val="10"/>
        <rFont val="Times New Roman"/>
        <family val="1"/>
        <charset val="204"/>
      </rPr>
      <t>1,2</t>
    </r>
  </si>
  <si>
    <t xml:space="preserve"> Ianuarie-februarie 2023</t>
  </si>
  <si>
    <t>Ianuarie-februarie 2022</t>
  </si>
  <si>
    <t>Ianuarie-februarie 2023</t>
  </si>
  <si>
    <t>Ianuarie-februarie 2023
în % faţă de ianuarie-februarie 
2022 ¹</t>
  </si>
  <si>
    <t>în % faţă de 
ianuarie-februarie 2022 ¹</t>
  </si>
  <si>
    <t>Ianuarie-februarie 2023
în % faţă de ianuarie-februarie
2022 ¹</t>
  </si>
  <si>
    <t>Uganda</t>
  </si>
  <si>
    <t>Nepal</t>
  </si>
  <si>
    <t>de 7,1 ori</t>
  </si>
  <si>
    <t>de 8,0 ori</t>
  </si>
  <si>
    <t>de 6,9 ori</t>
  </si>
  <si>
    <t>de 4,8 ori</t>
  </si>
  <si>
    <t>de 12,3 ori</t>
  </si>
  <si>
    <t>de 9,3 ori</t>
  </si>
  <si>
    <t>de 23,9 ori</t>
  </si>
  <si>
    <t>de 2345,2 ori</t>
  </si>
  <si>
    <t>de 401,4 ori</t>
  </si>
  <si>
    <t>de 8,9 ori</t>
  </si>
  <si>
    <t>BALANŢA COMERCIALĂ – total, mii dolari SUA</t>
  </si>
  <si>
    <t>de 8,4 ori</t>
  </si>
  <si>
    <t>de 10,4 ori</t>
  </si>
  <si>
    <t>de 14,1 ori</t>
  </si>
  <si>
    <t>de 5,8 ori</t>
  </si>
  <si>
    <t>de 72,8 ori</t>
  </si>
  <si>
    <t>de 70,3 ori</t>
  </si>
  <si>
    <t>de 34,3 ori</t>
  </si>
  <si>
    <t>de 7,7 ori</t>
  </si>
  <si>
    <t>de 3912,2 ori</t>
  </si>
  <si>
    <t>de 67,2 ori</t>
  </si>
  <si>
    <t>de 7,2 ori</t>
  </si>
  <si>
    <t>de 45,0 ori</t>
  </si>
  <si>
    <t>de 12,7 ori</t>
  </si>
  <si>
    <t>de 3772,4 ori</t>
  </si>
  <si>
    <t>de 3,5 ori</t>
  </si>
  <si>
    <t>de 21,5 ori</t>
  </si>
  <si>
    <t>Instrumente şi aparate, profesionale, ştiinţifice şi de control</t>
  </si>
  <si>
    <t>de 3964,2 ori</t>
  </si>
  <si>
    <t>de 73,7 ori</t>
  </si>
  <si>
    <t>de 12,0 ori</t>
  </si>
  <si>
    <t>de 12577,8 ori</t>
  </si>
  <si>
    <t>de 12,6 ori</t>
  </si>
  <si>
    <t>de 7,9 ori</t>
  </si>
  <si>
    <t>de 49,1 ori</t>
  </si>
  <si>
    <t>de 27,6 ori</t>
  </si>
  <si>
    <t>de 10,5 ori</t>
  </si>
  <si>
    <t>de 7,0 ori</t>
  </si>
  <si>
    <t>de 63,6 ori</t>
  </si>
  <si>
    <t>de 54,6 ori</t>
  </si>
  <si>
    <t>de 10486,6 ori</t>
  </si>
  <si>
    <t>de 3,8 ori</t>
  </si>
  <si>
    <t>de 13,9 ori</t>
  </si>
  <si>
    <t>de 52540,7 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</si>
</sst>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7" x14ac:knownFonts="1">
    <font>
      <sz val="12"/>
      <color indexed="8"/>
      <name val="Times New Roman"/>
      <family val="2"/>
      <charset val="238"/>
    </font>
    <font>
      <b/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Times New Roman"/>
      <family val="2"/>
      <charset val="238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color indexed="8"/>
      <name val="Times New Roman"/>
      <family val="2"/>
      <charset val="238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.5"/>
      <name val="Times New Roman"/>
      <family val="1"/>
      <charset val="204"/>
    </font>
    <font>
      <sz val="10.5"/>
      <color indexed="8"/>
      <name val="Times New Roman"/>
      <family val="2"/>
      <charset val="238"/>
    </font>
    <font>
      <sz val="10.5"/>
      <color indexed="8"/>
      <name val="Times New Roman"/>
      <family val="1"/>
      <charset val="204"/>
    </font>
    <font>
      <sz val="10.5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1" fillId="0" borderId="0"/>
    <xf numFmtId="0" fontId="10" fillId="0" borderId="0"/>
    <xf numFmtId="0" fontId="16" fillId="0" borderId="0"/>
    <xf numFmtId="0" fontId="10" fillId="0" borderId="0"/>
  </cellStyleXfs>
  <cellXfs count="99">
    <xf numFmtId="0" fontId="0" fillId="0" borderId="0" xfId="0"/>
    <xf numFmtId="0" fontId="4" fillId="0" borderId="0" xfId="0" applyFont="1"/>
    <xf numFmtId="0" fontId="9" fillId="0" borderId="0" xfId="0" applyFont="1"/>
    <xf numFmtId="0" fontId="5" fillId="0" borderId="0" xfId="0" applyFont="1" applyAlignment="1">
      <alignment vertical="top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/>
    <xf numFmtId="4" fontId="0" fillId="0" borderId="0" xfId="0" applyNumberFormat="1"/>
    <xf numFmtId="4" fontId="8" fillId="0" borderId="0" xfId="0" applyNumberFormat="1" applyFont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38" fontId="8" fillId="0" borderId="0" xfId="0" applyNumberFormat="1" applyFont="1" applyAlignment="1">
      <alignment horizontal="center" vertical="top"/>
    </xf>
    <xf numFmtId="38" fontId="8" fillId="0" borderId="0" xfId="0" applyNumberFormat="1" applyFont="1" applyAlignment="1">
      <alignment horizontal="left" vertical="top" wrapText="1"/>
    </xf>
    <xf numFmtId="38" fontId="7" fillId="0" borderId="0" xfId="0" applyNumberFormat="1" applyFont="1" applyAlignment="1">
      <alignment horizontal="center" vertical="top"/>
    </xf>
    <xf numFmtId="38" fontId="7" fillId="0" borderId="0" xfId="0" applyNumberFormat="1" applyFont="1" applyAlignment="1">
      <alignment horizontal="left" vertical="top" wrapText="1"/>
    </xf>
    <xf numFmtId="4" fontId="7" fillId="0" borderId="0" xfId="0" applyNumberFormat="1" applyFont="1" applyAlignment="1">
      <alignment horizontal="right" vertical="top" indent="1"/>
    </xf>
    <xf numFmtId="4" fontId="24" fillId="0" borderId="0" xfId="0" applyNumberFormat="1" applyFont="1" applyAlignment="1">
      <alignment horizontal="right" vertical="top" wrapText="1" indent="1"/>
    </xf>
    <xf numFmtId="4" fontId="8" fillId="0" borderId="0" xfId="0" applyNumberFormat="1" applyFont="1" applyAlignment="1">
      <alignment horizontal="right" vertical="top" indent="1"/>
    </xf>
    <xf numFmtId="0" fontId="7" fillId="0" borderId="0" xfId="0" applyFont="1" applyAlignment="1">
      <alignment horizontal="left" vertical="top" wrapText="1" indent="1"/>
    </xf>
    <xf numFmtId="4" fontId="7" fillId="0" borderId="3" xfId="0" applyNumberFormat="1" applyFont="1" applyBorder="1" applyAlignment="1">
      <alignment horizontal="right" vertical="top" indent="1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38" fontId="27" fillId="0" borderId="0" xfId="0" applyNumberFormat="1" applyFont="1" applyAlignment="1">
      <alignment horizontal="left" wrapText="1"/>
    </xf>
    <xf numFmtId="164" fontId="7" fillId="0" borderId="0" xfId="0" applyNumberFormat="1" applyFont="1" applyAlignment="1">
      <alignment horizontal="right" vertical="top" indent="1"/>
    </xf>
    <xf numFmtId="4" fontId="29" fillId="0" borderId="0" xfId="0" applyNumberFormat="1" applyFont="1" applyAlignment="1">
      <alignment horizontal="right" vertical="top" indent="1"/>
    </xf>
    <xf numFmtId="0" fontId="30" fillId="0" borderId="0" xfId="0" applyFont="1" applyAlignment="1">
      <alignment horizontal="center" vertical="top"/>
    </xf>
    <xf numFmtId="4" fontId="19" fillId="0" borderId="0" xfId="0" applyNumberFormat="1" applyFont="1" applyAlignment="1">
      <alignment horizontal="right" vertical="top" indent="1"/>
    </xf>
    <xf numFmtId="0" fontId="8" fillId="0" borderId="0" xfId="0" applyFont="1" applyAlignment="1">
      <alignment horizontal="left" vertical="top" wrapText="1" indent="1"/>
    </xf>
    <xf numFmtId="38" fontId="7" fillId="0" borderId="0" xfId="0" applyNumberFormat="1" applyFont="1" applyAlignment="1">
      <alignment horizontal="left" vertical="top" wrapText="1" indent="1"/>
    </xf>
    <xf numFmtId="38" fontId="7" fillId="0" borderId="3" xfId="0" applyNumberFormat="1" applyFont="1" applyBorder="1" applyAlignment="1">
      <alignment horizontal="left" vertical="top" wrapText="1" indent="1"/>
    </xf>
    <xf numFmtId="4" fontId="8" fillId="0" borderId="0" xfId="0" applyNumberFormat="1" applyFont="1" applyAlignment="1">
      <alignment horizontal="right" vertical="top" wrapText="1" indent="1"/>
    </xf>
    <xf numFmtId="4" fontId="20" fillId="0" borderId="0" xfId="0" applyNumberFormat="1" applyFont="1" applyAlignment="1">
      <alignment horizontal="right" vertical="top" wrapText="1" indent="1"/>
    </xf>
    <xf numFmtId="4" fontId="22" fillId="0" borderId="0" xfId="0" applyNumberFormat="1" applyFont="1" applyAlignment="1">
      <alignment horizontal="right" vertical="top" indent="1"/>
    </xf>
    <xf numFmtId="4" fontId="7" fillId="0" borderId="0" xfId="0" applyNumberFormat="1" applyFont="1" applyAlignment="1">
      <alignment horizontal="right" vertical="top" wrapText="1" indent="1"/>
    </xf>
    <xf numFmtId="0" fontId="7" fillId="0" borderId="0" xfId="0" applyFont="1" applyAlignment="1">
      <alignment horizontal="left" vertical="top" wrapText="1"/>
    </xf>
    <xf numFmtId="4" fontId="21" fillId="0" borderId="0" xfId="0" applyNumberFormat="1" applyFont="1" applyAlignment="1">
      <alignment horizontal="right" vertical="top" indent="1"/>
    </xf>
    <xf numFmtId="49" fontId="7" fillId="0" borderId="0" xfId="0" applyNumberFormat="1" applyFont="1" applyAlignment="1">
      <alignment horizontal="center" vertical="top"/>
    </xf>
    <xf numFmtId="0" fontId="7" fillId="0" borderId="3" xfId="0" applyFont="1" applyBorder="1" applyAlignment="1">
      <alignment horizontal="left" vertical="top" wrapText="1" indent="1"/>
    </xf>
    <xf numFmtId="0" fontId="32" fillId="0" borderId="0" xfId="0" applyFont="1"/>
    <xf numFmtId="0" fontId="33" fillId="0" borderId="0" xfId="0" applyFont="1"/>
    <xf numFmtId="4" fontId="19" fillId="0" borderId="0" xfId="0" applyNumberFormat="1" applyFont="1" applyAlignment="1">
      <alignment horizontal="right" vertical="top"/>
    </xf>
    <xf numFmtId="4" fontId="27" fillId="0" borderId="0" xfId="0" applyNumberFormat="1" applyFont="1" applyAlignment="1">
      <alignment horizontal="left"/>
    </xf>
    <xf numFmtId="4" fontId="9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top" indent="1"/>
    </xf>
    <xf numFmtId="0" fontId="34" fillId="0" borderId="5" xfId="0" applyFont="1" applyBorder="1" applyAlignment="1">
      <alignment horizontal="center" vertical="top"/>
    </xf>
    <xf numFmtId="0" fontId="31" fillId="0" borderId="0" xfId="0" applyFont="1" applyAlignment="1">
      <alignment horizontal="left" vertical="top" wrapText="1" indent="1"/>
    </xf>
    <xf numFmtId="0" fontId="31" fillId="0" borderId="5" xfId="0" applyFont="1" applyBorder="1" applyAlignment="1">
      <alignment horizontal="left" vertical="top" wrapText="1" indent="1"/>
    </xf>
    <xf numFmtId="4" fontId="8" fillId="0" borderId="0" xfId="4" applyNumberFormat="1" applyFont="1" applyAlignment="1">
      <alignment horizontal="right" vertical="top" indent="1"/>
    </xf>
    <xf numFmtId="4" fontId="7" fillId="0" borderId="0" xfId="4" applyNumberFormat="1" applyFont="1" applyAlignment="1">
      <alignment horizontal="right" vertical="top" indent="1"/>
    </xf>
    <xf numFmtId="0" fontId="35" fillId="0" borderId="5" xfId="0" applyFont="1" applyBorder="1" applyAlignment="1">
      <alignment horizontal="left" vertical="top" wrapText="1" indent="1"/>
    </xf>
    <xf numFmtId="0" fontId="35" fillId="0" borderId="0" xfId="0" applyFont="1" applyAlignment="1">
      <alignment horizontal="left" vertical="top" wrapText="1" indent="1"/>
    </xf>
    <xf numFmtId="4" fontId="35" fillId="0" borderId="5" xfId="0" applyNumberFormat="1" applyFont="1" applyBorder="1" applyAlignment="1">
      <alignment horizontal="right" vertical="top" indent="1"/>
    </xf>
    <xf numFmtId="4" fontId="35" fillId="0" borderId="0" xfId="0" applyNumberFormat="1" applyFont="1" applyAlignment="1">
      <alignment horizontal="right" vertical="top" indent="1"/>
    </xf>
    <xf numFmtId="4" fontId="35" fillId="0" borderId="5" xfId="0" applyNumberFormat="1" applyFont="1" applyBorder="1" applyAlignment="1">
      <alignment horizontal="right" vertical="top" wrapText="1" indent="1"/>
    </xf>
    <xf numFmtId="0" fontId="35" fillId="0" borderId="5" xfId="0" applyFont="1" applyBorder="1" applyAlignment="1">
      <alignment horizontal="left" vertical="top" wrapText="1"/>
    </xf>
    <xf numFmtId="4" fontId="35" fillId="0" borderId="5" xfId="0" applyNumberFormat="1" applyFont="1" applyBorder="1" applyAlignment="1">
      <alignment horizontal="right" vertical="top"/>
    </xf>
    <xf numFmtId="4" fontId="8" fillId="0" borderId="5" xfId="0" applyNumberFormat="1" applyFont="1" applyBorder="1" applyAlignment="1">
      <alignment horizontal="right" vertical="top" indent="1"/>
    </xf>
    <xf numFmtId="38" fontId="8" fillId="0" borderId="3" xfId="0" applyNumberFormat="1" applyFont="1" applyBorder="1" applyAlignment="1">
      <alignment horizontal="left" vertical="top" wrapText="1"/>
    </xf>
    <xf numFmtId="4" fontId="8" fillId="0" borderId="3" xfId="0" applyNumberFormat="1" applyFont="1" applyBorder="1" applyAlignment="1">
      <alignment horizontal="right" vertical="top"/>
    </xf>
    <xf numFmtId="4" fontId="8" fillId="0" borderId="3" xfId="0" applyNumberFormat="1" applyFont="1" applyBorder="1" applyAlignment="1">
      <alignment horizontal="right" vertical="top" indent="1"/>
    </xf>
    <xf numFmtId="38" fontId="8" fillId="0" borderId="3" xfId="0" applyNumberFormat="1" applyFont="1" applyBorder="1" applyAlignment="1">
      <alignment horizontal="center" vertical="top"/>
    </xf>
    <xf numFmtId="4" fontId="8" fillId="0" borderId="3" xfId="4" applyNumberFormat="1" applyFont="1" applyBorder="1" applyAlignment="1">
      <alignment horizontal="right" vertical="top" indent="1"/>
    </xf>
    <xf numFmtId="4" fontId="33" fillId="0" borderId="0" xfId="0" applyNumberFormat="1" applyFont="1"/>
    <xf numFmtId="4" fontId="7" fillId="0" borderId="3" xfId="0" applyNumberFormat="1" applyFont="1" applyBorder="1" applyAlignment="1">
      <alignment horizontal="right" vertical="top"/>
    </xf>
    <xf numFmtId="4" fontId="29" fillId="0" borderId="0" xfId="0" applyNumberFormat="1" applyFont="1" applyAlignment="1">
      <alignment horizontal="right" vertical="top"/>
    </xf>
    <xf numFmtId="4" fontId="29" fillId="0" borderId="3" xfId="0" applyNumberFormat="1" applyFont="1" applyBorder="1" applyAlignment="1">
      <alignment horizontal="right" vertical="top"/>
    </xf>
    <xf numFmtId="4" fontId="25" fillId="0" borderId="0" xfId="0" applyNumberFormat="1" applyFont="1" applyAlignment="1">
      <alignment horizontal="right" vertical="top" indent="1"/>
    </xf>
    <xf numFmtId="4" fontId="29" fillId="0" borderId="3" xfId="0" applyNumberFormat="1" applyFont="1" applyBorder="1" applyAlignment="1">
      <alignment horizontal="right" vertical="top" indent="1"/>
    </xf>
    <xf numFmtId="4" fontId="8" fillId="0" borderId="5" xfId="0" applyNumberFormat="1" applyFont="1" applyBorder="1" applyAlignment="1">
      <alignment horizontal="right" vertical="top"/>
    </xf>
    <xf numFmtId="0" fontId="36" fillId="0" borderId="5" xfId="0" applyFont="1" applyBorder="1" applyAlignment="1">
      <alignment horizontal="center" vertical="top"/>
    </xf>
    <xf numFmtId="4" fontId="0" fillId="0" borderId="0" xfId="0" applyNumberFormat="1" applyAlignment="1">
      <alignment horizontal="right" vertical="top" indent="1"/>
    </xf>
    <xf numFmtId="0" fontId="27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</cellXfs>
  <cellStyles count="6">
    <cellStyle name="Normal" xfId="0" builtinId="0"/>
    <cellStyle name="Normal 2" xfId="4" xr:uid="{00000000-0005-0000-0000-000000000000}"/>
    <cellStyle name="Normal 3" xfId="3" xr:uid="{00000000-0005-0000-0000-000001000000}"/>
    <cellStyle name="Обычный 2" xfId="1" xr:uid="{00000000-0005-0000-0000-000003000000}"/>
    <cellStyle name="Обычный 3" xfId="2" xr:uid="{00000000-0005-0000-0000-000004000000}"/>
    <cellStyle name="Обычный 3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G96"/>
  <sheetViews>
    <sheetView tabSelected="1" zoomScale="99" zoomScaleNormal="99" workbookViewId="0">
      <selection sqref="A1:G1"/>
    </sheetView>
  </sheetViews>
  <sheetFormatPr defaultRowHeight="15.6" x14ac:dyDescent="0.3"/>
  <cols>
    <col min="1" max="1" width="30.69921875" style="2" customWidth="1"/>
    <col min="2" max="2" width="10.8984375" style="2" customWidth="1"/>
    <col min="3" max="3" width="10.59765625" style="42" customWidth="1"/>
    <col min="4" max="4" width="9" style="2" customWidth="1"/>
    <col min="5" max="5" width="8.69921875" style="2" customWidth="1"/>
    <col min="6" max="6" width="9.8984375" style="2" customWidth="1"/>
    <col min="7" max="7" width="9.59765625" style="2" customWidth="1"/>
    <col min="9" max="9" width="9.59765625" customWidth="1"/>
  </cols>
  <sheetData>
    <row r="1" spans="1:7" ht="16.2" x14ac:dyDescent="0.35">
      <c r="A1" s="78" t="s">
        <v>287</v>
      </c>
      <c r="B1" s="78"/>
      <c r="C1" s="78"/>
      <c r="D1" s="78"/>
      <c r="E1" s="78"/>
      <c r="F1" s="78"/>
      <c r="G1" s="78"/>
    </row>
    <row r="2" spans="1:7" x14ac:dyDescent="0.3">
      <c r="A2" s="87"/>
      <c r="B2" s="87"/>
      <c r="C2" s="87"/>
      <c r="D2" s="87"/>
      <c r="E2" s="87"/>
      <c r="F2" s="87"/>
      <c r="G2" s="87"/>
    </row>
    <row r="3" spans="1:7" ht="54" customHeight="1" x14ac:dyDescent="0.3">
      <c r="A3" s="79"/>
      <c r="B3" s="81" t="s">
        <v>339</v>
      </c>
      <c r="C3" s="82"/>
      <c r="D3" s="83" t="s">
        <v>104</v>
      </c>
      <c r="E3" s="84"/>
      <c r="F3" s="85" t="s">
        <v>1</v>
      </c>
      <c r="G3" s="86"/>
    </row>
    <row r="4" spans="1:7" ht="52.8" x14ac:dyDescent="0.3">
      <c r="A4" s="80"/>
      <c r="B4" s="45" t="s">
        <v>95</v>
      </c>
      <c r="C4" s="44" t="s">
        <v>336</v>
      </c>
      <c r="D4" s="45" t="s">
        <v>335</v>
      </c>
      <c r="E4" s="45" t="s">
        <v>334</v>
      </c>
      <c r="F4" s="45" t="s">
        <v>337</v>
      </c>
      <c r="G4" s="43" t="s">
        <v>338</v>
      </c>
    </row>
    <row r="5" spans="1:7" s="1" customFormat="1" ht="15.75" customHeight="1" x14ac:dyDescent="0.25">
      <c r="A5" s="52" t="s">
        <v>96</v>
      </c>
      <c r="B5" s="61">
        <v>687466.43148999999</v>
      </c>
      <c r="C5" s="61">
        <f>IF(666821.53755="","-",687466.43149/666821.53755*100)</f>
        <v>103.09601486716406</v>
      </c>
      <c r="D5" s="57">
        <v>100</v>
      </c>
      <c r="E5" s="57">
        <v>100</v>
      </c>
      <c r="F5" s="57">
        <f>IF(425472.26165="","-",(666821.53755-425472.26165)/425472.26165*100)</f>
        <v>56.725031842037602</v>
      </c>
      <c r="G5" s="57">
        <f>IF(666821.53755="","-",(687466.43149-666821.53755)/666821.53755*100)</f>
        <v>3.0960148671640608</v>
      </c>
    </row>
    <row r="6" spans="1:7" x14ac:dyDescent="0.3">
      <c r="A6" s="34" t="s">
        <v>333</v>
      </c>
      <c r="B6" s="40"/>
      <c r="C6" s="40"/>
      <c r="D6" s="26"/>
      <c r="E6" s="26"/>
      <c r="F6" s="26"/>
      <c r="G6" s="26"/>
    </row>
    <row r="7" spans="1:7" ht="26.4" x14ac:dyDescent="0.3">
      <c r="A7" s="27" t="s">
        <v>131</v>
      </c>
      <c r="B7" s="9">
        <v>429329.47284</v>
      </c>
      <c r="C7" s="9">
        <f>IF(414733.29947="","-",429329.47284/414733.29947*100)</f>
        <v>103.51941196635353</v>
      </c>
      <c r="D7" s="17">
        <f>IF(414733.29947="","-",414733.29947/666821.53755*100)</f>
        <v>62.195546501660836</v>
      </c>
      <c r="E7" s="17">
        <f>IF(429329.47284="","-",429329.47284/687466.43149*100)</f>
        <v>62.450972611052514</v>
      </c>
      <c r="F7" s="17">
        <f>IF(425472.26165="","-",(414733.29947-270590.66677)/425472.26165*100)</f>
        <v>33.878267913637565</v>
      </c>
      <c r="G7" s="17">
        <f>IF(666821.53755="","-",(429329.47284-414733.29947)/666821.53755*100)</f>
        <v>2.1889175061184218</v>
      </c>
    </row>
    <row r="8" spans="1:7" ht="15.75" customHeight="1" x14ac:dyDescent="0.3">
      <c r="A8" s="28" t="s">
        <v>2</v>
      </c>
      <c r="B8" s="10">
        <v>230977.24775000001</v>
      </c>
      <c r="C8" s="10">
        <f>IF(OR(186788.68662="",230977.24775=""),"-",230977.24775/186788.68662*100)</f>
        <v>123.65697940791058</v>
      </c>
      <c r="D8" s="15">
        <f>IF(186788.68662="","-",186788.68662/666821.53755*100)</f>
        <v>28.011795675689928</v>
      </c>
      <c r="E8" s="15">
        <f>IF(230977.24775="","-",230977.24775/687466.43149*100)</f>
        <v>33.598331084964379</v>
      </c>
      <c r="F8" s="15">
        <f>IF(OR(425472.26165="",112773.07662="",186788.68662=""),"-",(186788.68662-112773.07662)/425472.26165*100)</f>
        <v>17.396107025394375</v>
      </c>
      <c r="G8" s="15">
        <f>IF(OR(666821.53755="",230977.24775="",186788.68662=""),"-",(230977.24775-186788.68662)/666821.53755*100)</f>
        <v>6.6267447347839514</v>
      </c>
    </row>
    <row r="9" spans="1:7" ht="15.75" customHeight="1" x14ac:dyDescent="0.3">
      <c r="A9" s="28" t="s">
        <v>4</v>
      </c>
      <c r="B9" s="10">
        <v>39090.494209999997</v>
      </c>
      <c r="C9" s="10">
        <f>IF(OR(41643.2799="",39090.49421=""),"-",39090.49421/41643.2799*100)</f>
        <v>93.869873611948606</v>
      </c>
      <c r="D9" s="15">
        <f>IF(41643.2799="","-",41643.2799/666821.53755*100)</f>
        <v>6.2450412224241454</v>
      </c>
      <c r="E9" s="15">
        <f>IF(39090.49421="","-",39090.49421/687466.43149*100)</f>
        <v>5.6861677049854054</v>
      </c>
      <c r="F9" s="15">
        <f>IF(OR(425472.26165="",46810.1887="",41643.2799=""),"-",(41643.2799-46810.1887)/425472.26165*100)</f>
        <v>-1.2143938079447294</v>
      </c>
      <c r="G9" s="15">
        <f>IF(OR(666821.53755="",39090.49421="",41643.2799=""),"-",(39090.49421-41643.2799)/666821.53755*100)</f>
        <v>-0.38282891992051021</v>
      </c>
    </row>
    <row r="10" spans="1:7" ht="13.5" customHeight="1" x14ac:dyDescent="0.3">
      <c r="A10" s="28" t="s">
        <v>3</v>
      </c>
      <c r="B10" s="10">
        <v>38670.649440000001</v>
      </c>
      <c r="C10" s="10">
        <f>IF(OR(63638.46567="",38670.64944=""),"-",38670.64944/63638.46567*100)</f>
        <v>60.766156180647592</v>
      </c>
      <c r="D10" s="15">
        <f>IF(63638.46567="","-",63638.46567/666821.53755*100)</f>
        <v>9.543552822816288</v>
      </c>
      <c r="E10" s="15">
        <f>IF(38670.64944="","-",38670.64944/687466.43149*100)</f>
        <v>5.6250963928792954</v>
      </c>
      <c r="F10" s="15">
        <f>IF(OR(425472.26165="",25936.12849="",63638.46567=""),"-",(63638.46567-25936.12849)/425472.26165*100)</f>
        <v>8.8612914585286227</v>
      </c>
      <c r="G10" s="15">
        <f>IF(OR(666821.53755="",38670.64944="",63638.46567=""),"-",(38670.64944-63638.46567)/666821.53755*100)</f>
        <v>-3.74430260932114</v>
      </c>
    </row>
    <row r="11" spans="1:7" ht="15.75" customHeight="1" x14ac:dyDescent="0.3">
      <c r="A11" s="28" t="s">
        <v>298</v>
      </c>
      <c r="B11" s="10">
        <v>22915.774809999999</v>
      </c>
      <c r="C11" s="10">
        <f>IF(OR(14559.93607="",22915.77481=""),"-",22915.77481/14559.93607*100)</f>
        <v>157.3892543197135</v>
      </c>
      <c r="D11" s="15">
        <f>IF(14559.93607="","-",14559.93607/666821.53755*100)</f>
        <v>2.1834831735482534</v>
      </c>
      <c r="E11" s="15">
        <f>IF(22915.77481="","-",22915.77481/687466.43149*100)</f>
        <v>3.3333663667523141</v>
      </c>
      <c r="F11" s="15">
        <f>IF(OR(425472.26165="",13033.75345="",14559.93607=""),"-",(14559.93607-13033.75345)/425472.26165*100)</f>
        <v>0.35870320055211041</v>
      </c>
      <c r="G11" s="15">
        <f>IF(OR(666821.53755="",22915.77481="",14559.93607=""),"-",(22915.77481-14559.93607)/666821.53755*100)</f>
        <v>1.2530847114957586</v>
      </c>
    </row>
    <row r="12" spans="1:7" s="5" customFormat="1" x14ac:dyDescent="0.3">
      <c r="A12" s="28" t="s">
        <v>5</v>
      </c>
      <c r="B12" s="10">
        <v>17634.891899999999</v>
      </c>
      <c r="C12" s="10">
        <f>IF(OR(18539.48644="",17634.8919=""),"-",17634.8919/18539.48644*100)</f>
        <v>95.120714142068749</v>
      </c>
      <c r="D12" s="15">
        <f>IF(18539.48644="","-",18539.48644/666821.53755*100)</f>
        <v>2.7802770900467295</v>
      </c>
      <c r="E12" s="15">
        <f>IF(17634.8919="","-",17634.8919/687466.43149*100)</f>
        <v>2.5652004363003607</v>
      </c>
      <c r="F12" s="15">
        <f>IF(OR(425472.26165="",17556.90155="",18539.48644=""),"-",(18539.48644-17556.90155)/425472.26165*100)</f>
        <v>0.23093982347744477</v>
      </c>
      <c r="G12" s="15">
        <f>IF(OR(666821.53755="",17634.8919="",18539.48644=""),"-",(17634.8919-18539.48644)/666821.53755*100)</f>
        <v>-0.13565766686595257</v>
      </c>
    </row>
    <row r="13" spans="1:7" s="5" customFormat="1" x14ac:dyDescent="0.3">
      <c r="A13" s="28" t="s">
        <v>38</v>
      </c>
      <c r="B13" s="10">
        <v>13433.27706</v>
      </c>
      <c r="C13" s="10">
        <f>IF(OR(10499.30898="",13433.27706=""),"-",13433.27706/10499.30898*100)</f>
        <v>127.9443922032286</v>
      </c>
      <c r="D13" s="15">
        <f>IF(10499.30898="","-",10499.30898/666821.53755*100)</f>
        <v>1.5745305735888493</v>
      </c>
      <c r="E13" s="15">
        <f>IF(13433.27706="","-",13433.27706/687466.43149*100)</f>
        <v>1.9540266178357253</v>
      </c>
      <c r="F13" s="15">
        <f>IF(OR(425472.26165="",6940.03151="",10499.30898=""),"-",(10499.30898-6940.03151)/425472.26165*100)</f>
        <v>0.83654747696053477</v>
      </c>
      <c r="G13" s="15">
        <f>IF(OR(666821.53755="",13433.27706="",10499.30898=""),"-",(13433.27706-10499.30898)/666821.53755*100)</f>
        <v>0.43999299884341303</v>
      </c>
    </row>
    <row r="14" spans="1:7" s="5" customFormat="1" x14ac:dyDescent="0.3">
      <c r="A14" s="28" t="s">
        <v>290</v>
      </c>
      <c r="B14" s="10">
        <v>11140.339019999999</v>
      </c>
      <c r="C14" s="10">
        <f>IF(OR(8236.16456="",11140.33902=""),"-",11140.33902/8236.16456*100)</f>
        <v>135.26124859263376</v>
      </c>
      <c r="D14" s="15">
        <f>IF(8236.16456="","-",8236.16456/666821.53755*100)</f>
        <v>1.2351377536875718</v>
      </c>
      <c r="E14" s="15">
        <f>IF(11140.33902="","-",11140.33902/687466.43149*100)</f>
        <v>1.6204920720062896</v>
      </c>
      <c r="F14" s="15">
        <f>IF(OR(425472.26165="",6193.49374="",8236.16456=""),"-",(8236.16456-6193.49374)/425472.26165*100)</f>
        <v>0.48009494486865789</v>
      </c>
      <c r="G14" s="15">
        <f>IF(OR(666821.53755="",11140.33902="",8236.16456=""),"-",(11140.33902-8236.16456)/666821.53755*100)</f>
        <v>0.43552499378924725</v>
      </c>
    </row>
    <row r="15" spans="1:7" s="5" customFormat="1" x14ac:dyDescent="0.3">
      <c r="A15" s="28" t="s">
        <v>45</v>
      </c>
      <c r="B15" s="10">
        <v>11030.25159</v>
      </c>
      <c r="C15" s="10">
        <f>IF(OR(8241.3833="",11030.2515899999=""),"-",11030.2515899999/8241.3833*100)</f>
        <v>133.8398080574641</v>
      </c>
      <c r="D15" s="15">
        <f>IF(8241.3833="","-",8241.3833/666821.53755*100)</f>
        <v>1.2359203828778609</v>
      </c>
      <c r="E15" s="15">
        <f>IF(11030.2515899999="","-",11030.2515899999/687466.43149*100)</f>
        <v>1.604478573025474</v>
      </c>
      <c r="F15" s="15">
        <f>IF(OR(425472.26165="",1293.5791="",8241.3833=""),"-",(8241.3833-1293.5791)/425472.26165*100)</f>
        <v>1.6329629041047498</v>
      </c>
      <c r="G15" s="15">
        <f>IF(OR(666821.53755="",11030.2515899999="",8241.3833=""),"-",(11030.2515899999-8241.3833)/666821.53755*100)</f>
        <v>0.41823308530894349</v>
      </c>
    </row>
    <row r="16" spans="1:7" s="5" customFormat="1" x14ac:dyDescent="0.3">
      <c r="A16" s="28" t="s">
        <v>40</v>
      </c>
      <c r="B16" s="10">
        <v>9884.7866799999993</v>
      </c>
      <c r="C16" s="10">
        <f>IF(OR(10993.44627="",9884.78668=""),"-",9884.78668/10993.44627*100)</f>
        <v>89.915268035416517</v>
      </c>
      <c r="D16" s="15">
        <f>IF(10993.44627="","-",10993.44627/666821.53755*100)</f>
        <v>1.6486339524052465</v>
      </c>
      <c r="E16" s="15">
        <f>IF(9884.78668="","-",9884.78668/687466.43149*100)</f>
        <v>1.4378573596060429</v>
      </c>
      <c r="F16" s="15">
        <f>IF(OR(425472.26165="",7236.94171="",10993.44627=""),"-",(10993.44627-7236.94171)/425472.26165*100)</f>
        <v>0.88290234137288104</v>
      </c>
      <c r="G16" s="15">
        <f>IF(OR(666821.53755="",9884.78668="",10993.44627=""),"-",(9884.78668-10993.44627)/666821.53755*100)</f>
        <v>-0.16626031517718801</v>
      </c>
    </row>
    <row r="17" spans="1:7" s="5" customFormat="1" x14ac:dyDescent="0.3">
      <c r="A17" s="28" t="s">
        <v>6</v>
      </c>
      <c r="B17" s="10">
        <v>9522.5127100000009</v>
      </c>
      <c r="C17" s="10">
        <f>IF(OR(21129.79532="",9522.51271=""),"-",9522.51271/21129.79532*100)</f>
        <v>45.066753206959135</v>
      </c>
      <c r="D17" s="15">
        <f>IF(21129.79532="","-",21129.79532/666821.53755*100)</f>
        <v>3.1687331812397606</v>
      </c>
      <c r="E17" s="15">
        <f>IF(9522.51271="","-",9522.51271/687466.43149*100)</f>
        <v>1.3851603909388146</v>
      </c>
      <c r="F17" s="15">
        <f>IF(OR(425472.26165="",6925.35482="",21129.79532=""),"-",(21129.79532-6925.35482)/425472.26165*100)</f>
        <v>3.3385115271474008</v>
      </c>
      <c r="G17" s="15">
        <f>IF(OR(666821.53755="",9522.51271="",21129.79532=""),"-",(9522.51271-21129.79532)/666821.53755*100)</f>
        <v>-1.7406880186634128</v>
      </c>
    </row>
    <row r="18" spans="1:7" s="7" customFormat="1" x14ac:dyDescent="0.3">
      <c r="A18" s="28" t="s">
        <v>304</v>
      </c>
      <c r="B18" s="10">
        <v>6207.4395400000003</v>
      </c>
      <c r="C18" s="10">
        <f>IF(OR(5441.89833="",6207.43954=""),"-",6207.43954/5441.89833*100)</f>
        <v>114.06753973663453</v>
      </c>
      <c r="D18" s="15">
        <f>IF(5441.89833="","-",5441.89833/666821.53755*100)</f>
        <v>0.81609516543126837</v>
      </c>
      <c r="E18" s="15">
        <f>IF(6207.43954="","-",6207.43954/687466.43149*100)</f>
        <v>0.90294438472379357</v>
      </c>
      <c r="F18" s="15">
        <f>IF(OR(425472.26165="",6801.47913="",5441.89833=""),"-",(5441.89833-6801.47913)/425472.26165*100)</f>
        <v>-0.31954628363491572</v>
      </c>
      <c r="G18" s="15">
        <f>IF(OR(666821.53755="",6207.43954="",5441.89833=""),"-",(6207.43954-5441.89833)/666821.53755*100)</f>
        <v>0.11480451168579689</v>
      </c>
    </row>
    <row r="19" spans="1:7" s="5" customFormat="1" x14ac:dyDescent="0.3">
      <c r="A19" s="28" t="s">
        <v>8</v>
      </c>
      <c r="B19" s="10">
        <v>4661.8185800000001</v>
      </c>
      <c r="C19" s="10">
        <f>IF(OR(12960.43825="",4661.81858=""),"-",4661.81858/12960.43825*100)</f>
        <v>35.969606043221575</v>
      </c>
      <c r="D19" s="15">
        <f>IF(12960.43825="","-",12960.43825/666821.53755*100)</f>
        <v>1.9436142236224925</v>
      </c>
      <c r="E19" s="15">
        <f>IF(4661.81858="","-",4661.81858/687466.43149*100)</f>
        <v>0.67811581285446543</v>
      </c>
      <c r="F19" s="15">
        <f>IF(OR(425472.26165="",7283.77725="",12960.43825=""),"-",(12960.43825-7283.77725)/425472.26165*100)</f>
        <v>1.3342023703227233</v>
      </c>
      <c r="G19" s="15">
        <f>IF(OR(666821.53755="",4661.81858="",12960.43825=""),"-",(4661.81858-12960.43825)/666821.53755*100)</f>
        <v>-1.2445038443854624</v>
      </c>
    </row>
    <row r="20" spans="1:7" s="5" customFormat="1" x14ac:dyDescent="0.3">
      <c r="A20" s="28" t="s">
        <v>41</v>
      </c>
      <c r="B20" s="10">
        <v>3964.5085300000001</v>
      </c>
      <c r="C20" s="10" t="s">
        <v>296</v>
      </c>
      <c r="D20" s="15">
        <f>IF(1392.42271="","-",1392.42271/666821.53755*100)</f>
        <v>0.20881489747856152</v>
      </c>
      <c r="E20" s="15">
        <f>IF(3964.50853="","-",3964.50853/687466.43149*100)</f>
        <v>0.57668394388470856</v>
      </c>
      <c r="F20" s="15">
        <f>IF(OR(425472.26165="",965.40357="",1392.42271=""),"-",(1392.42271-965.40357)/425472.26165*100)</f>
        <v>0.10036356737898758</v>
      </c>
      <c r="G20" s="15">
        <f>IF(OR(666821.53755="",3964.50853="",1392.42271=""),"-",(3964.50853-1392.42271)/666821.53755*100)</f>
        <v>0.38572326704536575</v>
      </c>
    </row>
    <row r="21" spans="1:7" s="5" customFormat="1" x14ac:dyDescent="0.3">
      <c r="A21" s="28" t="s">
        <v>39</v>
      </c>
      <c r="B21" s="10">
        <v>2559.8643299999999</v>
      </c>
      <c r="C21" s="10">
        <f>IF(OR(3186.81698="",2559.86433=""),"-",2559.86433/3186.81698*100)</f>
        <v>80.326681640813888</v>
      </c>
      <c r="D21" s="15">
        <f>IF(3186.81698="","-",3186.81698/666821.53755*100)</f>
        <v>0.47791152512992191</v>
      </c>
      <c r="E21" s="15">
        <f>IF(2559.86433="","-",2559.86433/687466.43149*100)</f>
        <v>0.3723620838404873</v>
      </c>
      <c r="F21" s="15">
        <f>IF(OR(425472.26165="",2719.77947="",3186.81698=""),"-",(3186.81698-2719.77947)/425472.26165*100)</f>
        <v>0.10976920285914957</v>
      </c>
      <c r="G21" s="15">
        <f>IF(OR(666821.53755="",2559.86433="",3186.81698=""),"-",(2559.86433-3186.81698)/666821.53755*100)</f>
        <v>-9.4021055814051249E-2</v>
      </c>
    </row>
    <row r="22" spans="1:7" s="5" customFormat="1" x14ac:dyDescent="0.3">
      <c r="A22" s="28" t="s">
        <v>42</v>
      </c>
      <c r="B22" s="10">
        <v>2357.9244399999998</v>
      </c>
      <c r="C22" s="10">
        <f>IF(OR(1602.97279="",2357.92444=""),"-",2357.92444/1602.97279*100)</f>
        <v>147.09697224492498</v>
      </c>
      <c r="D22" s="15">
        <f>IF(1602.97279="","-",1602.97279/666821.53755*100)</f>
        <v>0.24039007436525775</v>
      </c>
      <c r="E22" s="15">
        <f>IF(2357.92444="","-",2357.92444/687466.43149*100)</f>
        <v>0.34298757466447993</v>
      </c>
      <c r="F22" s="15">
        <f>IF(OR(425472.26165="",2769.45724="",1602.97279=""),"-",(1602.97279-2769.45724)/425472.26165*100)</f>
        <v>-0.27416227922269776</v>
      </c>
      <c r="G22" s="15">
        <f>IF(OR(666821.53755="",2357.92444="",1602.97279=""),"-",(2357.92444-1602.97279)/666821.53755*100)</f>
        <v>0.11321644660335997</v>
      </c>
    </row>
    <row r="23" spans="1:7" s="5" customFormat="1" x14ac:dyDescent="0.3">
      <c r="A23" s="28" t="s">
        <v>7</v>
      </c>
      <c r="B23" s="10">
        <v>2241.70109</v>
      </c>
      <c r="C23" s="10">
        <f>IF(OR(3534.13501="",2241.70109=""),"-",2241.70109/3534.13501*100)</f>
        <v>63.42997886772865</v>
      </c>
      <c r="D23" s="15">
        <f>IF(3534.13501="","-",3534.13501/666821.53755*100)</f>
        <v>0.52999712981451219</v>
      </c>
      <c r="E23" s="15">
        <f>IF(2241.70109="","-",2241.70109/687466.43149*100)</f>
        <v>0.32608153464910061</v>
      </c>
      <c r="F23" s="15">
        <f>IF(OR(425472.26165="",2886.49064="",3534.13501=""),"-",(3534.13501-2886.49064)/425472.26165*100)</f>
        <v>0.15221776561611958</v>
      </c>
      <c r="G23" s="15">
        <f>IF(OR(666821.53755="",2241.70109="",3534.13501=""),"-",(2241.70109-3534.13501)/666821.53755*100)</f>
        <v>-0.19382006237359869</v>
      </c>
    </row>
    <row r="24" spans="1:7" s="5" customFormat="1" x14ac:dyDescent="0.3">
      <c r="A24" s="28" t="s">
        <v>43</v>
      </c>
      <c r="B24" s="10">
        <v>1222.0312200000001</v>
      </c>
      <c r="C24" s="10">
        <f>IF(OR(769.44321="",1222.03122=""),"-",1222.03122/769.44321*100)</f>
        <v>158.82019674980302</v>
      </c>
      <c r="D24" s="15">
        <f>IF(769.44321="","-",769.44321/666821.53755*100)</f>
        <v>0.11538967574848394</v>
      </c>
      <c r="E24" s="15">
        <f>IF(1222.03122="","-",1222.03122/687466.43149*100)</f>
        <v>0.17775867504561579</v>
      </c>
      <c r="F24" s="15">
        <f>IF(OR(425472.26165="",991.73278="",769.44321=""),"-",(769.44321-991.73278)/425472.26165*100)</f>
        <v>-5.2245372974010426E-2</v>
      </c>
      <c r="G24" s="15">
        <f>IF(OR(666821.53755="",1222.03122="",769.44321=""),"-",(1222.03122-769.44321)/666821.53755*100)</f>
        <v>6.787243430421798E-2</v>
      </c>
    </row>
    <row r="25" spans="1:7" s="2" customFormat="1" x14ac:dyDescent="0.3">
      <c r="A25" s="28" t="s">
        <v>44</v>
      </c>
      <c r="B25" s="10">
        <v>665.56237999999996</v>
      </c>
      <c r="C25" s="10">
        <f>IF(OR(428.93172="",665.56238=""),"-",665.56238/428.93172*100)</f>
        <v>155.16744250110483</v>
      </c>
      <c r="D25" s="15">
        <f>IF(428.93172="","-",428.93172/666821.53755*100)</f>
        <v>6.4324814938635302E-2</v>
      </c>
      <c r="E25" s="15">
        <f>IF(665.56238="","-",665.56238/687466.43149*100)</f>
        <v>9.6813800574593059E-2</v>
      </c>
      <c r="F25" s="15">
        <f>IF(OR(425472.26165="",562.81836="",428.93172=""),"-",(428.93172-562.81836)/425472.26165*100)</f>
        <v>-3.1467771713432451E-2</v>
      </c>
      <c r="G25" s="15">
        <f>IF(OR(666821.53755="",665.56238="",428.93172=""),"-",(665.56238-428.93172)/666821.53755*100)</f>
        <v>3.5486355295213726E-2</v>
      </c>
    </row>
    <row r="26" spans="1:7" s="2" customFormat="1" x14ac:dyDescent="0.3">
      <c r="A26" s="28" t="s">
        <v>291</v>
      </c>
      <c r="B26" s="10">
        <v>324.65942999999999</v>
      </c>
      <c r="C26" s="10" t="s">
        <v>310</v>
      </c>
      <c r="D26" s="15">
        <f>IF(128.42346="","-",128.42346/666821.53755*100)</f>
        <v>1.9259045002032568E-2</v>
      </c>
      <c r="E26" s="15">
        <f>IF(324.65943="","-",324.65943/687466.43149*100)</f>
        <v>4.7225495693853752E-2</v>
      </c>
      <c r="F26" s="15">
        <f>IF(OR(425472.26165="",40.47562="",128.42346=""),"-",(128.42346-40.47562)/425472.26165*100)</f>
        <v>2.0670640116216849E-2</v>
      </c>
      <c r="G26" s="15">
        <f>IF(OR(666821.53755="",324.65943="",128.42346=""),"-",(324.65943-128.42346)/666821.53755*100)</f>
        <v>2.9428559059594815E-2</v>
      </c>
    </row>
    <row r="27" spans="1:7" s="5" customFormat="1" x14ac:dyDescent="0.3">
      <c r="A27" s="28" t="s">
        <v>46</v>
      </c>
      <c r="B27" s="10">
        <v>323.07089000000002</v>
      </c>
      <c r="C27" s="10">
        <f>IF(OR(413.96226="",323.07089=""),"-",323.07089/413.96226*100)</f>
        <v>78.043561265705719</v>
      </c>
      <c r="D27" s="15">
        <f>IF(413.96226="","-",413.96226/666821.53755*100)</f>
        <v>6.2079917442522621E-2</v>
      </c>
      <c r="E27" s="15">
        <f>IF(323.07089="","-",323.07089/687466.43149*100)</f>
        <v>4.6994424047699775E-2</v>
      </c>
      <c r="F27" s="15">
        <f>IF(OR(425472.26165="",412.19799="",413.96226=""),"-",(413.96226-412.19799)/425472.26165*100)</f>
        <v>4.1466157938430446E-4</v>
      </c>
      <c r="G27" s="15">
        <f>IF(OR(666821.53755="",323.07089="",413.96226=""),"-",(323.07089-413.96226)/666821.53755*100)</f>
        <v>-1.3630539039567948E-2</v>
      </c>
    </row>
    <row r="28" spans="1:7" s="5" customFormat="1" x14ac:dyDescent="0.3">
      <c r="A28" s="28" t="s">
        <v>49</v>
      </c>
      <c r="B28" s="10">
        <v>268.96609999999998</v>
      </c>
      <c r="C28" s="10" t="s">
        <v>309</v>
      </c>
      <c r="D28" s="15">
        <f>IF(99.66124="","-",99.66124/666821.53755*100)</f>
        <v>1.494571401610242E-2</v>
      </c>
      <c r="E28" s="15">
        <f>IF(268.9661="","-",268.9661/687466.43149*100)</f>
        <v>3.9124252135053147E-2</v>
      </c>
      <c r="F28" s="15">
        <f>IF(OR(425472.26165="",44.61642="",99.66124=""),"-",(99.66124-44.61642)/425472.26165*100)</f>
        <v>1.2937346323479185E-2</v>
      </c>
      <c r="G28" s="15">
        <f>IF(OR(666821.53755="",268.9661="",99.66124=""),"-",(268.9661-99.66124)/666821.53755*100)</f>
        <v>2.5389830781718723E-2</v>
      </c>
    </row>
    <row r="29" spans="1:7" s="2" customFormat="1" x14ac:dyDescent="0.3">
      <c r="A29" s="28" t="s">
        <v>48</v>
      </c>
      <c r="B29" s="10">
        <v>111.83320000000001</v>
      </c>
      <c r="C29" s="10">
        <f>IF(OR(310.36669="",111.8332=""),"-",111.8332/310.36669*100)</f>
        <v>36.032603885423406</v>
      </c>
      <c r="D29" s="15">
        <f>IF(310.36669="","-",310.36669/666821.53755*100)</f>
        <v>4.6544190990041007E-2</v>
      </c>
      <c r="E29" s="15">
        <f>IF(111.8332="","-",111.8332/687466.43149*100)</f>
        <v>1.6267441561854175E-2</v>
      </c>
      <c r="F29" s="15">
        <f>IF(OR(425472.26165="",99.91771="",310.36669=""),"-",(310.36669-99.91771)/425472.26165*100)</f>
        <v>4.9462444198799159E-2</v>
      </c>
      <c r="G29" s="15">
        <f>IF(OR(666821.53755="",111.8332="",310.36669=""),"-",(111.8332-310.36669)/666821.53755*100)</f>
        <v>-2.9773107018924605E-2</v>
      </c>
    </row>
    <row r="30" spans="1:7" s="2" customFormat="1" x14ac:dyDescent="0.3">
      <c r="A30" s="28" t="s">
        <v>51</v>
      </c>
      <c r="B30" s="10">
        <v>63.281570000000002</v>
      </c>
      <c r="C30" s="10">
        <f>IF(OR(157.25652="",63.28157=""),"-",63.28157/157.25652*100)</f>
        <v>40.240983330929616</v>
      </c>
      <c r="D30" s="15">
        <f>IF(157.25652="","-",157.25652/666821.53755*100)</f>
        <v>2.3582999520049018E-2</v>
      </c>
      <c r="E30" s="15">
        <f>IF(63.28157="","-",63.28157/687466.43149*100)</f>
        <v>9.2050414538561373E-3</v>
      </c>
      <c r="F30" s="15">
        <f>IF(OR(425472.26165="",73.31212="",157.25652=""),"-",(157.25652-73.31212)/425472.26165*100)</f>
        <v>1.9729699810384808E-2</v>
      </c>
      <c r="G30" s="15">
        <f>IF(OR(666821.53755="",63.28157="",157.25652=""),"-",(63.28157-157.25652)/666821.53755*100)</f>
        <v>-1.4092968614252882E-2</v>
      </c>
    </row>
    <row r="31" spans="1:7" s="2" customFormat="1" x14ac:dyDescent="0.3">
      <c r="A31" s="28" t="s">
        <v>50</v>
      </c>
      <c r="B31" s="10">
        <v>35.161479999999997</v>
      </c>
      <c r="C31" s="10" t="s">
        <v>312</v>
      </c>
      <c r="D31" s="15">
        <f>IF(8.69575="","-",8.69575/666821.53755*100)</f>
        <v>1.3040595587163336E-3</v>
      </c>
      <c r="E31" s="15">
        <f>IF(35.16148="","-",35.16148/687466.43149*100)</f>
        <v>5.1146468233789627E-3</v>
      </c>
      <c r="F31" s="15">
        <f>IF(OR(425472.26165="",0.31657="",8.69575=""),"-",(8.69575-0.31657)/425472.26165*100)</f>
        <v>1.9693833782501295E-3</v>
      </c>
      <c r="G31" s="15">
        <f>IF(OR(666821.53755="",35.16148="",8.69575=""),"-",(35.16148-8.69575)/666821.53755*100)</f>
        <v>3.9689374907173761E-3</v>
      </c>
    </row>
    <row r="32" spans="1:7" s="2" customFormat="1" x14ac:dyDescent="0.3">
      <c r="A32" s="28" t="s">
        <v>47</v>
      </c>
      <c r="B32" s="10">
        <v>17.422779999999999</v>
      </c>
      <c r="C32" s="10">
        <f>IF(OR(25.31808="",17.42278=""),"-",17.42278/25.31808*100)</f>
        <v>68.815565793298703</v>
      </c>
      <c r="D32" s="15">
        <f>IF(25.31808="","-",25.31808/666821.53755*100)</f>
        <v>3.7968299723824656E-3</v>
      </c>
      <c r="E32" s="15">
        <f>IF(17.42278="","-",17.42278/687466.43149*100)</f>
        <v>2.5343462897873051E-3</v>
      </c>
      <c r="F32" s="15">
        <f>IF(OR(425472.26165="",235.79607="",25.31808=""),"-",(25.31808-235.79607)/425472.26165*100)</f>
        <v>-4.946926250462419E-2</v>
      </c>
      <c r="G32" s="15">
        <f>IF(OR(666821.53755="",17.42278="",25.31808=""),"-",(17.42278-25.31808)/666821.53755*100)</f>
        <v>-1.184019944677925E-3</v>
      </c>
    </row>
    <row r="33" spans="1:7" s="2" customFormat="1" x14ac:dyDescent="0.3">
      <c r="A33" s="28" t="s">
        <v>52</v>
      </c>
      <c r="B33" s="10">
        <v>4.0021100000000001</v>
      </c>
      <c r="C33" s="10" t="str">
        <f>IF(OR(""="",4.00211=""),"-",4.00211/""*100)</f>
        <v>-</v>
      </c>
      <c r="D33" s="15" t="str">
        <f>IF(""="","-",""/666821.53755*100)</f>
        <v>-</v>
      </c>
      <c r="E33" s="15">
        <f>IF(4.00211="","-",4.00211/687466.43149*100)</f>
        <v>5.8215351567434531E-4</v>
      </c>
      <c r="F33" s="15" t="str">
        <f>IF(OR(425472.26165="",3.64614="",""=""),"-",(""-3.64614)/425472.26165*100)</f>
        <v>-</v>
      </c>
      <c r="G33" s="15" t="str">
        <f>IF(OR(666821.53755="",4.00211="",""=""),"-",(4.00211-"")/666821.53755*100)</f>
        <v>-</v>
      </c>
    </row>
    <row r="34" spans="1:7" s="6" customFormat="1" ht="14.25" customHeight="1" x14ac:dyDescent="0.25">
      <c r="A34" s="28" t="s">
        <v>53</v>
      </c>
      <c r="B34" s="10" t="s">
        <v>323</v>
      </c>
      <c r="C34" s="10" t="str">
        <f>IF(OR(2.60334="",""=""),"-",""/2.60334*100)</f>
        <v>-</v>
      </c>
      <c r="D34" s="15">
        <f>IF(2.60334="","-",2.60334/666821.53755*100)</f>
        <v>3.9041030521675296E-4</v>
      </c>
      <c r="E34" s="15" t="str">
        <f>IF(""="","-",""/687466.43149*100)</f>
        <v>-</v>
      </c>
      <c r="F34" s="15" t="str">
        <f>IF(OR(425472.26165="",""="",2.60334=""),"-",(2.60334-"")/425472.26165*100)</f>
        <v>-</v>
      </c>
      <c r="G34" s="15" t="str">
        <f>IF(OR(666821.53755="",""="",2.60334=""),"-",(""-2.60334)/666821.53755*100)</f>
        <v>-</v>
      </c>
    </row>
    <row r="35" spans="1:7" s="6" customFormat="1" ht="14.25" customHeight="1" x14ac:dyDescent="0.25">
      <c r="A35" s="27" t="s">
        <v>133</v>
      </c>
      <c r="B35" s="9">
        <v>170431.38029</v>
      </c>
      <c r="C35" s="9" t="s">
        <v>195</v>
      </c>
      <c r="D35" s="17">
        <f>IF(78408.54653="","-",78408.54653/666821.53755*100)</f>
        <v>11.758550393870673</v>
      </c>
      <c r="E35" s="17">
        <f>IF(170431.38029="","-",170431.38029/687466.43149*100)</f>
        <v>24.791229430738994</v>
      </c>
      <c r="F35" s="17">
        <f>IF(425472.26165="","-",(78408.54653-67411.44167)/425472.26165*100)</f>
        <v>2.5846819760594388</v>
      </c>
      <c r="G35" s="17">
        <f>IF(666821.53755="","-",(170431.38029-78408.54653)/666821.53755*100)</f>
        <v>13.800219185796752</v>
      </c>
    </row>
    <row r="36" spans="1:7" s="6" customFormat="1" ht="14.25" customHeight="1" x14ac:dyDescent="0.25">
      <c r="A36" s="28" t="s">
        <v>10</v>
      </c>
      <c r="B36" s="10">
        <v>109719.26261000001</v>
      </c>
      <c r="C36" s="10" t="s">
        <v>347</v>
      </c>
      <c r="D36" s="15">
        <f>IF(15499.89503="","-",15499.89503/666821.53755*100)</f>
        <v>2.3244442713936451</v>
      </c>
      <c r="E36" s="15">
        <f>IF(109719.26261="","-",109719.26261/687466.43149*100)</f>
        <v>15.959944745548787</v>
      </c>
      <c r="F36" s="15">
        <f>IF(OR(425472.26165="",13702.44004="",15499.89503=""),"-",(15499.89503-13702.44004)/425472.26165*100)</f>
        <v>0.42246114541742186</v>
      </c>
      <c r="G36" s="15">
        <f>IF(OR(666821.53755="",109719.26261="",15499.89503=""),"-",(109719.26261-15499.89503)/666821.53755*100)</f>
        <v>14.129622736268502</v>
      </c>
    </row>
    <row r="37" spans="1:7" s="4" customFormat="1" ht="14.25" customHeight="1" x14ac:dyDescent="0.25">
      <c r="A37" s="28" t="s">
        <v>292</v>
      </c>
      <c r="B37" s="10">
        <v>27641.181809999998</v>
      </c>
      <c r="C37" s="10">
        <f>IF(OR(48779.67899="",27641.18181=""),"-",27641.18181/48779.67899*100)</f>
        <v>56.665362262155384</v>
      </c>
      <c r="D37" s="15">
        <f>IF(48779.67899="","-",48779.67899/666821.53755*100)</f>
        <v>7.3152524690824601</v>
      </c>
      <c r="E37" s="15">
        <f>IF(27641.18181="","-",27641.18181/687466.43149*100)</f>
        <v>4.0207318559672931</v>
      </c>
      <c r="F37" s="15">
        <f>IF(OR(425472.26165="",39774.30228="",48779.67899=""),"-",(48779.67899-39774.30228)/425472.26165*100)</f>
        <v>2.1165602371061167</v>
      </c>
      <c r="G37" s="15">
        <f>IF(OR(666821.53755="",27641.18181="",48779.67899=""),"-",(27641.18181-48779.67899)/666821.53755*100)</f>
        <v>-3.1700381570856182</v>
      </c>
    </row>
    <row r="38" spans="1:7" s="6" customFormat="1" ht="14.25" customHeight="1" x14ac:dyDescent="0.25">
      <c r="A38" s="28" t="s">
        <v>9</v>
      </c>
      <c r="B38" s="10">
        <v>19904.400610000001</v>
      </c>
      <c r="C38" s="10" t="s">
        <v>101</v>
      </c>
      <c r="D38" s="15">
        <f>IF(10441.74335="","-",10441.74335/666821.53755*100)</f>
        <v>1.5658977345519602</v>
      </c>
      <c r="E38" s="15">
        <f>IF(19904.40061="","-",19904.40061/687466.43149*100)</f>
        <v>2.8953269131788195</v>
      </c>
      <c r="F38" s="15">
        <f>IF(OR(425472.26165="",11102.69359="",10441.74335=""),"-",(10441.74335-11102.69359)/425472.26165*100)</f>
        <v>-0.155345083469556</v>
      </c>
      <c r="G38" s="15">
        <f>IF(OR(666821.53755="",19904.40061="",10441.74335=""),"-",(19904.40061-10441.74335)/666821.53755*100)</f>
        <v>1.4190689303118775</v>
      </c>
    </row>
    <row r="39" spans="1:7" s="4" customFormat="1" ht="14.25" customHeight="1" x14ac:dyDescent="0.25">
      <c r="A39" s="28" t="s">
        <v>11</v>
      </c>
      <c r="B39" s="10">
        <v>9313.2584999999999</v>
      </c>
      <c r="C39" s="10" t="s">
        <v>348</v>
      </c>
      <c r="D39" s="15">
        <f>IF(1168.77624="","-",1168.77624/666821.53755*100)</f>
        <v>0.17527571834201022</v>
      </c>
      <c r="E39" s="15">
        <f>IF(9313.2585="","-",9313.2585/687466.43149*100)</f>
        <v>1.354721928722344</v>
      </c>
      <c r="F39" s="15">
        <f>IF(OR(425472.26165="",1162.94538="",1168.77624=""),"-",(1168.77624-1162.94538)/425472.26165*100)</f>
        <v>1.3704442158902911E-3</v>
      </c>
      <c r="G39" s="15">
        <f>IF(OR(666821.53755="",9313.2585="",1168.77624=""),"-",(9313.2585-1168.77624)/666821.53755*100)</f>
        <v>1.2213886027023093</v>
      </c>
    </row>
    <row r="40" spans="1:7" s="4" customFormat="1" ht="14.25" customHeight="1" x14ac:dyDescent="0.25">
      <c r="A40" s="28" t="s">
        <v>299</v>
      </c>
      <c r="B40" s="10">
        <v>1259.3721499999999</v>
      </c>
      <c r="C40" s="10" t="s">
        <v>349</v>
      </c>
      <c r="D40" s="15">
        <f>IF(182.7988="","-",182.7988/666821.53755*100)</f>
        <v>2.7413451681784242E-2</v>
      </c>
      <c r="E40" s="15">
        <f>IF(1259.37215="","-",1259.37215/687466.43149*100)</f>
        <v>0.18319034825750893</v>
      </c>
      <c r="F40" s="15">
        <f>IF(OR(425472.26165="",189.16841="",182.7988=""),"-",(182.7988-189.16841)/425472.26165*100)</f>
        <v>-1.4970682166913463E-3</v>
      </c>
      <c r="G40" s="15">
        <f>IF(OR(666821.53755="",1259.37215="",182.7988=""),"-",(1259.37215-182.7988)/666821.53755*100)</f>
        <v>0.16144849699298677</v>
      </c>
    </row>
    <row r="41" spans="1:7" s="4" customFormat="1" ht="14.25" customHeight="1" x14ac:dyDescent="0.25">
      <c r="A41" s="28" t="s">
        <v>13</v>
      </c>
      <c r="B41" s="10">
        <v>1102.45255</v>
      </c>
      <c r="C41" s="10">
        <f>IF(OR(1167.80337="",1102.45255=""),"-",1102.45255/1167.80337*100)</f>
        <v>94.403953466926538</v>
      </c>
      <c r="D41" s="15">
        <f>IF(1167.80337="","-",1167.80337/666821.53755*100)</f>
        <v>0.17512982173471492</v>
      </c>
      <c r="E41" s="15">
        <f>IF(1102.45255="","-",1102.45255/687466.43149*100)</f>
        <v>0.16036456465380686</v>
      </c>
      <c r="F41" s="15">
        <f>IF(OR(425472.26165="",858.77128="",1167.80337=""),"-",(1167.80337-858.77128)/425472.26165*100)</f>
        <v>7.2632723177196115E-2</v>
      </c>
      <c r="G41" s="15">
        <f>IF(OR(666821.53755="",1102.45255="",1167.80337=""),"-",(1102.45255-1167.80337)/666821.53755*100)</f>
        <v>-9.8003463175632567E-3</v>
      </c>
    </row>
    <row r="42" spans="1:7" s="4" customFormat="1" ht="13.2" x14ac:dyDescent="0.25">
      <c r="A42" s="28" t="s">
        <v>12</v>
      </c>
      <c r="B42" s="10">
        <v>812.44898000000001</v>
      </c>
      <c r="C42" s="10">
        <f>IF(OR(655.94285="",812.44898=""),"-",812.44898/655.94285*100)</f>
        <v>123.8597204009465</v>
      </c>
      <c r="D42" s="15">
        <f>IF(655.94285="","-",655.94285/666821.53755*100)</f>
        <v>9.8368575857647023E-2</v>
      </c>
      <c r="E42" s="15">
        <f>IF(812.44898="","-",812.44898/687466.43149*100)</f>
        <v>0.11818016746492123</v>
      </c>
      <c r="F42" s="15">
        <f>IF(OR(425472.26165="",389.56373="",655.94285=""),"-",(655.94285-389.56373)/425472.26165*100)</f>
        <v>6.2607869891910251E-2</v>
      </c>
      <c r="G42" s="15">
        <f>IF(OR(666821.53755="",812.44898="",655.94285=""),"-",(812.44898-655.94285)/666821.53755*100)</f>
        <v>2.3470467162027553E-2</v>
      </c>
    </row>
    <row r="43" spans="1:7" s="2" customFormat="1" x14ac:dyDescent="0.3">
      <c r="A43" s="28" t="s">
        <v>15</v>
      </c>
      <c r="B43" s="10">
        <v>367.21775000000002</v>
      </c>
      <c r="C43" s="10" t="s">
        <v>350</v>
      </c>
      <c r="D43" s="15">
        <f>IF(76.40711="","-",76.40711/666821.53755*100)</f>
        <v>1.1458404640127689E-2</v>
      </c>
      <c r="E43" s="15">
        <f>IF(367.21775="","-",367.21775/687466.43149*100)</f>
        <v>5.341609905288032E-2</v>
      </c>
      <c r="F43" s="15">
        <f>IF(OR(425472.26165="",125.77253="",76.40711=""),"-",(76.40711-125.77253)/425472.26165*100)</f>
        <v>-1.160250019791155E-2</v>
      </c>
      <c r="G43" s="15">
        <f>IF(OR(666821.53755="",367.21775="",76.40711=""),"-",(367.21775-76.40711)/666821.53755*100)</f>
        <v>4.3611464780888891E-2</v>
      </c>
    </row>
    <row r="44" spans="1:7" s="2" customFormat="1" x14ac:dyDescent="0.3">
      <c r="A44" s="28" t="s">
        <v>14</v>
      </c>
      <c r="B44" s="10">
        <v>269.65469000000002</v>
      </c>
      <c r="C44" s="10">
        <f>IF(OR(417.48861="",269.65469=""),"-",269.65469/417.48861*100)</f>
        <v>64.58971180076027</v>
      </c>
      <c r="D44" s="15">
        <f>IF(417.48861="","-",417.48861/666821.53755*100)</f>
        <v>6.2608747092050193E-2</v>
      </c>
      <c r="E44" s="15">
        <f>IF(269.65469="","-",269.65469/687466.43149*100)</f>
        <v>3.9224415571180136E-2</v>
      </c>
      <c r="F44" s="15" t="str">
        <f>IF(OR(425472.26165="",""="",417.48861=""),"-",(417.48861-"")/425472.26165*100)</f>
        <v>-</v>
      </c>
      <c r="G44" s="15">
        <f>IF(OR(666821.53755="",269.65469="",417.48861=""),"-",(269.65469-417.48861)/666821.53755*100)</f>
        <v>-2.2169937783228094E-2</v>
      </c>
    </row>
    <row r="45" spans="1:7" s="5" customFormat="1" x14ac:dyDescent="0.3">
      <c r="A45" s="28" t="s">
        <v>16</v>
      </c>
      <c r="B45" s="10">
        <v>42.13064</v>
      </c>
      <c r="C45" s="10" t="s">
        <v>313</v>
      </c>
      <c r="D45" s="15">
        <f>IF(18.01218="","-",18.01218/666821.53755*100)</f>
        <v>2.7011994942723939E-3</v>
      </c>
      <c r="E45" s="15">
        <f>IF(42.13064="","-",42.13064/687466.43149*100)</f>
        <v>6.1283923214529839E-3</v>
      </c>
      <c r="F45" s="15">
        <f>IF(OR(425472.26165="",105.78443="",18.01218=""),"-",(18.01218-105.78443)/425472.26165*100)</f>
        <v>-2.0629370680855994E-2</v>
      </c>
      <c r="G45" s="15">
        <f>IF(OR(666821.53755="",42.13064="",18.01218=""),"-",(42.13064-18.01218)/666821.53755*100)</f>
        <v>3.6169287645709159E-3</v>
      </c>
    </row>
    <row r="46" spans="1:7" s="2" customFormat="1" x14ac:dyDescent="0.3">
      <c r="A46" s="27" t="s">
        <v>134</v>
      </c>
      <c r="B46" s="9">
        <v>87705.57836</v>
      </c>
      <c r="C46" s="9">
        <f>IF(173679.69155="","-",87705.57836/173679.69155*100)</f>
        <v>50.49846506363167</v>
      </c>
      <c r="D46" s="17">
        <f>IF(173679.69155="","-",173679.69155/666821.53755*100)</f>
        <v>26.045903104468493</v>
      </c>
      <c r="E46" s="17">
        <f>IF(87705.57836="","-",87705.57836/687466.43149*100)</f>
        <v>12.757797958208492</v>
      </c>
      <c r="F46" s="17">
        <f>IF(425472.26165="","-",(173679.69155-87470.15321)/425472.26165*100)</f>
        <v>20.262081952340591</v>
      </c>
      <c r="G46" s="17">
        <f>IF(666821.53755="","-",(87705.57836-173679.69155)/666821.53755*100)</f>
        <v>-12.893121824751114</v>
      </c>
    </row>
    <row r="47" spans="1:7" s="7" customFormat="1" x14ac:dyDescent="0.3">
      <c r="A47" s="28" t="s">
        <v>54</v>
      </c>
      <c r="B47" s="10">
        <v>27592.98976</v>
      </c>
      <c r="C47" s="10">
        <f>IF(OR(92236.38198="",27592.98976=""),"-",27592.98976/92236.38198*100)</f>
        <v>29.915516163657745</v>
      </c>
      <c r="D47" s="15">
        <f>IF(92236.38198="","-",92236.38198/666821.53755*100)</f>
        <v>13.832243979234683</v>
      </c>
      <c r="E47" s="15">
        <f>IF(27592.98976="","-",27592.98976/687466.43149*100)</f>
        <v>4.0137217609586475</v>
      </c>
      <c r="F47" s="15">
        <f>IF(OR(425472.26165="",45599.11614="",92236.38198=""),"-",(92236.38198-45599.11614)/425472.26165*100)</f>
        <v>10.961294082753751</v>
      </c>
      <c r="G47" s="15">
        <f>IF(OR(666821.53755="",27592.98976="",92236.38198=""),"-",(27592.98976-92236.38198)/666821.53755*100)</f>
        <v>-9.6942567958301549</v>
      </c>
    </row>
    <row r="48" spans="1:7" s="5" customFormat="1" x14ac:dyDescent="0.3">
      <c r="A48" s="28" t="s">
        <v>17</v>
      </c>
      <c r="B48" s="10">
        <v>10887.759120000001</v>
      </c>
      <c r="C48" s="10" t="s">
        <v>195</v>
      </c>
      <c r="D48" s="15">
        <f>IF(4843.56528="","-",4843.56528/666821.53755*100)</f>
        <v>0.72636605257172226</v>
      </c>
      <c r="E48" s="15">
        <f>IF(10887.75912="","-",10887.75912/687466.43149*100)</f>
        <v>1.5837513835260446</v>
      </c>
      <c r="F48" s="15">
        <f>IF(OR(425472.26165="",2627.16546="",4843.56528=""),"-",(4843.56528-2627.16546)/425472.26165*100)</f>
        <v>0.52092698391305337</v>
      </c>
      <c r="G48" s="15">
        <f>IF(OR(666821.53755="",10887.75912="",4843.56528=""),"-",(10887.75912-4843.56528)/666821.53755*100)</f>
        <v>0.90641850924720502</v>
      </c>
    </row>
    <row r="49" spans="1:7" s="2" customFormat="1" ht="26.4" x14ac:dyDescent="0.3">
      <c r="A49" s="28" t="s">
        <v>294</v>
      </c>
      <c r="B49" s="10">
        <v>7541.4852099999998</v>
      </c>
      <c r="C49" s="10">
        <f>IF(OR(16865.77551="",7541.48521=""),"-",7541.48521/16865.77551*100)</f>
        <v>44.714725424446257</v>
      </c>
      <c r="D49" s="15">
        <f>IF(16865.77551="","-",16865.77551/666821.53755*100)</f>
        <v>2.5292787590465853</v>
      </c>
      <c r="E49" s="15">
        <f>IF(7541.48521="","-",7541.48521/687466.43149*100)</f>
        <v>1.0969968662549452</v>
      </c>
      <c r="F49" s="15">
        <f>IF(OR(425472.26165="",6068.26328="",16865.77551=""),"-",(16865.77551-6068.26328)/425472.26165*100)</f>
        <v>2.5377711318069895</v>
      </c>
      <c r="G49" s="15">
        <f>IF(OR(666821.53755="",7541.48521="",16865.77551=""),"-",(7541.48521-16865.77551)/666821.53755*100)</f>
        <v>-1.3983187067200631</v>
      </c>
    </row>
    <row r="50" spans="1:7" s="2" customFormat="1" x14ac:dyDescent="0.3">
      <c r="A50" s="28" t="s">
        <v>72</v>
      </c>
      <c r="B50" s="10">
        <v>5327.76667</v>
      </c>
      <c r="C50" s="10" t="s">
        <v>377</v>
      </c>
      <c r="D50" s="15">
        <f>IF(442.21531="","-",442.21531/666821.53755*100)</f>
        <v>6.6316890666843764E-2</v>
      </c>
      <c r="E50" s="15">
        <f>IF(5327.76667="","-",5327.76667/687466.43149*100)</f>
        <v>0.7749857194412697</v>
      </c>
      <c r="F50" s="15">
        <f>IF(OR(425472.26165="",118.66419="",442.21531=""),"-",(442.21531-118.66419)/425472.26165*100)</f>
        <v>7.604517360197692E-2</v>
      </c>
      <c r="G50" s="15">
        <f>IF(OR(666821.53755="",5327.76667="",442.21531=""),"-",(5327.76667-442.21531)/666821.53755*100)</f>
        <v>0.7326625018667261</v>
      </c>
    </row>
    <row r="51" spans="1:7" s="7" customFormat="1" x14ac:dyDescent="0.3">
      <c r="A51" s="28" t="s">
        <v>293</v>
      </c>
      <c r="B51" s="10">
        <v>4967.6367200000004</v>
      </c>
      <c r="C51" s="10">
        <f>IF(OR(25589.85957="",4967.63672=""),"-",4967.63672/25589.85957*100)</f>
        <v>19.412520441588342</v>
      </c>
      <c r="D51" s="15">
        <f>IF(25589.85957="","-",25589.85957/666821.53755*100)</f>
        <v>3.8375874396650254</v>
      </c>
      <c r="E51" s="15">
        <f>IF(4967.63672="","-",4967.63672/687466.43149*100)</f>
        <v>0.72260062345637033</v>
      </c>
      <c r="F51" s="15">
        <f>IF(OR(425472.26165="",6661.80792="",25589.85957=""),"-",(25589.85957-6661.80792)/425472.26165*100)</f>
        <v>4.4487157815168006</v>
      </c>
      <c r="G51" s="15">
        <f>IF(OR(666821.53755="",4967.63672="",25589.85957=""),"-",(4967.63672-25589.85957)/666821.53755*100)</f>
        <v>-3.0926149934762255</v>
      </c>
    </row>
    <row r="52" spans="1:7" s="5" customFormat="1" x14ac:dyDescent="0.3">
      <c r="A52" s="28" t="s">
        <v>56</v>
      </c>
      <c r="B52" s="10">
        <v>3145.8542600000001</v>
      </c>
      <c r="C52" s="10">
        <f>IF(OR(2996.41715="",3145.85426=""),"-",3145.85426/2996.41715*100)</f>
        <v>104.98719312162525</v>
      </c>
      <c r="D52" s="15">
        <f>IF(2996.41715="","-",2996.41715/666821.53755*100)</f>
        <v>0.44935818375172398</v>
      </c>
      <c r="E52" s="15">
        <f>IF(3145.85426="","-",3145.85426/687466.43149*100)</f>
        <v>0.45760114471069413</v>
      </c>
      <c r="F52" s="15">
        <f>IF(OR(425472.26165="",3000.51633="",2996.41715=""),"-",(2996.41715-3000.51633)/425472.26165*100)</f>
        <v>-9.6344236028522918E-4</v>
      </c>
      <c r="G52" s="15">
        <f>IF(OR(666821.53755="",3145.85426="",2996.41715=""),"-",(3145.85426-2996.41715)/666821.53755*100)</f>
        <v>2.2410360431526204E-2</v>
      </c>
    </row>
    <row r="53" spans="1:7" s="2" customFormat="1" x14ac:dyDescent="0.3">
      <c r="A53" s="28" t="s">
        <v>345</v>
      </c>
      <c r="B53" s="10">
        <v>3000</v>
      </c>
      <c r="C53" s="10" t="str">
        <f>IF(OR(""="",3000=""),"-",3000/""*100)</f>
        <v>-</v>
      </c>
      <c r="D53" s="15" t="str">
        <f>IF(""="","-",""/666821.53755*100)</f>
        <v>-</v>
      </c>
      <c r="E53" s="15">
        <f>IF(3000="","-",3000/687466.43149*100)</f>
        <v>0.43638494369795838</v>
      </c>
      <c r="F53" s="15" t="str">
        <f>IF(OR(425472.26165="",""="",""=""),"-",(""-"")/425472.26165*100)</f>
        <v>-</v>
      </c>
      <c r="G53" s="15" t="str">
        <f>IF(OR(666821.53755="",3000="",""=""),"-",(3000-"")/666821.53755*100)</f>
        <v>-</v>
      </c>
    </row>
    <row r="54" spans="1:7" s="5" customFormat="1" x14ac:dyDescent="0.3">
      <c r="A54" s="28" t="s">
        <v>58</v>
      </c>
      <c r="B54" s="10">
        <v>2826.1007100000002</v>
      </c>
      <c r="C54" s="10">
        <f>IF(OR(2194.07827="",2826.10071=""),"-",2826.10071/2194.07827*100)</f>
        <v>128.80582924692106</v>
      </c>
      <c r="D54" s="15">
        <f>IF(2194.07827="","-",2194.07827/666821.53755*100)</f>
        <v>0.32903530351784449</v>
      </c>
      <c r="E54" s="15">
        <f>IF(2826.10071="","-",2826.10071/687466.43149*100)</f>
        <v>0.41108926640603671</v>
      </c>
      <c r="F54" s="15">
        <f>IF(OR(425472.26165="",4451.61545="",2194.07827=""),"-",(2194.07827-4451.61545)/425472.26165*100)</f>
        <v>-0.53059561891183515</v>
      </c>
      <c r="G54" s="15">
        <f>IF(OR(666821.53755="",2826.10071="",2194.07827=""),"-",(2826.10071-2194.07827)/666821.53755*100)</f>
        <v>9.4781347693438822E-2</v>
      </c>
    </row>
    <row r="55" spans="1:7" s="2" customFormat="1" x14ac:dyDescent="0.3">
      <c r="A55" s="28" t="s">
        <v>64</v>
      </c>
      <c r="B55" s="10">
        <v>2544.9508999999998</v>
      </c>
      <c r="C55" s="10">
        <f>IF(OR(2512.62829="",2544.9509=""),"-",2544.9509/2512.62829*100)</f>
        <v>101.28640635499649</v>
      </c>
      <c r="D55" s="15">
        <f>IF(2512.62829="","-",2512.62829/666821.53755*100)</f>
        <v>0.37680670891821588</v>
      </c>
      <c r="E55" s="15">
        <f>IF(2544.9509="","-",2544.9509/687466.43149*100)</f>
        <v>0.37019275173685612</v>
      </c>
      <c r="F55" s="15">
        <f>IF(OR(425472.26165="",1487.93034="",2512.62829=""),"-",(2512.62829-1487.93034)/425472.26165*100)</f>
        <v>0.24083778012370932</v>
      </c>
      <c r="G55" s="15">
        <f>IF(OR(666821.53755="",2544.9509="",2512.62829=""),"-",(2544.9509-2512.62829)/666821.53755*100)</f>
        <v>4.8472654495770665E-3</v>
      </c>
    </row>
    <row r="56" spans="1:7" s="5" customFormat="1" x14ac:dyDescent="0.3">
      <c r="A56" s="28" t="s">
        <v>66</v>
      </c>
      <c r="B56" s="10">
        <v>2539.0599900000002</v>
      </c>
      <c r="C56" s="10" t="s">
        <v>99</v>
      </c>
      <c r="D56" s="15">
        <f>IF(1478.0701="","-",1478.0701/666821.53755*100)</f>
        <v>0.22165902220714792</v>
      </c>
      <c r="E56" s="15">
        <f>IF(2539.05999="","-",2539.05999/687466.43149*100)</f>
        <v>0.36933585026062965</v>
      </c>
      <c r="F56" s="15">
        <f>IF(OR(425472.26165="",2235.64517="",1478.0701=""),"-",(1478.0701-2235.64517)/425472.26165*100)</f>
        <v>-0.17805510212630329</v>
      </c>
      <c r="G56" s="15">
        <f>IF(OR(666821.53755="",2539.05999="",1478.0701=""),"-",(2539.05999-1478.0701)/666821.53755*100)</f>
        <v>0.15911152088731753</v>
      </c>
    </row>
    <row r="57" spans="1:7" s="2" customFormat="1" x14ac:dyDescent="0.3">
      <c r="A57" s="28" t="s">
        <v>60</v>
      </c>
      <c r="B57" s="10">
        <v>1885.37644</v>
      </c>
      <c r="C57" s="10" t="s">
        <v>196</v>
      </c>
      <c r="D57" s="15">
        <f>IF(1069.30032="","-",1069.30032/666821.53755*100)</f>
        <v>0.1603577958697564</v>
      </c>
      <c r="E57" s="15">
        <f>IF(1885.37644="","-",1885.37644/687466.43149*100)</f>
        <v>0.27424996387295242</v>
      </c>
      <c r="F57" s="15">
        <f>IF(OR(425472.26165="",832.03874="",1069.30032=""),"-",(1069.30032-832.03874)/425472.26165*100)</f>
        <v>5.576428862363185E-2</v>
      </c>
      <c r="G57" s="15">
        <f>IF(OR(666821.53755="",1885.37644="",1069.30032=""),"-",(1885.37644-1069.30032)/666821.53755*100)</f>
        <v>0.12238298765789467</v>
      </c>
    </row>
    <row r="58" spans="1:7" s="2" customFormat="1" x14ac:dyDescent="0.3">
      <c r="A58" s="28" t="s">
        <v>35</v>
      </c>
      <c r="B58" s="10">
        <v>1868.40488</v>
      </c>
      <c r="C58" s="10" t="s">
        <v>101</v>
      </c>
      <c r="D58" s="15">
        <f>IF(992.64115="","-",992.64115/666821.53755*100)</f>
        <v>0.14886159101085861</v>
      </c>
      <c r="E58" s="15">
        <f>IF(1868.40488="","-",1868.40488/687466.43149*100)</f>
        <v>0.27178125278793025</v>
      </c>
      <c r="F58" s="15">
        <f>IF(OR(425472.26165="",463.14419="",992.64115=""),"-",(992.64115-463.14419)/425472.26165*100)</f>
        <v>0.12444923153076719</v>
      </c>
      <c r="G58" s="15">
        <f>IF(OR(666821.53755="",1868.40488="",992.64115=""),"-",(1868.40488-992.64115)/666821.53755*100)</f>
        <v>0.13133404976955065</v>
      </c>
    </row>
    <row r="59" spans="1:7" s="5" customFormat="1" x14ac:dyDescent="0.3">
      <c r="A59" s="28" t="s">
        <v>82</v>
      </c>
      <c r="B59" s="10">
        <v>1745.1668400000001</v>
      </c>
      <c r="C59" s="10" t="s">
        <v>378</v>
      </c>
      <c r="D59" s="15">
        <f>IF(0.13875="","-",0.13875/666821.53755*100)</f>
        <v>2.0807666247522212E-5</v>
      </c>
      <c r="E59" s="15">
        <f>IF(1745.16684="","-",1745.16684/687466.43149*100)</f>
        <v>0.25385484440564798</v>
      </c>
      <c r="F59" s="15">
        <f>IF(OR(425472.26165="",12.80368="",0.13875=""),"-",(0.13875-12.80368)/425472.26165*100)</f>
        <v>-2.9766758356666659E-3</v>
      </c>
      <c r="G59" s="15">
        <f>IF(OR(666821.53755="",1745.16684="",0.13875=""),"-",(1745.16684-0.13875)/666821.53755*100)</f>
        <v>0.26169342046321548</v>
      </c>
    </row>
    <row r="60" spans="1:7" s="7" customFormat="1" x14ac:dyDescent="0.3">
      <c r="A60" s="28" t="s">
        <v>55</v>
      </c>
      <c r="B60" s="10">
        <v>677.19731000000002</v>
      </c>
      <c r="C60" s="10">
        <f>IF(OR(1076.2797="",677.19731=""),"-",677.19731/1076.2797*100)</f>
        <v>62.920197231258747</v>
      </c>
      <c r="D60" s="15">
        <f>IF(1076.2797="","-",1076.2797/666821.53755*100)</f>
        <v>0.16140445972312312</v>
      </c>
      <c r="E60" s="15">
        <f>IF(677.19731="","-",677.19731/687466.43149*100)</f>
        <v>9.8506236665586291E-2</v>
      </c>
      <c r="F60" s="15">
        <f>IF(OR(425472.26165="",538.69146="",1076.2797=""),"-",(1076.2797-538.69146)/425472.26165*100)</f>
        <v>0.1263509489232528</v>
      </c>
      <c r="G60" s="15">
        <f>IF(OR(666821.53755="",677.19731="",1076.2797=""),"-",(677.19731-1076.2797)/666821.53755*100)</f>
        <v>-5.9848455325286459E-2</v>
      </c>
    </row>
    <row r="61" spans="1:7" s="2" customFormat="1" x14ac:dyDescent="0.3">
      <c r="A61" s="28" t="s">
        <v>57</v>
      </c>
      <c r="B61" s="10">
        <v>675.43579999999997</v>
      </c>
      <c r="C61" s="10">
        <f>IF(OR(1016.78053="",675.4358=""),"-",675.4358/1016.78053*100)</f>
        <v>66.428868381262177</v>
      </c>
      <c r="D61" s="15">
        <f>IF(1016.78053="","-",1016.78053/666821.53755*100)</f>
        <v>0.15248165704662159</v>
      </c>
      <c r="E61" s="15">
        <f>IF(675.4358="","-",675.4358/687466.43149*100)</f>
        <v>9.8250004518195155E-2</v>
      </c>
      <c r="F61" s="15">
        <f>IF(OR(425472.26165="",1634.34363="",1016.78053=""),"-",(1016.78053-1634.34363)/425472.26165*100)</f>
        <v>-0.14514767604474696</v>
      </c>
      <c r="G61" s="15">
        <f>IF(OR(666821.53755="",675.4358="",1016.78053=""),"-",(675.4358-1016.78053)/666821.53755*100)</f>
        <v>-5.1189817781553744E-2</v>
      </c>
    </row>
    <row r="62" spans="1:7" s="2" customFormat="1" x14ac:dyDescent="0.3">
      <c r="A62" s="28" t="s">
        <v>36</v>
      </c>
      <c r="B62" s="10">
        <v>530.88361999999995</v>
      </c>
      <c r="C62" s="10" t="s">
        <v>101</v>
      </c>
      <c r="D62" s="15">
        <f>IF(285.75932="","-",285.75932/666821.53755*100)</f>
        <v>4.2853942758046118E-2</v>
      </c>
      <c r="E62" s="15">
        <f>IF(530.88362="","-",530.88362/687466.43149*100)</f>
        <v>7.7223206207956099E-2</v>
      </c>
      <c r="F62" s="15">
        <f>IF(OR(425472.26165="",55.10417="",285.75932=""),"-",(285.75932-55.10417)/425472.26165*100)</f>
        <v>5.4211559904166082E-2</v>
      </c>
      <c r="G62" s="15">
        <f>IF(OR(666821.53755="",530.88362="",285.75932=""),"-",(530.88362-285.75932)/666821.53755*100)</f>
        <v>3.6760105395009068E-2</v>
      </c>
    </row>
    <row r="63" spans="1:7" s="2" customFormat="1" x14ac:dyDescent="0.3">
      <c r="A63" s="28" t="s">
        <v>73</v>
      </c>
      <c r="B63" s="10">
        <v>530.03128000000004</v>
      </c>
      <c r="C63" s="10">
        <f>IF(OR(408.72268="",530.03128=""),"-",530.03128/408.72268*100)</f>
        <v>129.67992869884296</v>
      </c>
      <c r="D63" s="15">
        <f>IF(408.72268="","-",408.72268/666821.53755*100)</f>
        <v>6.1294162978254574E-2</v>
      </c>
      <c r="E63" s="15">
        <f>IF(530.03128="","-",530.03128/687466.43149*100)</f>
        <v>7.7099223426985608E-2</v>
      </c>
      <c r="F63" s="15">
        <f>IF(OR(425472.26165="",283.92337="",408.72268=""),"-",(408.72268-283.92337)/425472.26165*100)</f>
        <v>2.9331949752969294E-2</v>
      </c>
      <c r="G63" s="15">
        <f>IF(OR(666821.53755="",530.03128="",408.72268=""),"-",(530.03128-408.72268)/666821.53755*100)</f>
        <v>1.8192063868498545E-2</v>
      </c>
    </row>
    <row r="64" spans="1:7" s="2" customFormat="1" x14ac:dyDescent="0.3">
      <c r="A64" s="28" t="s">
        <v>295</v>
      </c>
      <c r="B64" s="10">
        <v>413.89017999999999</v>
      </c>
      <c r="C64" s="10">
        <f>IF(OR(331.69774="",413.89018=""),"-",413.89018/331.69774*100)</f>
        <v>124.77931866524021</v>
      </c>
      <c r="D64" s="15">
        <f>IF(331.69774="","-",331.69774/666821.53755*100)</f>
        <v>4.9743105361999267E-2</v>
      </c>
      <c r="E64" s="15">
        <f>IF(413.89018="","-",413.89018/687466.43149*100)</f>
        <v>6.0205147632145954E-2</v>
      </c>
      <c r="F64" s="15">
        <f>IF(OR(425472.26165="",369.45029="",331.69774=""),"-",(331.69774-369.45029)/425472.26165*100)</f>
        <v>-8.8730931256467693E-3</v>
      </c>
      <c r="G64" s="15">
        <f>IF(OR(666821.53755="",413.89018="",331.69774=""),"-",(413.89018-331.69774)/666821.53755*100)</f>
        <v>1.2326002591635995E-2</v>
      </c>
    </row>
    <row r="65" spans="1:7" s="2" customFormat="1" x14ac:dyDescent="0.3">
      <c r="A65" s="28" t="s">
        <v>121</v>
      </c>
      <c r="B65" s="10">
        <v>372.88404000000003</v>
      </c>
      <c r="C65" s="10">
        <f>IF(OR(709.52338="",372.88404=""),"-",372.88404/709.52338*100)</f>
        <v>52.554158257617956</v>
      </c>
      <c r="D65" s="15">
        <f>IF(709.52338="","-",709.52338/666821.53755*100)</f>
        <v>0.10640378872687477</v>
      </c>
      <c r="E65" s="15">
        <f>IF(372.88404="","-",372.88404/687466.43149*100)</f>
        <v>5.4240326933755759E-2</v>
      </c>
      <c r="F65" s="15">
        <f>IF(OR(425472.26165="",477.59146="",709.52338=""),"-",(709.52338-477.59146)/425472.26165*100)</f>
        <v>5.45116429213406E-2</v>
      </c>
      <c r="G65" s="15">
        <f>IF(OR(666821.53755="",372.88404="",709.52338=""),"-",(372.88404-709.52338)/666821.53755*100)</f>
        <v>-5.0484173207251549E-2</v>
      </c>
    </row>
    <row r="66" spans="1:7" s="2" customFormat="1" x14ac:dyDescent="0.3">
      <c r="A66" s="28" t="s">
        <v>75</v>
      </c>
      <c r="B66" s="10">
        <v>344.80124000000001</v>
      </c>
      <c r="C66" s="10">
        <f>IF(OR(309.59491="",344.80124=""),"-",344.80124/309.59491*100)</f>
        <v>111.37174057545067</v>
      </c>
      <c r="D66" s="15">
        <f>IF(309.59491="","-",309.59491/666821.53755*100)</f>
        <v>4.642845087720128E-2</v>
      </c>
      <c r="E66" s="15">
        <f>IF(344.80124="","-",344.80124/687466.43149*100)</f>
        <v>5.0155356568128751E-2</v>
      </c>
      <c r="F66" s="15">
        <f>IF(OR(425472.26165="",14.7685="",309.59491=""),"-",(309.59491-14.7685)/425472.26165*100)</f>
        <v>6.9293920326709502E-2</v>
      </c>
      <c r="G66" s="15">
        <f>IF(OR(666821.53755="",344.80124="",309.59491=""),"-",(344.80124-309.59491)/666821.53755*100)</f>
        <v>5.2797229869558796E-3</v>
      </c>
    </row>
    <row r="67" spans="1:7" s="2" customFormat="1" x14ac:dyDescent="0.3">
      <c r="A67" s="28" t="s">
        <v>74</v>
      </c>
      <c r="B67" s="10">
        <v>310.10138999999998</v>
      </c>
      <c r="C67" s="10">
        <f>IF(OR(322.43188="",310.10139=""),"-",310.10139/322.43188*100)</f>
        <v>96.175784478879692</v>
      </c>
      <c r="D67" s="15">
        <f>IF(322.43188="","-",322.43188/666821.53755*100)</f>
        <v>4.8353549164692838E-2</v>
      </c>
      <c r="E67" s="15">
        <f>IF(310.10139="","-",310.10139/687466.43149*100)</f>
        <v>4.5107859205269538E-2</v>
      </c>
      <c r="F67" s="15">
        <f>IF(OR(425472.26165="",233.82228="",322.43188=""),"-",(322.43188-233.82228)/425472.26165*100)</f>
        <v>2.0826175519966465E-2</v>
      </c>
      <c r="G67" s="15">
        <f>IF(OR(666821.53755="",310.10139="",322.43188=""),"-",(310.10139-322.43188)/666821.53755*100)</f>
        <v>-1.8491439321687213E-3</v>
      </c>
    </row>
    <row r="68" spans="1:7" s="2" customFormat="1" x14ac:dyDescent="0.3">
      <c r="A68" s="28" t="s">
        <v>122</v>
      </c>
      <c r="B68" s="10">
        <v>271.11263000000002</v>
      </c>
      <c r="C68" s="10" t="s">
        <v>315</v>
      </c>
      <c r="D68" s="15">
        <f>IF(93.23149="","-",93.23149/666821.53755*100)</f>
        <v>1.3981475514805077E-2</v>
      </c>
      <c r="E68" s="15">
        <f>IF(271.11263="","-",271.11263/687466.43149*100)</f>
        <v>3.9436489926118472E-2</v>
      </c>
      <c r="F68" s="15">
        <f>IF(OR(425472.26165="",45.84075="",93.23149=""),"-",(93.23149-45.84075)/425472.26165*100)</f>
        <v>1.1138385335912765E-2</v>
      </c>
      <c r="G68" s="15">
        <f>IF(OR(666821.53755="",271.11263="",93.23149=""),"-",(271.11263-93.23149)/666821.53755*100)</f>
        <v>2.6675974002513682E-2</v>
      </c>
    </row>
    <row r="69" spans="1:7" s="2" customFormat="1" x14ac:dyDescent="0.3">
      <c r="A69" s="28" t="s">
        <v>68</v>
      </c>
      <c r="B69" s="10">
        <v>261.32193000000001</v>
      </c>
      <c r="C69" s="10" t="s">
        <v>379</v>
      </c>
      <c r="D69" s="15">
        <f>IF(20.772="","-",20.772/666821.53755*100)</f>
        <v>3.1150763480614868E-3</v>
      </c>
      <c r="E69" s="15">
        <f>IF(261.32193="","-",261.32193/687466.43149*100)</f>
        <v>3.8012318570030602E-2</v>
      </c>
      <c r="F69" s="15" t="str">
        <f>IF(OR(425472.26165="",""="",20.772=""),"-",(20.772-"")/425472.26165*100)</f>
        <v>-</v>
      </c>
      <c r="G69" s="15">
        <f>IF(OR(666821.53755="",261.32193="",20.772=""),"-",(261.32193-20.772)/666821.53755*100)</f>
        <v>3.6074109256251034E-2</v>
      </c>
    </row>
    <row r="70" spans="1:7" x14ac:dyDescent="0.3">
      <c r="A70" s="28" t="s">
        <v>83</v>
      </c>
      <c r="B70" s="10">
        <v>258.86369000000002</v>
      </c>
      <c r="C70" s="10" t="s">
        <v>380</v>
      </c>
      <c r="D70" s="15">
        <f>IF(32.57962="","-",32.57962/666821.53755*100)</f>
        <v>4.8858079958998164E-3</v>
      </c>
      <c r="E70" s="15">
        <f>IF(258.86369="","-",258.86369/687466.43149*100)</f>
        <v>3.7654738928698583E-2</v>
      </c>
      <c r="F70" s="15">
        <f>IF(OR(425472.26165="",18.05866="",32.57962=""),"-",(32.57962-18.05866)/425472.26165*100)</f>
        <v>3.4129040383706994E-3</v>
      </c>
      <c r="G70" s="15">
        <f>IF(OR(666821.53755="",258.86369="",32.57962=""),"-",(258.86369-32.57962)/666821.53755*100)</f>
        <v>3.3934727248223086E-2</v>
      </c>
    </row>
    <row r="71" spans="1:7" x14ac:dyDescent="0.3">
      <c r="A71" s="28" t="s">
        <v>89</v>
      </c>
      <c r="B71" s="10">
        <v>240.45590000000001</v>
      </c>
      <c r="C71" s="10" t="s">
        <v>313</v>
      </c>
      <c r="D71" s="15">
        <f>IF(106.36263="","-",106.36263/666821.53755*100)</f>
        <v>1.5950689054044637E-2</v>
      </c>
      <c r="E71" s="15">
        <f>IF(240.4559="","-",240.4559/687466.43149*100)</f>
        <v>3.4977111461113972E-2</v>
      </c>
      <c r="F71" s="15">
        <f>IF(OR(425472.26165="",64.78194="",106.36263=""),"-",(106.36263-64.78194)/425472.26165*100)</f>
        <v>9.7728321556729125E-3</v>
      </c>
      <c r="G71" s="15">
        <f>IF(OR(666821.53755="",240.4559="",106.36263=""),"-",(240.4559-106.36263)/666821.53755*100)</f>
        <v>2.0109318978009969E-2</v>
      </c>
    </row>
    <row r="72" spans="1:7" x14ac:dyDescent="0.3">
      <c r="A72" s="28" t="s">
        <v>69</v>
      </c>
      <c r="B72" s="10">
        <v>225.28124</v>
      </c>
      <c r="C72" s="10" t="s">
        <v>100</v>
      </c>
      <c r="D72" s="15">
        <f>IF(139.428="","-",139.428/666821.53755*100)</f>
        <v>2.090934262745605E-2</v>
      </c>
      <c r="E72" s="15">
        <f>IF(225.28124="","-",225.28124/687466.43149*100)</f>
        <v>3.2769780411202085E-2</v>
      </c>
      <c r="F72" s="15">
        <f>IF(OR(425472.26165="",67.28201="",139.428=""),"-",(139.428-67.28201)/425472.26165*100)</f>
        <v>1.6956684724925356E-2</v>
      </c>
      <c r="G72" s="15">
        <f>IF(OR(666821.53755="",225.28124="",139.428=""),"-",(225.28124-139.428)/666821.53755*100)</f>
        <v>1.2874995057213866E-2</v>
      </c>
    </row>
    <row r="73" spans="1:7" x14ac:dyDescent="0.3">
      <c r="A73" s="28" t="s">
        <v>322</v>
      </c>
      <c r="B73" s="10">
        <v>224.52933999999999</v>
      </c>
      <c r="C73" s="10" t="str">
        <f>IF(OR(""="",224.52934=""),"-",224.52934/""*100)</f>
        <v>-</v>
      </c>
      <c r="D73" s="15" t="str">
        <f>IF(""="","-",""/666821.53755*100)</f>
        <v>-</v>
      </c>
      <c r="E73" s="15">
        <f>IF(224.52934="","-",224.52934/687466.43149*100)</f>
        <v>3.2660407798146586E-2</v>
      </c>
      <c r="F73" s="15" t="str">
        <f>IF(OR(425472.26165="",""="",""=""),"-",(""-"")/425472.26165*100)</f>
        <v>-</v>
      </c>
      <c r="G73" s="15" t="str">
        <f>IF(OR(666821.53755="",224.52934="",""=""),"-",(224.52934-"")/666821.53755*100)</f>
        <v>-</v>
      </c>
    </row>
    <row r="74" spans="1:7" x14ac:dyDescent="0.3">
      <c r="A74" s="28" t="s">
        <v>346</v>
      </c>
      <c r="B74" s="10">
        <v>209.70627999999999</v>
      </c>
      <c r="C74" s="10" t="str">
        <f>IF(OR(""="",209.70628=""),"-",209.70628/""*100)</f>
        <v>-</v>
      </c>
      <c r="D74" s="15" t="str">
        <f>IF(""="","-",""/666821.53755*100)</f>
        <v>-</v>
      </c>
      <c r="E74" s="15">
        <f>IF(209.70628="","-",209.70628/687466.43149*100)</f>
        <v>3.0504221063636094E-2</v>
      </c>
      <c r="F74" s="15" t="str">
        <f>IF(OR(425472.26165="",""="",""=""),"-",(""-"")/425472.26165*100)</f>
        <v>-</v>
      </c>
      <c r="G74" s="15" t="str">
        <f>IF(OR(666821.53755="",209.70628="",""=""),"-",(209.70628-"")/666821.53755*100)</f>
        <v>-</v>
      </c>
    </row>
    <row r="75" spans="1:7" x14ac:dyDescent="0.3">
      <c r="A75" s="28" t="s">
        <v>92</v>
      </c>
      <c r="B75" s="10">
        <v>207.12123</v>
      </c>
      <c r="C75" s="10">
        <f>IF(OR(511.15533="",207.12123=""),"-",207.12123/511.15533*100)</f>
        <v>40.520213297981265</v>
      </c>
      <c r="D75" s="15">
        <f>IF(511.15533="","-",511.15533/666821.53755*100)</f>
        <v>7.6655491944375334E-2</v>
      </c>
      <c r="E75" s="15">
        <f>IF(207.12123="","-",207.12123/687466.43149*100)</f>
        <v>3.0128195430733962E-2</v>
      </c>
      <c r="F75" s="15">
        <f>IF(OR(425472.26165="",99.42408="",511.15533=""),"-",(511.15533-99.42408)/425472.26165*100)</f>
        <v>9.6770409521713174E-2</v>
      </c>
      <c r="G75" s="15">
        <f>IF(OR(666821.53755="",207.12123="",511.15533=""),"-",(207.12123-511.15533)/666821.53755*100)</f>
        <v>-4.5594523103897604E-2</v>
      </c>
    </row>
    <row r="76" spans="1:7" x14ac:dyDescent="0.3">
      <c r="A76" s="28" t="s">
        <v>135</v>
      </c>
      <c r="B76" s="10">
        <v>196.9624</v>
      </c>
      <c r="C76" s="10" t="s">
        <v>303</v>
      </c>
      <c r="D76" s="15">
        <f>IF(63.3744="","-",63.3744/666821.53755*100)</f>
        <v>9.5039521717979938E-3</v>
      </c>
      <c r="E76" s="15">
        <f>IF(196.9624="","-",196.9624/687466.43149*100)</f>
        <v>2.8650475278204919E-2</v>
      </c>
      <c r="F76" s="15">
        <f>IF(OR(425472.26165="",208.644="",63.3744=""),"-",(63.3744-208.644)/425472.26165*100)</f>
        <v>-3.4143142360594354E-2</v>
      </c>
      <c r="G76" s="15">
        <f>IF(OR(666821.53755="",196.9624="",63.3744=""),"-",(196.9624-63.3744)/666821.53755*100)</f>
        <v>2.0033546080533312E-2</v>
      </c>
    </row>
    <row r="77" spans="1:7" x14ac:dyDescent="0.3">
      <c r="A77" s="28" t="s">
        <v>84</v>
      </c>
      <c r="B77" s="10">
        <v>192.79351</v>
      </c>
      <c r="C77" s="10" t="s">
        <v>308</v>
      </c>
      <c r="D77" s="15">
        <f>IF(74.65871="","-",74.65871/666821.53755*100)</f>
        <v>1.1196205550634587E-2</v>
      </c>
      <c r="E77" s="15">
        <f>IF(192.79351="","-",192.79351/687466.43149*100)</f>
        <v>2.8044061668893925E-2</v>
      </c>
      <c r="F77" s="15">
        <f>IF(OR(425472.26165="",0.16976="",74.65871=""),"-",(74.65871-0.16976)/425472.26165*100)</f>
        <v>1.7507357521058742E-2</v>
      </c>
      <c r="G77" s="15">
        <f>IF(OR(666821.53755="",192.79351="",74.65871=""),"-",(192.79351-74.65871)/666821.53755*100)</f>
        <v>1.7716104436884952E-2</v>
      </c>
    </row>
    <row r="78" spans="1:7" x14ac:dyDescent="0.3">
      <c r="A78" s="28" t="s">
        <v>137</v>
      </c>
      <c r="B78" s="10">
        <v>192.03088</v>
      </c>
      <c r="C78" s="10" t="s">
        <v>309</v>
      </c>
      <c r="D78" s="15">
        <f>IF(70.66408="","-",70.66408/666821.53755*100)</f>
        <v>1.0597150214978085E-2</v>
      </c>
      <c r="E78" s="15">
        <f>IF(192.03088="","-",192.03088/687466.43149*100)</f>
        <v>2.7933128252356467E-2</v>
      </c>
      <c r="F78" s="15">
        <f>IF(OR(425472.26165="",218.25858="",70.66408=""),"-",(70.66408-218.25858)/425472.26165*100)</f>
        <v>-3.4689570461684638E-2</v>
      </c>
      <c r="G78" s="15">
        <f>IF(OR(666821.53755="",192.03088="",70.66408=""),"-",(192.03088-70.66408)/666821.53755*100)</f>
        <v>1.8200791840935343E-2</v>
      </c>
    </row>
    <row r="79" spans="1:7" x14ac:dyDescent="0.3">
      <c r="A79" s="28" t="s">
        <v>325</v>
      </c>
      <c r="B79" s="10">
        <v>175.10164</v>
      </c>
      <c r="C79" s="10" t="str">
        <f>IF(OR(""="",175.10164=""),"-",175.10164/""*100)</f>
        <v>-</v>
      </c>
      <c r="D79" s="15" t="str">
        <f>IF(""="","-",""/666821.53755*100)</f>
        <v>-</v>
      </c>
      <c r="E79" s="15">
        <f>IF(175.10164="","-",175.10164/687466.43149*100)</f>
        <v>2.5470573104273392E-2</v>
      </c>
      <c r="F79" s="15" t="str">
        <f>IF(OR(425472.26165="",""="",""=""),"-",(""-"")/425472.26165*100)</f>
        <v>-</v>
      </c>
      <c r="G79" s="15" t="str">
        <f>IF(OR(666821.53755="",175.10164="",""=""),"-",(175.10164-"")/666821.53755*100)</f>
        <v>-</v>
      </c>
    </row>
    <row r="80" spans="1:7" x14ac:dyDescent="0.3">
      <c r="A80" s="28" t="s">
        <v>118</v>
      </c>
      <c r="B80" s="10">
        <v>138.31342000000001</v>
      </c>
      <c r="C80" s="10" t="s">
        <v>99</v>
      </c>
      <c r="D80" s="15">
        <f>IF(82.03844="","-",82.03844/666821.53755*100)</f>
        <v>1.2302907956665774E-2</v>
      </c>
      <c r="E80" s="15">
        <f>IF(138.31342="","-",138.31342/687466.43149*100)</f>
        <v>2.0119297999790689E-2</v>
      </c>
      <c r="F80" s="15">
        <f>IF(OR(425472.26165="",119.43318="",82.03844=""),"-",(82.03844-119.43318)/425472.26165*100)</f>
        <v>-8.7889959864790156E-3</v>
      </c>
      <c r="G80" s="15">
        <f>IF(OR(666821.53755="",138.31342="",82.03844=""),"-",(138.31342-82.03844)/666821.53755*100)</f>
        <v>8.4392865003674791E-3</v>
      </c>
    </row>
    <row r="81" spans="1:7" x14ac:dyDescent="0.3">
      <c r="A81" s="28" t="s">
        <v>67</v>
      </c>
      <c r="B81" s="10">
        <v>101.83566999999999</v>
      </c>
      <c r="C81" s="10" t="s">
        <v>349</v>
      </c>
      <c r="D81" s="15">
        <f>IF(14.7956="","-",14.7956/666821.53755*100)</f>
        <v>2.2188245530222676E-3</v>
      </c>
      <c r="E81" s="15">
        <f>IF(101.83567="","-",101.83567/687466.43149*100)</f>
        <v>1.481318437313129E-2</v>
      </c>
      <c r="F81" s="15">
        <f>IF(OR(425472.26165="",22.1075="",14.7956=""),"-",(14.7956-22.1075)/425472.26165*100)</f>
        <v>-1.7185374133778157E-3</v>
      </c>
      <c r="G81" s="15">
        <f>IF(OR(666821.53755="",101.83567="",14.7956=""),"-",(101.83567-14.7956)/666821.53755*100)</f>
        <v>1.3052978210601588E-2</v>
      </c>
    </row>
    <row r="82" spans="1:7" x14ac:dyDescent="0.3">
      <c r="A82" s="28" t="s">
        <v>97</v>
      </c>
      <c r="B82" s="10">
        <v>96.821200000000005</v>
      </c>
      <c r="C82" s="10" t="str">
        <f>IF(OR(""="",96.8212=""),"-",96.8212/""*100)</f>
        <v>-</v>
      </c>
      <c r="D82" s="15" t="str">
        <f>IF(""="","-",""/666821.53755*100)</f>
        <v>-</v>
      </c>
      <c r="E82" s="15">
        <f>IF(96.8212="","-",96.8212/687466.43149*100)</f>
        <v>1.4083771303589589E-2</v>
      </c>
      <c r="F82" s="15" t="str">
        <f>IF(OR(425472.26165="",183.98169="",""=""),"-",(""-183.98169)/425472.26165*100)</f>
        <v>-</v>
      </c>
      <c r="G82" s="15" t="str">
        <f>IF(OR(666821.53755="",96.8212="",""=""),"-",(96.8212-"")/666821.53755*100)</f>
        <v>-</v>
      </c>
    </row>
    <row r="83" spans="1:7" x14ac:dyDescent="0.3">
      <c r="A83" s="28" t="s">
        <v>103</v>
      </c>
      <c r="B83" s="10">
        <v>96.181330000000003</v>
      </c>
      <c r="C83" s="10">
        <f>IF(OR(169.19244="",96.18133=""),"-",96.18133/169.19244*100)</f>
        <v>56.84729766885566</v>
      </c>
      <c r="D83" s="15">
        <f>IF(169.19244="","-",169.19244/666821.53755*100)</f>
        <v>2.5372971698190461E-2</v>
      </c>
      <c r="E83" s="15">
        <f>IF(96.18133="","-",96.18133/687466.43149*100)</f>
        <v>1.3990694758948251E-2</v>
      </c>
      <c r="F83" s="15">
        <f>IF(OR(425472.26165="",8.66116="",169.19244=""),"-",(169.19244-8.66116)/425472.26165*100)</f>
        <v>3.7730140004298453E-2</v>
      </c>
      <c r="G83" s="15">
        <f>IF(OR(666821.53755="",96.18133="",169.19244=""),"-",(96.18133-169.19244)/666821.53755*100)</f>
        <v>-1.0949122949485631E-2</v>
      </c>
    </row>
    <row r="84" spans="1:7" x14ac:dyDescent="0.3">
      <c r="A84" s="28" t="s">
        <v>65</v>
      </c>
      <c r="B84" s="10">
        <v>80.462260000000001</v>
      </c>
      <c r="C84" s="10">
        <f>IF(OR(578.8395="",80.46226=""),"-",80.46226/578.8395*100)</f>
        <v>13.900616664895882</v>
      </c>
      <c r="D84" s="15">
        <f>IF(578.8395="","-",578.8395/666821.53755*100)</f>
        <v>8.6805759473027988E-2</v>
      </c>
      <c r="E84" s="15">
        <f>IF(80.46226="","-",80.46226/687466.43149*100)</f>
        <v>1.1704172933303496E-2</v>
      </c>
      <c r="F84" s="15">
        <f>IF(OR(425472.26165="",7.598="",578.8395=""),"-",(578.8395-7.598)/425472.26165*100)</f>
        <v>0.13426057383499002</v>
      </c>
      <c r="G84" s="15">
        <f>IF(OR(666821.53755="",80.46226="",578.8395=""),"-",(80.46226-578.8395)/666821.53755*100)</f>
        <v>-7.4739223605630817E-2</v>
      </c>
    </row>
    <row r="85" spans="1:7" x14ac:dyDescent="0.3">
      <c r="A85" s="28" t="s">
        <v>201</v>
      </c>
      <c r="B85" s="10">
        <v>74.449600000000004</v>
      </c>
      <c r="C85" s="10">
        <f>IF(OR(215.7053="",74.4496=""),"-",74.4496/215.7053*100)</f>
        <v>34.514497325749531</v>
      </c>
      <c r="D85" s="15">
        <f>IF(215.7053="","-",215.7053/666821.53755*100)</f>
        <v>3.2348280289885782E-2</v>
      </c>
      <c r="E85" s="15">
        <f>IF(74.4496="","-",74.4496/687466.43149*100)</f>
        <v>1.0829561501445173E-2</v>
      </c>
      <c r="F85" s="15">
        <f>IF(OR(425472.26165="",4.91339="",215.7053=""),"-",(215.7053-4.91339)/425472.26165*100)</f>
        <v>4.9543044047698846E-2</v>
      </c>
      <c r="G85" s="15">
        <f>IF(OR(666821.53755="",74.4496="",215.7053=""),"-",(74.4496-215.7053)/666821.53755*100)</f>
        <v>-2.1183433954307194E-2</v>
      </c>
    </row>
    <row r="86" spans="1:7" x14ac:dyDescent="0.3">
      <c r="A86" s="28" t="s">
        <v>94</v>
      </c>
      <c r="B86" s="10">
        <v>72.453689999999995</v>
      </c>
      <c r="C86" s="10" t="s">
        <v>99</v>
      </c>
      <c r="D86" s="15">
        <f>IF(43.30548="","-",43.30548/666821.53755*100)</f>
        <v>6.494313329936924E-3</v>
      </c>
      <c r="E86" s="15">
        <f>IF(72.45369="","-",72.45369/687466.43149*100)</f>
        <v>1.0539233143786443E-2</v>
      </c>
      <c r="F86" s="15">
        <f>IF(OR(425472.26165="",15.07536="",43.30548=""),"-",(43.30548-15.07536)/425472.26165*100)</f>
        <v>6.6350083294554538E-3</v>
      </c>
      <c r="G86" s="15">
        <f>IF(OR(666821.53755="",72.45369="",43.30548=""),"-",(72.45369-43.30548)/666821.53755*100)</f>
        <v>4.3712160388662286E-3</v>
      </c>
    </row>
    <row r="87" spans="1:7" x14ac:dyDescent="0.3">
      <c r="A87" s="28" t="s">
        <v>59</v>
      </c>
      <c r="B87" s="10">
        <v>67.144810000000007</v>
      </c>
      <c r="C87" s="10" t="s">
        <v>310</v>
      </c>
      <c r="D87" s="15">
        <f>IF(26.39739="","-",26.39739/666821.53755*100)</f>
        <v>3.9586888715364352E-3</v>
      </c>
      <c r="E87" s="15">
        <f>IF(67.14481="","-",67.14481/687466.43149*100)</f>
        <v>9.7669947104867053E-3</v>
      </c>
      <c r="F87" s="15" t="str">
        <f>IF(OR(425472.26165="",""="",26.39739=""),"-",(26.39739-"")/425472.26165*100)</f>
        <v>-</v>
      </c>
      <c r="G87" s="15">
        <f>IF(OR(666821.53755="",67.14481="",26.39739=""),"-",(67.14481-26.39739)/666821.53755*100)</f>
        <v>6.1106934472620654E-3</v>
      </c>
    </row>
    <row r="88" spans="1:7" x14ac:dyDescent="0.3">
      <c r="A88" s="28" t="s">
        <v>34</v>
      </c>
      <c r="B88" s="10">
        <v>66.679270000000002</v>
      </c>
      <c r="C88" s="10">
        <f>IF(OR(1120.35149="",66.67927=""),"-",66.67927/1120.35149*100)</f>
        <v>5.9516384451811639</v>
      </c>
      <c r="D88" s="15">
        <f>IF(1120.35149="","-",1120.35149/666821.53755*100)</f>
        <v>0.16801369285646284</v>
      </c>
      <c r="E88" s="15">
        <f>IF(66.67927="","-",66.67927/687466.43149*100)</f>
        <v>9.6992764949236556E-3</v>
      </c>
      <c r="F88" s="15">
        <f>IF(OR(425472.26165="",203.14975="",1120.35149=""),"-",(1120.35149-203.14975)/425472.26165*100)</f>
        <v>0.21557262897540058</v>
      </c>
      <c r="G88" s="15">
        <f>IF(OR(666821.53755="",66.67927="",1120.35149=""),"-",(66.67927-1120.35149)/666821.53755*100)</f>
        <v>-0.15801412531924897</v>
      </c>
    </row>
    <row r="89" spans="1:7" x14ac:dyDescent="0.3">
      <c r="A89" s="28" t="s">
        <v>88</v>
      </c>
      <c r="B89" s="10">
        <v>66.352189999999993</v>
      </c>
      <c r="C89" s="10" t="s">
        <v>381</v>
      </c>
      <c r="D89" s="15">
        <f>IF(1.35="","-",1.35/666821.53755*100)</f>
        <v>2.0245296889481073E-4</v>
      </c>
      <c r="E89" s="15">
        <f>IF(66.35219="","-",66.35219/687466.43149*100)</f>
        <v>9.6516988991287439E-3</v>
      </c>
      <c r="F89" s="15" t="str">
        <f>IF(OR(425472.26165="",""="",1.35=""),"-",(1.35-"")/425472.26165*100)</f>
        <v>-</v>
      </c>
      <c r="G89" s="15">
        <f>IF(OR(666821.53755="",66.35219="",1.35=""),"-",(66.35219-1.35)/666821.53755*100)</f>
        <v>9.7480639630848701E-3</v>
      </c>
    </row>
    <row r="90" spans="1:7" x14ac:dyDescent="0.3">
      <c r="A90" s="28" t="s">
        <v>130</v>
      </c>
      <c r="B90" s="10">
        <v>66.072519999999997</v>
      </c>
      <c r="C90" s="10">
        <f>IF(OR(51.91357="",66.07252=""),"-",66.07252/51.91357*100)</f>
        <v>127.27408267241107</v>
      </c>
      <c r="D90" s="15">
        <f>IF(51.91357="","-",51.91357/666821.53755*100)</f>
        <v>7.7852269425396879E-3</v>
      </c>
      <c r="E90" s="15">
        <f>IF(66.07252="","-",66.07252/687466.43149*100)</f>
        <v>9.6110176400607417E-3</v>
      </c>
      <c r="F90" s="15">
        <f>IF(OR(425472.26165="",128.05066="",51.91357=""),"-",(51.91357-128.05066)/425472.26165*100)</f>
        <v>-1.7894724724177562E-2</v>
      </c>
      <c r="G90" s="15">
        <f>IF(OR(666821.53755="",66.07252="",51.91357=""),"-",(66.07252-51.91357)/666821.53755*100)</f>
        <v>2.123349232543096E-3</v>
      </c>
    </row>
    <row r="91" spans="1:7" x14ac:dyDescent="0.3">
      <c r="A91" s="28" t="s">
        <v>317</v>
      </c>
      <c r="B91" s="10">
        <v>58.412739999999999</v>
      </c>
      <c r="C91" s="10" t="s">
        <v>308</v>
      </c>
      <c r="D91" s="15">
        <f>IF(22.04356="","-",22.04356/666821.53755*100)</f>
        <v>3.3057660496376984E-3</v>
      </c>
      <c r="E91" s="15">
        <f>IF(58.41274="","-",58.41274/687466.43149*100)</f>
        <v>8.4968134187144925E-3</v>
      </c>
      <c r="F91" s="15">
        <f>IF(OR(425472.26165="",7.24607="",22.04356=""),"-",(22.04356-7.24607)/425472.26165*100)</f>
        <v>3.4778976995150489E-3</v>
      </c>
      <c r="G91" s="15">
        <f>IF(OR(666821.53755="",58.41274="",22.04356=""),"-",(58.41274-22.04356)/666821.53755*100)</f>
        <v>5.4541099757553866E-3</v>
      </c>
    </row>
    <row r="92" spans="1:7" x14ac:dyDescent="0.3">
      <c r="A92" s="28" t="s">
        <v>80</v>
      </c>
      <c r="B92" s="10">
        <v>58.173369999999998</v>
      </c>
      <c r="C92" s="10">
        <f>IF(OR(77.86474="",58.17337=""),"-",58.17337/77.86474*100)</f>
        <v>74.710799779206866</v>
      </c>
      <c r="D92" s="15">
        <f>IF(77.86474="","-",77.86474/666821.53755*100)</f>
        <v>1.167699835942409E-2</v>
      </c>
      <c r="E92" s="15">
        <f>IF(58.17337="","-",58.17337/687466.43149*100)</f>
        <v>8.4619942640568324E-3</v>
      </c>
      <c r="F92" s="15">
        <f>IF(OR(425472.26165="",174.99936="",77.86474=""),"-",(77.86474-174.99936)/425472.26165*100)</f>
        <v>-2.2829836103370804E-2</v>
      </c>
      <c r="G92" s="15">
        <f>IF(OR(666821.53755="",58.17337="",77.86474=""),"-",(58.17337-77.86474)/666821.53755*100)</f>
        <v>-2.9530194948934876E-3</v>
      </c>
    </row>
    <row r="93" spans="1:7" x14ac:dyDescent="0.3">
      <c r="A93" s="28" t="s">
        <v>302</v>
      </c>
      <c r="B93" s="10">
        <v>54.757210000000001</v>
      </c>
      <c r="C93" s="10" t="s">
        <v>382</v>
      </c>
      <c r="D93" s="15">
        <f>IF(1.98484="","-",1.98484/666821.53755*100)</f>
        <v>2.9765685243050079E-4</v>
      </c>
      <c r="E93" s="15">
        <f>IF(54.75721="","-",54.75721/687466.43149*100)</f>
        <v>7.9650740009690954E-3</v>
      </c>
      <c r="F93" s="15">
        <f>IF(OR(425472.26165="",141.80054="",1.98484=""),"-",(1.98484-141.80054)/425472.26165*100)</f>
        <v>-3.2861296164828378E-2</v>
      </c>
      <c r="G93" s="15">
        <f>IF(OR(666821.53755="",54.75721="",1.98484=""),"-",(54.75721-1.98484)/666821.53755*100)</f>
        <v>7.914017023789216E-3</v>
      </c>
    </row>
    <row r="94" spans="1:7" x14ac:dyDescent="0.3">
      <c r="A94" s="29" t="s">
        <v>37</v>
      </c>
      <c r="B94" s="69">
        <v>51.581890000000001</v>
      </c>
      <c r="C94" s="69" t="s">
        <v>326</v>
      </c>
      <c r="D94" s="19">
        <f>IF(14.01813="","-",14.01813/666821.53755*100)</f>
        <v>2.1022311384099354E-3</v>
      </c>
      <c r="E94" s="19">
        <f>IF(51.58189="","-",51.58189/687466.43149*100)</f>
        <v>7.5031867211614277E-3</v>
      </c>
      <c r="F94" s="19">
        <f>IF(OR(425472.26165="",348.49048="",14.01813=""),"-",(14.01813-348.49048)/425472.26165*100)</f>
        <v>-7.8612022486002173E-2</v>
      </c>
      <c r="G94" s="19">
        <f>IF(OR(666821.53755="",51.58189="",14.01813=""),"-",(51.58189-14.01813)/666821.53755*100)</f>
        <v>5.6332553591497301E-3</v>
      </c>
    </row>
    <row r="95" spans="1:7" x14ac:dyDescent="0.3">
      <c r="A95" s="20" t="s">
        <v>278</v>
      </c>
      <c r="B95" s="21"/>
      <c r="C95" s="41"/>
      <c r="D95" s="21"/>
      <c r="E95" s="21"/>
    </row>
    <row r="96" spans="1:7" x14ac:dyDescent="0.3">
      <c r="A96" s="77" t="s">
        <v>331</v>
      </c>
      <c r="B96" s="77"/>
      <c r="C96" s="77"/>
      <c r="D96" s="77"/>
      <c r="E96" s="77"/>
    </row>
  </sheetData>
  <mergeCells count="7">
    <mergeCell ref="A96:E96"/>
    <mergeCell ref="A1:G1"/>
    <mergeCell ref="A3:A4"/>
    <mergeCell ref="B3:C3"/>
    <mergeCell ref="D3:E3"/>
    <mergeCell ref="F3:G3"/>
    <mergeCell ref="A2:G2"/>
  </mergeCells>
  <phoneticPr fontId="6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N106"/>
  <sheetViews>
    <sheetView zoomScaleNormal="100" workbookViewId="0">
      <selection sqref="A1:G1"/>
    </sheetView>
  </sheetViews>
  <sheetFormatPr defaultRowHeight="15.6" x14ac:dyDescent="0.3"/>
  <cols>
    <col min="1" max="1" width="30.5" customWidth="1"/>
    <col min="2" max="2" width="11.69921875" customWidth="1"/>
    <col min="3" max="3" width="10.19921875" customWidth="1"/>
    <col min="4" max="5" width="8.8984375" customWidth="1"/>
    <col min="6" max="6" width="9.59765625" customWidth="1"/>
    <col min="7" max="7" width="10.09765625" customWidth="1"/>
    <col min="9" max="9" width="10.19921875" bestFit="1" customWidth="1"/>
  </cols>
  <sheetData>
    <row r="1" spans="1:14" ht="16.2" x14ac:dyDescent="0.35">
      <c r="A1" s="88" t="s">
        <v>288</v>
      </c>
      <c r="B1" s="88"/>
      <c r="C1" s="88"/>
      <c r="D1" s="88"/>
      <c r="E1" s="88"/>
      <c r="F1" s="88"/>
      <c r="G1" s="88"/>
    </row>
    <row r="2" spans="1:14" ht="16.2" x14ac:dyDescent="0.35">
      <c r="A2" s="89"/>
      <c r="B2" s="89"/>
      <c r="C2" s="89"/>
      <c r="D2" s="89"/>
      <c r="E2" s="89"/>
      <c r="F2" s="89"/>
      <c r="G2" s="89"/>
    </row>
    <row r="3" spans="1:14" ht="54" customHeight="1" x14ac:dyDescent="0.3">
      <c r="A3" s="79"/>
      <c r="B3" s="81" t="s">
        <v>339</v>
      </c>
      <c r="C3" s="82"/>
      <c r="D3" s="83" t="s">
        <v>104</v>
      </c>
      <c r="E3" s="84"/>
      <c r="F3" s="85" t="s">
        <v>113</v>
      </c>
      <c r="G3" s="86"/>
    </row>
    <row r="4" spans="1:14" ht="50.25" customHeight="1" x14ac:dyDescent="0.3">
      <c r="A4" s="80"/>
      <c r="B4" s="45" t="s">
        <v>95</v>
      </c>
      <c r="C4" s="44" t="s">
        <v>336</v>
      </c>
      <c r="D4" s="45" t="s">
        <v>335</v>
      </c>
      <c r="E4" s="45" t="s">
        <v>334</v>
      </c>
      <c r="F4" s="45" t="s">
        <v>337</v>
      </c>
      <c r="G4" s="43" t="s">
        <v>338</v>
      </c>
    </row>
    <row r="5" spans="1:14" s="39" customFormat="1" ht="13.8" x14ac:dyDescent="0.25">
      <c r="A5" s="55" t="s">
        <v>116</v>
      </c>
      <c r="B5" s="61">
        <v>1485793.22823</v>
      </c>
      <c r="C5" s="61">
        <f>IF(1290763.45346="","-",1485793.22823/1290763.45346*100)</f>
        <v>115.10964493511233</v>
      </c>
      <c r="D5" s="57">
        <v>100</v>
      </c>
      <c r="E5" s="57">
        <v>100</v>
      </c>
      <c r="F5" s="57">
        <f>IF(920807.43432="","-",(1290763.45346-920807.43432)/920807.43432*100)</f>
        <v>40.177349286195323</v>
      </c>
      <c r="G5" s="57">
        <f>IF(1290763.45346="","-",(1485793.22823-1290763.45346)/1290763.45346*100)</f>
        <v>15.109644935112341</v>
      </c>
      <c r="I5" s="68"/>
      <c r="J5" s="68"/>
      <c r="K5" s="68"/>
      <c r="L5" s="68"/>
      <c r="M5" s="68"/>
      <c r="N5" s="68"/>
    </row>
    <row r="6" spans="1:14" s="1" customFormat="1" ht="13.8" x14ac:dyDescent="0.25">
      <c r="A6" s="18" t="s">
        <v>119</v>
      </c>
      <c r="B6" s="40"/>
      <c r="C6" s="40"/>
      <c r="D6" s="26"/>
      <c r="E6" s="26"/>
      <c r="F6" s="26"/>
      <c r="G6" s="26"/>
    </row>
    <row r="7" spans="1:14" ht="16.5" customHeight="1" x14ac:dyDescent="0.3">
      <c r="A7" s="27" t="s">
        <v>131</v>
      </c>
      <c r="B7" s="9">
        <v>716213.00815000001</v>
      </c>
      <c r="C7" s="9">
        <f>IF(538654.2613="","-",716213.00815/538654.2613*100)</f>
        <v>132.96339778719579</v>
      </c>
      <c r="D7" s="17">
        <f>IF(538654.2613="","-",538654.2613/1290763.45346*100)</f>
        <v>41.731446598994722</v>
      </c>
      <c r="E7" s="17">
        <f>IF(716213.00815="","-",716213.00815/1485793.22823*100)</f>
        <v>48.204083484968649</v>
      </c>
      <c r="F7" s="17">
        <f>IF(920807.43432="","-",(538654.2613-425706.32959)/920807.43432*100)</f>
        <v>12.266183731825546</v>
      </c>
      <c r="G7" s="17">
        <f>IF(1290763.45346="","-",(716213.00815-538654.2613)/1290763.45346*100)</f>
        <v>13.756102744777818</v>
      </c>
    </row>
    <row r="8" spans="1:14" x14ac:dyDescent="0.3">
      <c r="A8" s="28" t="s">
        <v>2</v>
      </c>
      <c r="B8" s="10">
        <v>246457.28072000001</v>
      </c>
      <c r="C8" s="10">
        <f>IF(OR(169476.93199="",246457.28072=""),"-",246457.28072/169476.93199*100)</f>
        <v>145.42231666935191</v>
      </c>
      <c r="D8" s="15">
        <f>IF(169476.93199="","-",169476.93199/1290763.45346*100)</f>
        <v>13.129976025870802</v>
      </c>
      <c r="E8" s="15">
        <f>IF(246457.28072="","-",246457.28072/1485793.22823*100)</f>
        <v>16.587589446318876</v>
      </c>
      <c r="F8" s="15">
        <f>IF(OR(920807.43432="",115956.42711="",169476.93199=""),"-",(169476.93199-115956.42711)/920807.43432*100)</f>
        <v>5.8123450012677136</v>
      </c>
      <c r="G8" s="15">
        <f>IF(OR(1290763.45346="",246457.28072="",169476.93199=""),"-",(246457.28072-169476.93199)/1290763.45346*100)</f>
        <v>5.9639392890810239</v>
      </c>
    </row>
    <row r="9" spans="1:14" s="2" customFormat="1" x14ac:dyDescent="0.3">
      <c r="A9" s="28" t="s">
        <v>4</v>
      </c>
      <c r="B9" s="70">
        <v>84741.92121</v>
      </c>
      <c r="C9" s="10">
        <f>IF(OR(85284.1953="",84741.92121=""),"-",84741.92121/85284.1953*100)</f>
        <v>99.364156408942506</v>
      </c>
      <c r="D9" s="15">
        <f>IF(85284.1953="","-",85284.1953/1290763.45346*100)</f>
        <v>6.6072675881385194</v>
      </c>
      <c r="E9" s="15">
        <f>IF(84741.92121="","-",84741.92121/1485793.22823*100)</f>
        <v>5.703480107454225</v>
      </c>
      <c r="F9" s="15">
        <f>IF(OR(920807.43432="",72596.52068="",85284.1953=""),"-",(85284.1953-72596.52068)/920807.43432*100)</f>
        <v>1.3778857714555302</v>
      </c>
      <c r="G9" s="15">
        <f>IF(OR(1290763.45346="",84741.92121="",85284.1953=""),"-",(84741.92121-85284.1953)/1290763.45346*100)</f>
        <v>-4.2011887503197815E-2</v>
      </c>
    </row>
    <row r="10" spans="1:14" s="2" customFormat="1" x14ac:dyDescent="0.3">
      <c r="A10" s="28" t="s">
        <v>3</v>
      </c>
      <c r="B10" s="10">
        <v>62644.067150000003</v>
      </c>
      <c r="C10" s="10">
        <f>IF(OR(66509.45703="",62644.06715=""),"-",62644.06715/66509.45703*100)</f>
        <v>94.188210139414508</v>
      </c>
      <c r="D10" s="15">
        <f>IF(66509.45703="","-",66509.45703/1290763.45346*100)</f>
        <v>5.152722356037879</v>
      </c>
      <c r="E10" s="15">
        <f>IF(62644.06715="","-",62644.06715/1485793.22823*100)</f>
        <v>4.2162035712483901</v>
      </c>
      <c r="F10" s="15">
        <f>IF(OR(920807.43432="",57613.10403="",66509.45703=""),"-",(66509.45703-57613.10403)/920807.43432*100)</f>
        <v>0.96614695629274572</v>
      </c>
      <c r="G10" s="15">
        <f>IF(OR(1290763.45346="",62644.06715="",66509.45703=""),"-",(62644.06715-66509.45703)/1290763.45346*100)</f>
        <v>-0.29946539543233114</v>
      </c>
    </row>
    <row r="11" spans="1:14" s="2" customFormat="1" x14ac:dyDescent="0.3">
      <c r="A11" s="28" t="s">
        <v>8</v>
      </c>
      <c r="B11" s="70">
        <v>55554.212460000002</v>
      </c>
      <c r="C11" s="10" t="s">
        <v>351</v>
      </c>
      <c r="D11" s="15">
        <f>IF(4532.90542="","-",4532.90542/1290763.45346*100)</f>
        <v>0.35118018005926382</v>
      </c>
      <c r="E11" s="15">
        <f>IF(55554.21246="","-",55554.21246/1485793.22823*100)</f>
        <v>3.7390271677426328</v>
      </c>
      <c r="F11" s="15">
        <f>IF(OR(920807.43432="",3470.04005="",4532.90542=""),"-",(4532.90542-3470.04005)/920807.43432*100)</f>
        <v>0.11542754004640582</v>
      </c>
      <c r="G11" s="15">
        <f>IF(OR(1290763.45346="",55554.21246="",4532.90542=""),"-",(55554.21246-4532.90542)/1290763.45346*100)</f>
        <v>3.9528007167566681</v>
      </c>
    </row>
    <row r="12" spans="1:14" s="2" customFormat="1" x14ac:dyDescent="0.3">
      <c r="A12" s="28" t="s">
        <v>5</v>
      </c>
      <c r="B12" s="10">
        <v>45097.478710000003</v>
      </c>
      <c r="C12" s="10">
        <f>IF(OR(39594.52926="",45097.47871=""),"-",45097.47871/39594.52926*100)</f>
        <v>113.89825703915946</v>
      </c>
      <c r="D12" s="15">
        <f>IF(39594.52926="","-",39594.52926/1290763.45346*100)</f>
        <v>3.0675279156582516</v>
      </c>
      <c r="E12" s="15">
        <f>IF(45097.47871="","-",45097.47871/1485793.22823*100)</f>
        <v>3.0352459449370257</v>
      </c>
      <c r="F12" s="15">
        <f>IF(OR(920807.43432="",36876.75672="",39594.52926=""),"-",(39594.52926-36876.75672)/920807.43432*100)</f>
        <v>0.29515102058304216</v>
      </c>
      <c r="G12" s="15">
        <f>IF(OR(1290763.45346="",45097.47871="",39594.52926=""),"-",(45097.47871-39594.52926)/1290763.45346*100)</f>
        <v>0.42633291446615418</v>
      </c>
    </row>
    <row r="13" spans="1:14" s="2" customFormat="1" x14ac:dyDescent="0.3">
      <c r="A13" s="28" t="s">
        <v>40</v>
      </c>
      <c r="B13" s="10">
        <v>36854.587059999998</v>
      </c>
      <c r="C13" s="10">
        <f>IF(OR(30589.549="",36854.58706=""),"-",36854.58706/30589.549*100)</f>
        <v>120.48097557763928</v>
      </c>
      <c r="D13" s="15">
        <f>IF(30589.549="","-",30589.549/1290763.45346*100)</f>
        <v>2.369880315250803</v>
      </c>
      <c r="E13" s="15">
        <f>IF(36854.58706="","-",36854.58706/1485793.22823*100)</f>
        <v>2.4804654079561419</v>
      </c>
      <c r="F13" s="15">
        <f>IF(OR(920807.43432="",20112.68599="",30589.549=""),"-",(30589.549-20112.68599)/920807.43432*100)</f>
        <v>1.1377908799940322</v>
      </c>
      <c r="G13" s="15">
        <f>IF(OR(1290763.45346="",36854.58706="",30589.549=""),"-",(36854.58706-30589.549)/1290763.45346*100)</f>
        <v>0.48537460858579762</v>
      </c>
    </row>
    <row r="14" spans="1:14" s="2" customFormat="1" x14ac:dyDescent="0.3">
      <c r="A14" s="28" t="s">
        <v>290</v>
      </c>
      <c r="B14" s="10">
        <v>36555.388209999997</v>
      </c>
      <c r="C14" s="10">
        <f>IF(OR(31958.21513="",36555.38821=""),"-",36555.38821/31958.21513*100)</f>
        <v>114.38494941378785</v>
      </c>
      <c r="D14" s="15">
        <f>IF(31958.21513="","-",31958.21513/1290763.45346*100)</f>
        <v>2.4759157105303311</v>
      </c>
      <c r="E14" s="15">
        <f>IF(36555.38821="","-",36555.38821/1485793.22823*100)</f>
        <v>2.4603280938053409</v>
      </c>
      <c r="F14" s="15">
        <f>IF(OR(920807.43432="",28261.70129="",31958.21513=""),"-",(31958.21513-28261.70129)/920807.43432*100)</f>
        <v>0.40144265806561497</v>
      </c>
      <c r="G14" s="15">
        <f>IF(OR(1290763.45346="",36555.38821="",31958.21513=""),"-",(36555.38821-31958.21513)/1290763.45346*100)</f>
        <v>0.35615922248781434</v>
      </c>
    </row>
    <row r="15" spans="1:14" s="2" customFormat="1" x14ac:dyDescent="0.3">
      <c r="A15" s="28" t="s">
        <v>6</v>
      </c>
      <c r="B15" s="10">
        <v>29966.091509999998</v>
      </c>
      <c r="C15" s="10" t="s">
        <v>313</v>
      </c>
      <c r="D15" s="15">
        <f>IF(12985.24124="","-",12985.24124/1290763.45346*100)</f>
        <v>1.0060124653507945</v>
      </c>
      <c r="E15" s="15">
        <f>IF(29966.09151="","-",29966.09151/1485793.22823*100)</f>
        <v>2.0168413033957688</v>
      </c>
      <c r="F15" s="15">
        <f>IF(OR(920807.43432="",7445.25802="",12985.24124=""),"-",(12985.24124-7445.25802)/920807.43432*100)</f>
        <v>0.6016440586289552</v>
      </c>
      <c r="G15" s="15">
        <f>IF(OR(1290763.45346="",29966.09151="",12985.24124=""),"-",(29966.09151-12985.24124)/1290763.45346*100)</f>
        <v>1.3155663978927665</v>
      </c>
    </row>
    <row r="16" spans="1:14" s="2" customFormat="1" x14ac:dyDescent="0.3">
      <c r="A16" s="28" t="s">
        <v>298</v>
      </c>
      <c r="B16" s="10">
        <v>20795.287189999999</v>
      </c>
      <c r="C16" s="10">
        <f>IF(OR(17587.36378="",20795.28719=""),"-",20795.28719/17587.36378*100)</f>
        <v>118.23993322778703</v>
      </c>
      <c r="D16" s="15">
        <f>IF(17587.36378="","-",17587.36378/1290763.45346*100)</f>
        <v>1.3625551399720524</v>
      </c>
      <c r="E16" s="15">
        <f>IF(20795.28719="","-",20795.28719/1485793.22823*100)</f>
        <v>1.3996084243009419</v>
      </c>
      <c r="F16" s="15">
        <f>IF(OR(920807.43432="",16943.69792="",17587.36378=""),"-",(17587.36378-16943.69792)/920807.43432*100)</f>
        <v>6.990233093364813E-2</v>
      </c>
      <c r="G16" s="15">
        <f>IF(OR(1290763.45346="",20795.28719="",17587.36378=""),"-",(20795.28719-17587.36378)/1290763.45346*100)</f>
        <v>0.24852914772268234</v>
      </c>
    </row>
    <row r="17" spans="1:7" s="2" customFormat="1" x14ac:dyDescent="0.3">
      <c r="A17" s="28" t="s">
        <v>38</v>
      </c>
      <c r="B17" s="10">
        <v>18019.826799999999</v>
      </c>
      <c r="C17" s="10">
        <f>IF(OR(18158.14858="",18019.8268=""),"-",18019.8268/18158.14858*100)</f>
        <v>99.238238527509608</v>
      </c>
      <c r="D17" s="15">
        <f>IF(18158.14858="","-",18158.14858/1290763.45346*100)</f>
        <v>1.406775852796696</v>
      </c>
      <c r="E17" s="15">
        <f>IF(18019.8268="","-",18019.8268/1485793.22823*100)</f>
        <v>1.212808515856995</v>
      </c>
      <c r="F17" s="15">
        <f>IF(OR(920807.43432="",12461.68483="",18158.14858=""),"-",(18158.14858-12461.68483)/920807.43432*100)</f>
        <v>0.6186378973152773</v>
      </c>
      <c r="G17" s="15">
        <f>IF(OR(1290763.45346="",18019.8268="",18158.14858=""),"-",(18019.8268-18158.14858)/1290763.45346*100)</f>
        <v>-1.0716276450903447E-2</v>
      </c>
    </row>
    <row r="18" spans="1:7" s="2" customFormat="1" x14ac:dyDescent="0.3">
      <c r="A18" s="28" t="s">
        <v>7</v>
      </c>
      <c r="B18" s="70">
        <v>16087.151180000001</v>
      </c>
      <c r="C18" s="10">
        <f>IF(OR(12223.27556="",16087.15118=""),"-",16087.15118/12223.27556*100)</f>
        <v>131.6108035119843</v>
      </c>
      <c r="D18" s="15">
        <f>IF(12223.27556="","-",12223.27556/1290763.45346*100)</f>
        <v>0.94698029505208581</v>
      </c>
      <c r="E18" s="15">
        <f>IF(16087.15118="","-",16087.15118/1485793.22823*100)</f>
        <v>1.0827314914582258</v>
      </c>
      <c r="F18" s="15">
        <f>IF(OR(920807.43432="",12142.49875="",12223.27556=""),"-",(12223.27556-12142.49875)/920807.43432*100)</f>
        <v>8.7723889913694751E-3</v>
      </c>
      <c r="G18" s="15">
        <f>IF(OR(1290763.45346="",16087.15118="",12223.27556=""),"-",(16087.15118-12223.27556)/1290763.45346*100)</f>
        <v>0.2993480803661242</v>
      </c>
    </row>
    <row r="19" spans="1:7" s="2" customFormat="1" ht="15.75" customHeight="1" x14ac:dyDescent="0.3">
      <c r="A19" s="28" t="s">
        <v>304</v>
      </c>
      <c r="B19" s="10">
        <v>13482.591329999999</v>
      </c>
      <c r="C19" s="10">
        <f>IF(OR(11791.39881="",13482.59133=""),"-",13482.59133/11791.39881*100)</f>
        <v>114.34259452377897</v>
      </c>
      <c r="D19" s="15">
        <f>IF(11791.39881="","-",11791.39881/1290763.45346*100)</f>
        <v>0.91352127908426328</v>
      </c>
      <c r="E19" s="15">
        <f>IF(13482.59133="","-",13482.59133/1485793.22823*100)</f>
        <v>0.90743389280765385</v>
      </c>
      <c r="F19" s="15">
        <f>IF(OR(920807.43432="",8921.10899="",11791.39881=""),"-",(11791.39881-8921.10899)/920807.43432*100)</f>
        <v>0.31171444897375944</v>
      </c>
      <c r="G19" s="15">
        <f>IF(OR(1290763.45346="",13482.59133="",11791.39881=""),"-",(13482.59133-11791.39881)/1290763.45346*100)</f>
        <v>0.13102265294749513</v>
      </c>
    </row>
    <row r="20" spans="1:7" s="2" customFormat="1" x14ac:dyDescent="0.3">
      <c r="A20" s="28" t="s">
        <v>42</v>
      </c>
      <c r="B20" s="70">
        <v>12907.279350000001</v>
      </c>
      <c r="C20" s="10" t="s">
        <v>195</v>
      </c>
      <c r="D20" s="15">
        <f>IF(5787.64853="","-",5787.64853/1290763.45346*100)</f>
        <v>0.44838955693126586</v>
      </c>
      <c r="E20" s="15">
        <f>IF(12907.27935="","-",12907.27935/1485793.22823*100)</f>
        <v>0.86871302848621956</v>
      </c>
      <c r="F20" s="15">
        <f>IF(OR(920807.43432="",4594.81391="",5787.64853=""),"-",(5787.64853-4594.81391)/920807.43432*100)</f>
        <v>0.12954224472360912</v>
      </c>
      <c r="G20" s="15">
        <f>IF(OR(1290763.45346="",12907.27935="",5787.64853=""),"-",(12907.27935-5787.64853)/1290763.45346*100)</f>
        <v>0.5515829256642828</v>
      </c>
    </row>
    <row r="21" spans="1:7" s="2" customFormat="1" x14ac:dyDescent="0.3">
      <c r="A21" s="28" t="s">
        <v>39</v>
      </c>
      <c r="B21" s="10">
        <v>9036.9789299999993</v>
      </c>
      <c r="C21" s="10">
        <f>IF(OR(6380.14349="",9036.97893=""),"-",9036.97893/6380.14349*100)</f>
        <v>141.64225215567993</v>
      </c>
      <c r="D21" s="15">
        <f>IF(6380.14349="","-",6380.14349/1290763.45346*100)</f>
        <v>0.49429223246889187</v>
      </c>
      <c r="E21" s="15">
        <f>IF(9036.97893="","-",9036.97893/1485793.22823*100)</f>
        <v>0.60822587950313911</v>
      </c>
      <c r="F21" s="15">
        <f>IF(OR(920807.43432="",5813.85992="",6380.14349=""),"-",(6380.14349-5813.85992)/920807.43432*100)</f>
        <v>6.1498587966787095E-2</v>
      </c>
      <c r="G21" s="15">
        <f>IF(OR(1290763.45346="",9036.97893="",6380.14349=""),"-",(9036.97893-6380.14349)/1290763.45346*100)</f>
        <v>0.20583441783063569</v>
      </c>
    </row>
    <row r="22" spans="1:7" s="2" customFormat="1" x14ac:dyDescent="0.3">
      <c r="A22" s="28" t="s">
        <v>49</v>
      </c>
      <c r="B22" s="10">
        <v>4904.7321599999996</v>
      </c>
      <c r="C22" s="10">
        <f>IF(OR(3608.43309="",4904.73216=""),"-",4904.73216/3608.43309*100)</f>
        <v>135.92415427051745</v>
      </c>
      <c r="D22" s="15">
        <f>IF(3608.43309="","-",3608.43309/1290763.45346*100)</f>
        <v>0.27955804607941848</v>
      </c>
      <c r="E22" s="15">
        <f>IF(4904.73216="","-",4904.73216/1485793.22823*100)</f>
        <v>0.33010866295594327</v>
      </c>
      <c r="F22" s="15">
        <f>IF(OR(920807.43432="",4225.23065="",3608.43309=""),"-",(3608.43309-4225.23065)/920807.43432*100)</f>
        <v>-6.6984424431313874E-2</v>
      </c>
      <c r="G22" s="15">
        <f>IF(OR(1290763.45346="",4904.73216="",3608.43309=""),"-",(4904.73216-3608.43309)/1290763.45346*100)</f>
        <v>0.10042886374921453</v>
      </c>
    </row>
    <row r="23" spans="1:7" s="2" customFormat="1" x14ac:dyDescent="0.3">
      <c r="A23" s="28" t="s">
        <v>50</v>
      </c>
      <c r="B23" s="10">
        <v>4879.5585099999998</v>
      </c>
      <c r="C23" s="10">
        <f>IF(OR(4723.1888="",4879.55851=""),"-",4879.55851/4723.1888*100)</f>
        <v>103.31068091116747</v>
      </c>
      <c r="D23" s="15">
        <f>IF(4723.1888="","-",4723.1888/1290763.45346*100)</f>
        <v>0.36592210504094264</v>
      </c>
      <c r="E23" s="15">
        <f>IF(4879.55851="","-",4879.55851/1485793.22823*100)</f>
        <v>0.32841437269255386</v>
      </c>
      <c r="F23" s="15">
        <f>IF(OR(920807.43432="",4371.46385="",4723.1888=""),"-",(4723.1888-4371.46385)/920807.43432*100)</f>
        <v>3.8197448987772616E-2</v>
      </c>
      <c r="G23" s="15">
        <f>IF(OR(1290763.45346="",4879.55851="",4723.1888=""),"-",(4879.55851-4723.1888)/1290763.45346*100)</f>
        <v>1.2114513281332671E-2</v>
      </c>
    </row>
    <row r="24" spans="1:7" s="2" customFormat="1" x14ac:dyDescent="0.3">
      <c r="A24" s="49" t="s">
        <v>48</v>
      </c>
      <c r="B24" s="70">
        <v>4806.0251200000002</v>
      </c>
      <c r="C24" s="10">
        <f>IF(OR(4292.72307="",4806.02512=""),"-",4806.02512/4292.72307*100)</f>
        <v>111.95749275296252</v>
      </c>
      <c r="D24" s="15">
        <f>IF(4292.72307="","-",4292.72307/1290763.45346*100)</f>
        <v>0.33257240577218039</v>
      </c>
      <c r="E24" s="15">
        <f>IF(4806.02512="","-",4806.02512/1485793.22823*100)</f>
        <v>0.32346527287147053</v>
      </c>
      <c r="F24" s="15">
        <f>IF(OR(920807.43432="",3156.62606="",4292.72307=""),"-",(4292.72307-3156.62606)/920807.43432*100)</f>
        <v>0.12338052101403672</v>
      </c>
      <c r="G24" s="15">
        <f>IF(OR(1290763.45346="",4806.02512="",4292.72307=""),"-",(4806.02512-4292.72307)/1290763.45346*100)</f>
        <v>3.9767321318561581E-2</v>
      </c>
    </row>
    <row r="25" spans="1:7" s="2" customFormat="1" x14ac:dyDescent="0.3">
      <c r="A25" s="28" t="s">
        <v>43</v>
      </c>
      <c r="B25" s="10">
        <v>3458.5788699999998</v>
      </c>
      <c r="C25" s="10">
        <f>IF(OR(2406.85085="",3458.57887=""),"-",3458.57887/2406.85085*100)</f>
        <v>143.69726607695696</v>
      </c>
      <c r="D25" s="15">
        <f>IF(2406.85085="","-",2406.85085/1290763.45346*100)</f>
        <v>0.18646722941746094</v>
      </c>
      <c r="E25" s="15">
        <f>IF(3458.57887="","-",3458.57887/1485793.22823*100)</f>
        <v>0.23277659396254927</v>
      </c>
      <c r="F25" s="15">
        <f>IF(OR(920807.43432="",2034.93947="",2406.85085=""),"-",(2406.85085-2034.93947)/920807.43432*100)</f>
        <v>4.0389702139476076E-2</v>
      </c>
      <c r="G25" s="15">
        <f>IF(OR(1290763.45346="",3458.57887="",2406.85085=""),"-",(3458.57887-2406.85085)/1290763.45346*100)</f>
        <v>8.1481081384877654E-2</v>
      </c>
    </row>
    <row r="26" spans="1:7" s="2" customFormat="1" x14ac:dyDescent="0.3">
      <c r="A26" s="28" t="s">
        <v>46</v>
      </c>
      <c r="B26" s="10">
        <v>2473.3231500000002</v>
      </c>
      <c r="C26" s="10">
        <f>IF(OR(2667.28598="",2473.32315=""),"-",2473.32315/2667.28598*100)</f>
        <v>92.72808272324815</v>
      </c>
      <c r="D26" s="15">
        <f>IF(2667.28598="","-",2667.28598/1290763.45346*100)</f>
        <v>0.20664405804565628</v>
      </c>
      <c r="E26" s="15">
        <f>IF(2473.32315="","-",2473.32315/1485793.22823*100)</f>
        <v>0.16646482855130706</v>
      </c>
      <c r="F26" s="15">
        <f>IF(OR(920807.43432="",2398.09431="",2667.28598=""),"-",(2667.28598-2398.09431)/920807.43432*100)</f>
        <v>2.9234306758045829E-2</v>
      </c>
      <c r="G26" s="15">
        <f>IF(OR(1290763.45346="",2473.32315="",2667.28598=""),"-",(2473.32315-2667.28598)/1290763.45346*100)</f>
        <v>-1.5026984958403206E-2</v>
      </c>
    </row>
    <row r="27" spans="1:7" s="2" customFormat="1" x14ac:dyDescent="0.3">
      <c r="A27" s="28" t="s">
        <v>47</v>
      </c>
      <c r="B27" s="10">
        <v>2113.5410299999999</v>
      </c>
      <c r="C27" s="10">
        <f>IF(OR(1748.49787="",2113.54103=""),"-",2113.54103/1748.49787*100)</f>
        <v>120.87752957914671</v>
      </c>
      <c r="D27" s="15">
        <f>IF(1748.49787="","-",1748.49787/1290763.45346*100)</f>
        <v>0.13546230064951129</v>
      </c>
      <c r="E27" s="15">
        <f>IF(2113.54103="","-",2113.54103/1485793.22823*100)</f>
        <v>0.1422500109599924</v>
      </c>
      <c r="F27" s="15">
        <f>IF(OR(920807.43432="",1653.02633="",1748.49787=""),"-",(1748.49787-1653.02633)/920807.43432*100)</f>
        <v>1.0368241658529185E-2</v>
      </c>
      <c r="G27" s="15">
        <f>IF(OR(1290763.45346="",2113.54103="",1748.49787=""),"-",(2113.54103-1748.49787)/1290763.45346*100)</f>
        <v>2.8281181886694349E-2</v>
      </c>
    </row>
    <row r="28" spans="1:7" s="2" customFormat="1" x14ac:dyDescent="0.3">
      <c r="A28" s="28" t="s">
        <v>41</v>
      </c>
      <c r="B28" s="10">
        <v>1920.4591800000001</v>
      </c>
      <c r="C28" s="10">
        <f>IF(OR(3002.33936="",1920.45918=""),"-",1920.45918/3002.33936*100)</f>
        <v>63.965426613199384</v>
      </c>
      <c r="D28" s="15">
        <f>IF(3002.33936="","-",3002.33936/1290763.45346*100)</f>
        <v>0.23260182583818723</v>
      </c>
      <c r="E28" s="15">
        <f>IF(1920.45918="","-",1920.45918/1485793.22823*100)</f>
        <v>0.12925480770213296</v>
      </c>
      <c r="F28" s="15">
        <f>IF(OR(920807.43432="",1207.72125="",3002.33936=""),"-",(3002.33936-1207.72125)/920807.43432*100)</f>
        <v>0.19489613605534079</v>
      </c>
      <c r="G28" s="15">
        <f>IF(OR(1290763.45346="",1920.45918="",3002.33936=""),"-",(1920.45918-3002.33936)/1290763.45346*100)</f>
        <v>-8.3817075630699719E-2</v>
      </c>
    </row>
    <row r="29" spans="1:7" s="2" customFormat="1" x14ac:dyDescent="0.3">
      <c r="A29" s="28" t="s">
        <v>51</v>
      </c>
      <c r="B29" s="10">
        <v>1244.3677299999999</v>
      </c>
      <c r="C29" s="10">
        <f>IF(OR(1374.63428="",1244.36773=""),"-",1244.36773/1374.63428*100)</f>
        <v>90.523548561585415</v>
      </c>
      <c r="D29" s="15">
        <f>IF(1374.63428="","-",1374.63428/1290763.45346*100)</f>
        <v>0.1064977689223519</v>
      </c>
      <c r="E29" s="15">
        <f>IF(1244.36773="","-",1244.36773/1485793.22823*100)</f>
        <v>8.3751070226803628E-2</v>
      </c>
      <c r="F29" s="15">
        <f>IF(OR(920807.43432="",1161.83343="",1374.63428=""),"-",(1374.63428-1161.83343)/920807.43432*100)</f>
        <v>2.3110244560215758E-2</v>
      </c>
      <c r="G29" s="15">
        <f>IF(OR(1290763.45346="",1244.36773="",1374.63428=""),"-",(1244.36773-1374.63428)/1290763.45346*100)</f>
        <v>-1.0092209354921665E-2</v>
      </c>
    </row>
    <row r="30" spans="1:7" s="2" customFormat="1" x14ac:dyDescent="0.3">
      <c r="A30" s="28" t="s">
        <v>291</v>
      </c>
      <c r="B30" s="10">
        <v>944.83054000000004</v>
      </c>
      <c r="C30" s="10">
        <f>IF(OR(879.42584="",944.83054=""),"-",944.83054/879.42584*100)</f>
        <v>107.43720471074627</v>
      </c>
      <c r="D30" s="15">
        <f>IF(879.42584="","-",879.42584/1290763.45346*100)</f>
        <v>6.8132223425029975E-2</v>
      </c>
      <c r="E30" s="15">
        <f>IF(944.83054="","-",944.83054/1485793.22823*100)</f>
        <v>6.3590984401346376E-2</v>
      </c>
      <c r="F30" s="15">
        <f>IF(OR(920807.43432="",960.2826="",879.42584=""),"-",(879.42584-960.2826)/920807.43432*100)</f>
        <v>-8.7810715885141919E-3</v>
      </c>
      <c r="G30" s="15">
        <f>IF(OR(1290763.45346="",944.83054="",879.42584=""),"-",(944.83054-879.42584)/1290763.45346*100)</f>
        <v>5.0671329301025109E-3</v>
      </c>
    </row>
    <row r="31" spans="1:7" s="2" customFormat="1" x14ac:dyDescent="0.3">
      <c r="A31" s="28" t="s">
        <v>44</v>
      </c>
      <c r="B31" s="10">
        <v>842.12923000000001</v>
      </c>
      <c r="C31" s="10" t="s">
        <v>100</v>
      </c>
      <c r="D31" s="15">
        <f>IF(520.6776="","-",520.6776/1290763.45346*100)</f>
        <v>4.0338731206270205E-2</v>
      </c>
      <c r="E31" s="15">
        <f>IF(842.12923="","-",842.12923/1485793.22823*100)</f>
        <v>5.6678763504879756E-2</v>
      </c>
      <c r="F31" s="15">
        <f>IF(OR(920807.43432="",722.98401="",520.6776=""),"-",(520.6776-722.98401)/920807.43432*100)</f>
        <v>-2.1970544813139974E-2</v>
      </c>
      <c r="G31" s="15">
        <f>IF(OR(1290763.45346="",842.12923="",520.6776=""),"-",(842.12923-520.6776)/1290763.45346*100)</f>
        <v>2.4903992217808917E-2</v>
      </c>
    </row>
    <row r="32" spans="1:7" s="2" customFormat="1" x14ac:dyDescent="0.3">
      <c r="A32" s="28" t="s">
        <v>52</v>
      </c>
      <c r="B32" s="10">
        <v>241.29434000000001</v>
      </c>
      <c r="C32" s="10">
        <f>IF(OR(403.68769="",241.29434=""),"-",241.29434/403.68769*100)</f>
        <v>59.772528609926155</v>
      </c>
      <c r="D32" s="15">
        <f>IF(403.68769="","-",403.68769/1290763.45346*100)</f>
        <v>3.1275110007018027E-2</v>
      </c>
      <c r="E32" s="15">
        <f>IF(241.29434="","-",241.29434/1485793.22823*100)</f>
        <v>1.6240102284451101E-2</v>
      </c>
      <c r="F32" s="15">
        <f>IF(OR(920807.43432="",529.27499="",403.68769=""),"-",(403.68769-529.27499)/920807.43432*100)</f>
        <v>-1.3638823419442092E-2</v>
      </c>
      <c r="G32" s="15">
        <f>IF(OR(1290763.45346="",241.29434="",403.68769=""),"-",(241.29434-403.68769)/1290763.45346*100)</f>
        <v>-1.25811859302873E-2</v>
      </c>
    </row>
    <row r="33" spans="1:7" s="2" customFormat="1" x14ac:dyDescent="0.3">
      <c r="A33" s="28" t="s">
        <v>45</v>
      </c>
      <c r="B33" s="10">
        <v>179.33806000000001</v>
      </c>
      <c r="C33" s="10">
        <f>IF(OR(155.64969="",179.33806=""),"-",179.33806/155.64969*100)</f>
        <v>115.21902806231097</v>
      </c>
      <c r="D33" s="15">
        <f>IF(155.64969="","-",155.64969/1290763.45346*100)</f>
        <v>1.2058730790894949E-2</v>
      </c>
      <c r="E33" s="15">
        <f>IF(179.33806="","-",179.33806/1485793.22823*100)</f>
        <v>1.2070189619429237E-2</v>
      </c>
      <c r="F33" s="15">
        <f>IF(OR(920807.43432="",69.52046="",155.64969=""),"-",(155.64969-69.52046)/920807.43432*100)</f>
        <v>9.3536636206249697E-3</v>
      </c>
      <c r="G33" s="15">
        <f>IF(OR(1290763.45346="",179.33806="",155.64969=""),"-",(179.33806-155.64969)/1290763.45346*100)</f>
        <v>1.8352216230248346E-3</v>
      </c>
    </row>
    <row r="34" spans="1:7" s="2" customFormat="1" x14ac:dyDescent="0.3">
      <c r="A34" s="28" t="s">
        <v>53</v>
      </c>
      <c r="B34" s="10">
        <v>4.6884199999999998</v>
      </c>
      <c r="C34" s="10">
        <f>IF(OR(11.86406="",4.68842=""),"-",4.68842/11.86406*100)</f>
        <v>39.517837907090822</v>
      </c>
      <c r="D34" s="15">
        <f>IF(11.86406="","-",11.86406/1290763.45346*100)</f>
        <v>9.1915059790369724E-4</v>
      </c>
      <c r="E34" s="15">
        <f>IF(4.68842="","-",4.68842/1485793.22823*100)</f>
        <v>3.1554996421576331E-4</v>
      </c>
      <c r="F34" s="15">
        <f>IF(OR(920807.43432="",5.17397="",11.86406=""),"-",(11.86406-5.17397)/920807.43432*100)</f>
        <v>7.265460454215939E-4</v>
      </c>
      <c r="G34" s="15">
        <f>IF(OR(1290763.45346="",4.68842="",11.86406=""),"-",(4.68842-11.86406)/1290763.45346*100)</f>
        <v>-5.5592215450205799E-4</v>
      </c>
    </row>
    <row r="35" spans="1:7" s="2" customFormat="1" x14ac:dyDescent="0.3">
      <c r="A35" s="27" t="s">
        <v>197</v>
      </c>
      <c r="B35" s="9">
        <v>351697.32909000001</v>
      </c>
      <c r="C35" s="9">
        <f>IF(435734.45935="","-",351697.32909/435734.45935*100)</f>
        <v>80.713682735728298</v>
      </c>
      <c r="D35" s="17">
        <f>IF(435734.45935="","-",435734.45935/1290763.45346*100)</f>
        <v>33.757886325490325</v>
      </c>
      <c r="E35" s="17">
        <f>IF(351697.32909="","-",351697.32909/1485793.22823*100)</f>
        <v>23.67067788490132</v>
      </c>
      <c r="F35" s="17">
        <f>IF(920807.43432="","-",(435734.45935-220011.84802)/920807.43432*100)</f>
        <v>23.427548832651134</v>
      </c>
      <c r="G35" s="17">
        <f>IF(1290763.45346="","-",(351697.32909-435734.45935)/1290763.45346*100)</f>
        <v>-6.5106530584462554</v>
      </c>
    </row>
    <row r="36" spans="1:7" s="2" customFormat="1" x14ac:dyDescent="0.3">
      <c r="A36" s="28" t="s">
        <v>10</v>
      </c>
      <c r="B36" s="10">
        <v>188536.47396</v>
      </c>
      <c r="C36" s="10" t="s">
        <v>195</v>
      </c>
      <c r="D36" s="15">
        <f>IF(84783.80603="","-",84783.80603/1290763.45346*100)</f>
        <v>6.5685006654573215</v>
      </c>
      <c r="E36" s="15">
        <f>IF(188536.47396="","-",188536.47396/1485793.22823*100)</f>
        <v>12.689280740941339</v>
      </c>
      <c r="F36" s="15">
        <f>IF(OR(920807.43432="",76137.19614="",84783.80603=""),"-",(84783.80603-76137.19614)/920807.43432*100)</f>
        <v>0.93902476975388194</v>
      </c>
      <c r="G36" s="15">
        <f>IF(OR(1290763.45346="",188536.47396="",84783.80603=""),"-",(188536.47396-84783.80603)/1290763.45346*100)</f>
        <v>8.0380853402598476</v>
      </c>
    </row>
    <row r="37" spans="1:7" s="2" customFormat="1" x14ac:dyDescent="0.3">
      <c r="A37" s="28" t="s">
        <v>292</v>
      </c>
      <c r="B37" s="10">
        <v>110298.74645000001</v>
      </c>
      <c r="C37" s="10">
        <f>IF(OR(314274.95871="",110298.74645=""),"-",110298.74645/314274.95871*100)</f>
        <v>35.096256762785593</v>
      </c>
      <c r="D37" s="15">
        <f>IF(314274.95871="","-",314274.95871/1290763.45346*100)</f>
        <v>24.34799016563101</v>
      </c>
      <c r="E37" s="15">
        <f>IF(110298.74645="","-",110298.74645/1485793.22823*100)</f>
        <v>7.4235596417004137</v>
      </c>
      <c r="F37" s="15">
        <f>IF(OR(920807.43432="",122925.22967="",314274.95871=""),"-",(314274.95871-122925.22967)/920807.43432*100)</f>
        <v>20.780645540867983</v>
      </c>
      <c r="G37" s="15">
        <f>IF(OR(1290763.45346="",110298.74645="",314274.95871=""),"-",(110298.74645-314274.95871)/1290763.45346*100)</f>
        <v>-15.802757020523364</v>
      </c>
    </row>
    <row r="38" spans="1:7" s="2" customFormat="1" x14ac:dyDescent="0.3">
      <c r="A38" s="28" t="s">
        <v>11</v>
      </c>
      <c r="B38" s="10">
        <v>25333.655719999999</v>
      </c>
      <c r="C38" s="10" t="s">
        <v>352</v>
      </c>
      <c r="D38" s="15">
        <f>IF(2713.74738="","-",2713.74738/1290763.45346*100)</f>
        <v>0.21024358667156026</v>
      </c>
      <c r="E38" s="15">
        <f>IF(25333.65572="","-",25333.65572/1485793.22823*100)</f>
        <v>1.705059306952122</v>
      </c>
      <c r="F38" s="15">
        <f>IF(OR(920807.43432="",2089.68546="",2713.74738=""),"-",(2713.74738-2089.68546)/920807.43432*100)</f>
        <v>6.7773336393711706E-2</v>
      </c>
      <c r="G38" s="15">
        <f>IF(OR(1290763.45346="",25333.65572="",2713.74738=""),"-",(25333.65572-2713.74738)/1290763.45346*100)</f>
        <v>1.7524441274941145</v>
      </c>
    </row>
    <row r="39" spans="1:7" s="2" customFormat="1" x14ac:dyDescent="0.3">
      <c r="A39" s="28" t="s">
        <v>9</v>
      </c>
      <c r="B39" s="10">
        <v>14742.765079999999</v>
      </c>
      <c r="C39" s="10">
        <f>IF(OR(23441.63366="",14742.76508=""),"-",14742.76508/23441.63366*100)</f>
        <v>62.891372221879514</v>
      </c>
      <c r="D39" s="15">
        <f>IF(23441.63366="","-",23441.63366/1290763.45346*100)</f>
        <v>1.8161060880026256</v>
      </c>
      <c r="E39" s="15">
        <f>IF(14742.76508="","-",14742.76508/1485793.22823*100)</f>
        <v>0.99224877324032512</v>
      </c>
      <c r="F39" s="15">
        <f>IF(OR(920807.43432="",17595.93463="",23441.63366=""),"-",(23441.63366-17595.93463)/920807.43432*100)</f>
        <v>0.63484489939168931</v>
      </c>
      <c r="G39" s="15">
        <f>IF(OR(1290763.45346="",14742.76508="",23441.63366=""),"-",(14742.76508-23441.63366)/1290763.45346*100)</f>
        <v>-0.67393204825267949</v>
      </c>
    </row>
    <row r="40" spans="1:7" s="2" customFormat="1" x14ac:dyDescent="0.3">
      <c r="A40" s="28" t="s">
        <v>12</v>
      </c>
      <c r="B40" s="10">
        <v>8458.64156</v>
      </c>
      <c r="C40" s="10" t="s">
        <v>347</v>
      </c>
      <c r="D40" s="15">
        <f>IF(1199.168="","-",1199.168/1290763.45346*100)</f>
        <v>9.290377696901235E-2</v>
      </c>
      <c r="E40" s="15">
        <f>IF(8458.64156="","-",8458.64156/1485793.22823*100)</f>
        <v>0.56930139398176116</v>
      </c>
      <c r="F40" s="15">
        <f>IF(OR(920807.43432="",91.27388="",1199.168=""),"-",(1199.168-91.27388)/920807.43432*100)</f>
        <v>0.12031767758458208</v>
      </c>
      <c r="G40" s="15">
        <f>IF(OR(1290763.45346="",8458.64156="",1199.168=""),"-",(8458.64156-1199.168)/1290763.45346*100)</f>
        <v>0.56241703625403794</v>
      </c>
    </row>
    <row r="41" spans="1:7" s="2" customFormat="1" x14ac:dyDescent="0.3">
      <c r="A41" s="28" t="s">
        <v>14</v>
      </c>
      <c r="B41" s="10">
        <v>1898.25343</v>
      </c>
      <c r="C41" s="10">
        <f>IF(OR(2016.48602="",1898.25343=""),"-",1898.25343/2016.48602*100)</f>
        <v>94.136701726303059</v>
      </c>
      <c r="D41" s="15">
        <f>IF(2016.48602="","-",2016.48602/1290763.45346*100)</f>
        <v>0.15622428839262839</v>
      </c>
      <c r="E41" s="15">
        <f>IF(1898.25343="","-",1898.25343/1485793.22823*100)</f>
        <v>0.1277602693250498</v>
      </c>
      <c r="F41" s="15">
        <f>IF(OR(920807.43432="",22.94438="",2016.48602=""),"-",(2016.48602-22.94438)/920807.43432*100)</f>
        <v>0.21649929895192424</v>
      </c>
      <c r="G41" s="15">
        <f>IF(OR(1290763.45346="",1898.25343="",2016.48602=""),"-",(1898.25343-2016.48602)/1290763.45346*100)</f>
        <v>-9.1598960044203051E-3</v>
      </c>
    </row>
    <row r="42" spans="1:7" s="2" customFormat="1" x14ac:dyDescent="0.3">
      <c r="A42" s="28" t="s">
        <v>13</v>
      </c>
      <c r="B42" s="10">
        <v>1190.91462</v>
      </c>
      <c r="C42" s="10">
        <f>IF(OR(5303.03618="",1190.91462=""),"-",1190.91462/5303.03618*100)</f>
        <v>22.457222232264687</v>
      </c>
      <c r="D42" s="15">
        <f>IF(5303.03618="","-",5303.03618/1290763.45346*100)</f>
        <v>0.41084492792112803</v>
      </c>
      <c r="E42" s="15">
        <f>IF(1190.91462="","-",1190.91462/1485793.22823*100)</f>
        <v>8.0153455903061027E-2</v>
      </c>
      <c r="F42" s="15">
        <f>IF(OR(920807.43432="",987.29761="",5303.03618=""),"-",(5303.03618-987.29761)/920807.43432*100)</f>
        <v>0.46869067398300246</v>
      </c>
      <c r="G42" s="15">
        <f>IF(OR(1290763.45346="",1190.91462="",5303.03618=""),"-",(1190.91462-5303.03618)/1290763.45346*100)</f>
        <v>-0.31858056942789259</v>
      </c>
    </row>
    <row r="43" spans="1:7" s="2" customFormat="1" x14ac:dyDescent="0.3">
      <c r="A43" s="28" t="s">
        <v>299</v>
      </c>
      <c r="B43" s="10">
        <v>994.82509000000005</v>
      </c>
      <c r="C43" s="10">
        <f>IF(OR(1809.65469="",994.82509=""),"-",994.82509/1809.65469*100)</f>
        <v>54.97319988710111</v>
      </c>
      <c r="D43" s="15">
        <f>IF(1809.65469="","-",1809.65469/1290763.45346*100)</f>
        <v>0.14020033532473117</v>
      </c>
      <c r="E43" s="15">
        <f>IF(994.82509="","-",994.82509/1485793.22823*100)</f>
        <v>6.6955823401155093E-2</v>
      </c>
      <c r="F43" s="15">
        <f>IF(OR(920807.43432="",40.37531="",1809.65469=""),"-",(1809.65469-40.37531)/920807.43432*100)</f>
        <v>0.19214434137432673</v>
      </c>
      <c r="G43" s="15">
        <f>IF(OR(1290763.45346="",994.82509="",1809.65469=""),"-",(994.82509-1809.65469)/1290763.45346*100)</f>
        <v>-6.3127724744280661E-2</v>
      </c>
    </row>
    <row r="44" spans="1:7" s="2" customFormat="1" x14ac:dyDescent="0.3">
      <c r="A44" s="28" t="s">
        <v>15</v>
      </c>
      <c r="B44" s="10">
        <v>243.05318</v>
      </c>
      <c r="C44" s="10">
        <f>IF(OR(190.35593="",243.05318=""),"-",243.05318/190.35593*100)</f>
        <v>127.68353473411625</v>
      </c>
      <c r="D44" s="15">
        <f>IF(190.35593="","-",190.35593/1290763.45346*100)</f>
        <v>1.474754568621655E-2</v>
      </c>
      <c r="E44" s="15">
        <f>IF(243.05318="","-",243.05318/1485793.22823*100)</f>
        <v>1.6358479456091281E-2</v>
      </c>
      <c r="F44" s="15">
        <f>IF(OR(920807.43432="",121.49594="",190.35593=""),"-",(190.35593-121.49594)/920807.43432*100)</f>
        <v>7.47821829336683E-3</v>
      </c>
      <c r="G44" s="15">
        <f>IF(OR(1290763.45346="",243.05318="",190.35593=""),"-",(243.05318-190.35593)/1290763.45346*100)</f>
        <v>4.0826419324734202E-3</v>
      </c>
    </row>
    <row r="45" spans="1:7" s="2" customFormat="1" x14ac:dyDescent="0.3">
      <c r="A45" s="28" t="s">
        <v>16</v>
      </c>
      <c r="B45" s="10" t="s">
        <v>323</v>
      </c>
      <c r="C45" s="10" t="str">
        <f>IF(OR(1.61275="",""=""),"-",""/1.61275*100)</f>
        <v>-</v>
      </c>
      <c r="D45" s="15">
        <f>IF(1.61275="","-",1.61275/1290763.45346*100)</f>
        <v>1.2494543408994791E-4</v>
      </c>
      <c r="E45" s="15" t="str">
        <f>IF(""="","-",""/1485793.22823*100)</f>
        <v>-</v>
      </c>
      <c r="F45" s="15">
        <f>IF(OR(920807.43432="",0.415="",1.61275=""),"-",(1.61275-0.415)/920807.43432*100)</f>
        <v>1.3007605666048047E-4</v>
      </c>
      <c r="G45" s="15" t="str">
        <f>IF(OR(1290763.45346="",""="",1.61275=""),"-",(""-1.61275)/1290763.45346*100)</f>
        <v>-</v>
      </c>
    </row>
    <row r="46" spans="1:7" s="2" customFormat="1" x14ac:dyDescent="0.3">
      <c r="A46" s="27" t="s">
        <v>132</v>
      </c>
      <c r="B46" s="9">
        <v>417882.89098999999</v>
      </c>
      <c r="C46" s="9">
        <f>IF(316374.73281="","-",417882.89099/316374.73281*100)</f>
        <v>132.08478669532724</v>
      </c>
      <c r="D46" s="17">
        <f>IF(316374.73281="","-",316374.73281/1290763.45346*100)</f>
        <v>24.510667075514956</v>
      </c>
      <c r="E46" s="17">
        <f>IF(417882.89099="","-",417882.89099/1485793.22823*100)</f>
        <v>28.125238630130028</v>
      </c>
      <c r="F46" s="17">
        <f>IF(920807.43432="","-",(316374.73281-275089.25671)/920807.43432*100)</f>
        <v>4.4836167217186533</v>
      </c>
      <c r="G46" s="17">
        <f>IF(1290763.45346="","-",(417882.89099-316374.73281)/1290763.45346*100)</f>
        <v>7.8641952487807751</v>
      </c>
    </row>
    <row r="47" spans="1:7" s="2" customFormat="1" x14ac:dyDescent="0.3">
      <c r="A47" s="28" t="s">
        <v>57</v>
      </c>
      <c r="B47" s="10">
        <v>147982.16342</v>
      </c>
      <c r="C47" s="10">
        <f>IF(OR(127400.45406="",147982.16342=""),"-",147982.16342/127400.45406*100)</f>
        <v>116.15513030299478</v>
      </c>
      <c r="D47" s="15">
        <f>IF(127400.45406="","-",127400.45406/1290763.45346*100)</f>
        <v>9.8701627876503917</v>
      </c>
      <c r="E47" s="15">
        <f>IF(147982.16342="","-",147982.16342/1485793.22823*100)</f>
        <v>9.9598087141835077</v>
      </c>
      <c r="F47" s="15">
        <f>IF(OR(920807.43432="",114898.8878="",127400.45406=""),"-",(127400.45406-114898.8878)/920807.43432*100)</f>
        <v>1.3576743403719576</v>
      </c>
      <c r="G47" s="15">
        <f>IF(OR(1290763.45346="",147982.16342="",127400.45406=""),"-",(147982.16342-127400.45406)/1290763.45346*100)</f>
        <v>1.5945376594626222</v>
      </c>
    </row>
    <row r="48" spans="1:7" s="2" customFormat="1" x14ac:dyDescent="0.3">
      <c r="A48" s="28" t="s">
        <v>54</v>
      </c>
      <c r="B48" s="70">
        <v>112577.50185</v>
      </c>
      <c r="C48" s="10">
        <f>IF(OR(78940.65351="",112577.50185=""),"-",112577.50185/78940.65351*100)</f>
        <v>142.61029880597448</v>
      </c>
      <c r="D48" s="15">
        <f>IF(78940.65351="","-",78940.65351/1290763.45346*100)</f>
        <v>6.1158110185404571</v>
      </c>
      <c r="E48" s="15">
        <f>IF(112577.50185="","-",112577.50185/1485793.22823*100)</f>
        <v>7.5769292598076809</v>
      </c>
      <c r="F48" s="15">
        <f>IF(OR(920807.43432="",69466.32473="",78940.65351=""),"-",(78940.65351-69466.32473)/920807.43432*100)</f>
        <v>1.0289153222352765</v>
      </c>
      <c r="G48" s="15">
        <f>IF(OR(1290763.45346="",112577.50185="",78940.65351=""),"-",(112577.50185-78940.65351)/1290763.45346*100)</f>
        <v>2.6059653494088013</v>
      </c>
    </row>
    <row r="49" spans="1:7" s="2" customFormat="1" x14ac:dyDescent="0.3">
      <c r="A49" s="28" t="s">
        <v>67</v>
      </c>
      <c r="B49" s="10">
        <v>32783.291720000001</v>
      </c>
      <c r="C49" s="10" t="s">
        <v>303</v>
      </c>
      <c r="D49" s="15">
        <f>IF(10623.37811="","-",10623.37811/1290763.45346*100)</f>
        <v>0.82303059336884232</v>
      </c>
      <c r="E49" s="15">
        <f>IF(32783.29172="","-",32783.29172/1485793.22823*100)</f>
        <v>2.2064504735328598</v>
      </c>
      <c r="F49" s="15">
        <f>IF(OR(920807.43432="",7026.79031="",10623.37811=""),"-",(10623.37811-7026.79031)/920807.43432*100)</f>
        <v>0.39059065619469241</v>
      </c>
      <c r="G49" s="15">
        <f>IF(OR(1290763.45346="",32783.29172="",10623.37811=""),"-",(32783.29172-10623.37811)/1290763.45346*100)</f>
        <v>1.7168067123839379</v>
      </c>
    </row>
    <row r="50" spans="1:7" s="2" customFormat="1" x14ac:dyDescent="0.3">
      <c r="A50" s="28" t="s">
        <v>17</v>
      </c>
      <c r="B50" s="70">
        <v>19414.66732</v>
      </c>
      <c r="C50" s="10">
        <f>IF(OR(16520.80571="",19414.66732=""),"-",19414.66732/16520.80571*100)</f>
        <v>117.5164677849117</v>
      </c>
      <c r="D50" s="15">
        <f>IF(16520.80571="","-",16520.80571/1290763.45346*100)</f>
        <v>1.2799251222766335</v>
      </c>
      <c r="E50" s="15">
        <f>IF(19414.66732="","-",19414.66732/1485793.22823*100)</f>
        <v>1.3066870242185959</v>
      </c>
      <c r="F50" s="15">
        <f>IF(OR(920807.43432="",10208.36235="",16520.80571=""),"-",(16520.80571-10208.36235)/920807.43432*100)</f>
        <v>0.68553349209888048</v>
      </c>
      <c r="G50" s="15">
        <f>IF(OR(1290763.45346="",19414.66732="",16520.80571=""),"-",(19414.66732-16520.80571)/1290763.45346*100)</f>
        <v>0.22419767171457794</v>
      </c>
    </row>
    <row r="51" spans="1:7" s="2" customFormat="1" x14ac:dyDescent="0.3">
      <c r="A51" s="28" t="s">
        <v>73</v>
      </c>
      <c r="B51" s="70">
        <v>12443.148219999999</v>
      </c>
      <c r="C51" s="10">
        <f>IF(OR(8595.30172="",12443.14822=""),"-",12443.14822/8595.30172*100)</f>
        <v>144.76685781776141</v>
      </c>
      <c r="D51" s="15">
        <f>IF(8595.30172="","-",8595.30172/1290763.45346*100)</f>
        <v>0.66590835810849547</v>
      </c>
      <c r="E51" s="15">
        <f>IF(12443.14822="","-",12443.14822/1485793.22823*100)</f>
        <v>0.83747509300626621</v>
      </c>
      <c r="F51" s="15">
        <f>IF(OR(920807.43432="",8310.63451="",8595.30172=""),"-",(8595.30172-8310.63451)/920807.43432*100)</f>
        <v>3.0914955656306281E-2</v>
      </c>
      <c r="G51" s="15">
        <f>IF(OR(1290763.45346="",12443.14822="",8595.30172=""),"-",(12443.14822-8595.30172)/1290763.45346*100)</f>
        <v>0.29810624787101958</v>
      </c>
    </row>
    <row r="52" spans="1:7" s="2" customFormat="1" x14ac:dyDescent="0.3">
      <c r="A52" s="28" t="s">
        <v>60</v>
      </c>
      <c r="B52" s="70">
        <v>9764.2845699999998</v>
      </c>
      <c r="C52" s="10" t="s">
        <v>312</v>
      </c>
      <c r="D52" s="15">
        <f>IF(2438.31458="","-",2438.31458/1290763.45346*100)</f>
        <v>0.18890483561987231</v>
      </c>
      <c r="E52" s="15">
        <f>IF(9764.28457="","-",9764.28457/1485793.22823*100)</f>
        <v>0.65717654277049209</v>
      </c>
      <c r="F52" s="15">
        <f>IF(OR(920807.43432="",1646.21949="",2438.31458=""),"-",(2438.31458-1646.21949)/920807.43432*100)</f>
        <v>8.6021795706389848E-2</v>
      </c>
      <c r="G52" s="15">
        <f>IF(OR(1290763.45346="",9764.28457="",2438.31458=""),"-",(9764.28457-2438.31458)/1290763.45346*100)</f>
        <v>0.56756874936008772</v>
      </c>
    </row>
    <row r="53" spans="1:7" s="2" customFormat="1" ht="26.4" x14ac:dyDescent="0.3">
      <c r="A53" s="28" t="s">
        <v>294</v>
      </c>
      <c r="B53" s="70">
        <v>9606.4237200000007</v>
      </c>
      <c r="C53" s="10">
        <f>IF(OR(8111.57764="",9606.42372=""),"-",9606.42372/8111.57764*100)</f>
        <v>118.428549245816</v>
      </c>
      <c r="D53" s="15">
        <f>IF(8111.57764="","-",8111.57764/1290763.45346*100)</f>
        <v>0.62843254651007008</v>
      </c>
      <c r="E53" s="15">
        <f>IF(9606.42372="","-",9606.42372/1485793.22823*100)</f>
        <v>0.6465518577873699</v>
      </c>
      <c r="F53" s="15">
        <f>IF(OR(920807.43432="",7913.16923="",8111.57764=""),"-",(8111.57764-7913.16923)/920807.43432*100)</f>
        <v>2.1547220689689707E-2</v>
      </c>
      <c r="G53" s="15">
        <f>IF(OR(1290763.45346="",9606.42372="",8111.57764=""),"-",(9606.42372-8111.57764)/1290763.45346*100)</f>
        <v>0.11581100131034386</v>
      </c>
    </row>
    <row r="54" spans="1:7" s="2" customFormat="1" x14ac:dyDescent="0.3">
      <c r="A54" s="28" t="s">
        <v>69</v>
      </c>
      <c r="B54" s="70">
        <v>7294.0370999999996</v>
      </c>
      <c r="C54" s="10">
        <f>IF(OR(6385.06555="",7294.0371=""),"-",7294.0371/6385.06555*100)</f>
        <v>114.23590005274103</v>
      </c>
      <c r="D54" s="15">
        <f>IF(6385.06555="","-",6385.06555/1290763.45346*100)</f>
        <v>0.49467356182763733</v>
      </c>
      <c r="E54" s="15">
        <f>IF(7294.0371="","-",7294.0371/1485793.22823*100)</f>
        <v>0.49091872014312926</v>
      </c>
      <c r="F54" s="15">
        <f>IF(OR(920807.43432="",6609.38797="",6385.06555=""),"-",(6385.06555-6609.38797)/920807.43432*100)</f>
        <v>-2.4361490974022994E-2</v>
      </c>
      <c r="G54" s="15">
        <f>IF(OR(1290763.45346="",7294.0371="",6385.06555=""),"-",(7294.0371-6385.06555)/1290763.45346*100)</f>
        <v>7.0421233849116555E-2</v>
      </c>
    </row>
    <row r="55" spans="1:7" s="2" customFormat="1" x14ac:dyDescent="0.3">
      <c r="A55" s="28" t="s">
        <v>34</v>
      </c>
      <c r="B55" s="10">
        <v>6904.4472299999998</v>
      </c>
      <c r="C55" s="10">
        <f>IF(OR(10560.4171="",6904.44723=""),"-",6904.44723/10560.4171*100)</f>
        <v>65.380440607786213</v>
      </c>
      <c r="D55" s="15">
        <f>IF(10560.4171="","-",10560.4171/1290763.45346*100)</f>
        <v>0.81815278172711769</v>
      </c>
      <c r="E55" s="15">
        <f>IF(6904.44723="","-",6904.44723/1485793.22823*100)</f>
        <v>0.46469771828379847</v>
      </c>
      <c r="F55" s="15">
        <f>IF(OR(920807.43432="",5915.58393="",10560.4171=""),"-",(10560.4171-5915.58393)/920807.43432*100)</f>
        <v>0.50443045927731112</v>
      </c>
      <c r="G55" s="15">
        <f>IF(OR(1290763.45346="",6904.44723="",10560.4171=""),"-",(6904.44723-10560.4171)/1290763.45346*100)</f>
        <v>-0.28324088818906873</v>
      </c>
    </row>
    <row r="56" spans="1:7" s="2" customFormat="1" x14ac:dyDescent="0.3">
      <c r="A56" s="28" t="s">
        <v>76</v>
      </c>
      <c r="B56" s="10">
        <v>5814.8098399999999</v>
      </c>
      <c r="C56" s="10">
        <f>IF(OR(4079.45396="",5814.80984=""),"-",5814.80984/4079.45396*100)</f>
        <v>142.53892547913446</v>
      </c>
      <c r="D56" s="15">
        <f>IF(4079.45396="","-",4079.45396/1290763.45346*100)</f>
        <v>0.31604969516797832</v>
      </c>
      <c r="E56" s="15">
        <f>IF(5814.80984="","-",5814.80984/1485793.22823*100)</f>
        <v>0.39136063683148448</v>
      </c>
      <c r="F56" s="15">
        <f>IF(OR(920807.43432="",4149.92432="",4079.45396=""),"-",(4079.45396-4149.92432)/920807.43432*100)</f>
        <v>-7.6531050221202183E-3</v>
      </c>
      <c r="G56" s="15">
        <f>IF(OR(1290763.45346="",5814.80984="",4079.45396=""),"-",(5814.80984-4079.45396)/1290763.45346*100)</f>
        <v>0.13444414430453794</v>
      </c>
    </row>
    <row r="57" spans="1:7" s="2" customFormat="1" x14ac:dyDescent="0.3">
      <c r="A57" s="28" t="s">
        <v>293</v>
      </c>
      <c r="B57" s="10">
        <v>5574.53431</v>
      </c>
      <c r="C57" s="10">
        <f>IF(OR(5103.21552="",5574.53431=""),"-",5574.53431/5103.21552*100)</f>
        <v>109.23572183367243</v>
      </c>
      <c r="D57" s="15">
        <f>IF(5103.21552="","-",5103.21552/1290763.45346*100)</f>
        <v>0.39536411619963374</v>
      </c>
      <c r="E57" s="15">
        <f>IF(5574.53431="","-",5574.53431/1485793.22823*100)</f>
        <v>0.37518910465360295</v>
      </c>
      <c r="F57" s="15">
        <f>IF(OR(920807.43432="",5253.22755="",5103.21552=""),"-",(5103.21552-5253.22755)/920807.43432*100)</f>
        <v>-1.6291357390134573E-2</v>
      </c>
      <c r="G57" s="15">
        <f>IF(OR(1290763.45346="",5574.53431="",5103.21552=""),"-",(5574.53431-5103.21552)/1290763.45346*100)</f>
        <v>3.6514730002355632E-2</v>
      </c>
    </row>
    <row r="58" spans="1:7" s="2" customFormat="1" x14ac:dyDescent="0.3">
      <c r="A58" s="28" t="s">
        <v>64</v>
      </c>
      <c r="B58" s="70">
        <v>4974.1029399999998</v>
      </c>
      <c r="C58" s="10">
        <f>IF(OR(4433.89257="",4974.10294=""),"-",4974.10294/4433.89257*100)</f>
        <v>112.18365942501849</v>
      </c>
      <c r="D58" s="15">
        <f>IF(4433.89257="","-",4433.89257/1290763.45346*100)</f>
        <v>0.34350930514143224</v>
      </c>
      <c r="E58" s="15">
        <f>IF(4974.10294="","-",4974.10294/1485793.22823*100)</f>
        <v>0.33477760199012102</v>
      </c>
      <c r="F58" s="15">
        <f>IF(OR(920807.43432="",3686.81747="",4433.89257=""),"-",(4433.89257-3686.81747)/920807.43432*100)</f>
        <v>8.1132609507187758E-2</v>
      </c>
      <c r="G58" s="15">
        <f>IF(OR(1290763.45346="",4974.10294="",4433.89257=""),"-",(4974.10294-4433.89257)/1290763.45346*100)</f>
        <v>4.1852003831679647E-2</v>
      </c>
    </row>
    <row r="59" spans="1:7" s="2" customFormat="1" x14ac:dyDescent="0.3">
      <c r="A59" s="28" t="s">
        <v>300</v>
      </c>
      <c r="B59" s="70">
        <v>3818.2197900000001</v>
      </c>
      <c r="C59" s="10">
        <f>IF(OR(2989.16897="",3818.21979=""),"-",3818.21979/2989.16897*100)</f>
        <v>127.73516078617664</v>
      </c>
      <c r="D59" s="15">
        <f>IF(2989.16897="","-",2989.16897/1290763.45346*100)</f>
        <v>0.23158146924498685</v>
      </c>
      <c r="E59" s="15">
        <f>IF(3818.21979="","-",3818.21979/1485793.22823*100)</f>
        <v>0.25698190821266426</v>
      </c>
      <c r="F59" s="15">
        <f>IF(OR(920807.43432="",2658.74773="",2989.16897=""),"-",(2989.16897-2658.74773)/920807.43432*100)</f>
        <v>3.5883858848729903E-2</v>
      </c>
      <c r="G59" s="15">
        <f>IF(OR(1290763.45346="",3818.21979="",2989.16897=""),"-",(3818.21979-2989.16897)/1290763.45346*100)</f>
        <v>6.4229492846087297E-2</v>
      </c>
    </row>
    <row r="60" spans="1:7" s="2" customFormat="1" x14ac:dyDescent="0.3">
      <c r="A60" s="28" t="s">
        <v>56</v>
      </c>
      <c r="B60" s="10">
        <v>3701.7867900000001</v>
      </c>
      <c r="C60" s="10" t="s">
        <v>353</v>
      </c>
      <c r="D60" s="15">
        <f>IF(154.80971="","-",154.80971/1290763.45346*100)</f>
        <v>1.1993654575903862E-2</v>
      </c>
      <c r="E60" s="15">
        <f>IF(3701.78679="","-",3701.78679/1485793.22823*100)</f>
        <v>0.24914548805757281</v>
      </c>
      <c r="F60" s="15">
        <f>IF(OR(920807.43432="",670.90408="",154.80971=""),"-",(154.80971-670.90408)/920807.43432*100)</f>
        <v>-5.6048023806533079E-2</v>
      </c>
      <c r="G60" s="15">
        <f>IF(OR(1290763.45346="",3701.78679="",154.80971=""),"-",(3701.78679-154.80971)/1290763.45346*100)</f>
        <v>0.27479683209902089</v>
      </c>
    </row>
    <row r="61" spans="1:7" s="2" customFormat="1" x14ac:dyDescent="0.3">
      <c r="A61" s="28" t="s">
        <v>79</v>
      </c>
      <c r="B61" s="70">
        <v>2250.41005</v>
      </c>
      <c r="C61" s="10">
        <f>IF(OR(2182.76469="",2250.41005=""),"-",2250.41005/2182.76469*100)</f>
        <v>103.09906790731529</v>
      </c>
      <c r="D61" s="15">
        <f>IF(2182.76469="","-",2182.76469/1290763.45346*100)</f>
        <v>0.16910648377508022</v>
      </c>
      <c r="E61" s="15">
        <f>IF(2250.41005="","-",2250.41005/1485793.22823*100)</f>
        <v>0.15146185937870205</v>
      </c>
      <c r="F61" s="15">
        <f>IF(OR(920807.43432="",1429.55284="",2182.76469=""),"-",(2182.76469-1429.55284)/920807.43432*100)</f>
        <v>8.1799062640739162E-2</v>
      </c>
      <c r="G61" s="15">
        <f>IF(OR(1290763.45346="",2250.41005="",2182.76469=""),"-",(2250.41005-2182.76469)/1290763.45346*100)</f>
        <v>5.2407247678628414E-3</v>
      </c>
    </row>
    <row r="62" spans="1:7" s="2" customFormat="1" x14ac:dyDescent="0.3">
      <c r="A62" s="28" t="s">
        <v>71</v>
      </c>
      <c r="B62" s="70">
        <v>2244.19839</v>
      </c>
      <c r="C62" s="10">
        <f>IF(OR(2177.53102="",2244.19839=""),"-",2244.19839/2177.53102*100)</f>
        <v>103.06160368728065</v>
      </c>
      <c r="D62" s="15">
        <f>IF(2177.53102="","-",2177.53102/1290763.45346*100)</f>
        <v>0.16870101288992534</v>
      </c>
      <c r="E62" s="15">
        <f>IF(2244.19839="","-",2244.19839/1485793.22823*100)</f>
        <v>0.15104378909260982</v>
      </c>
      <c r="F62" s="15">
        <f>IF(OR(920807.43432="",1525.63777="",2177.53102=""),"-",(2177.53102-1525.63777)/920807.43432*100)</f>
        <v>7.0795828281014203E-2</v>
      </c>
      <c r="G62" s="15">
        <f>IF(OR(1290763.45346="",2244.19839="",2177.53102=""),"-",(2244.19839-2177.53102)/1290763.45346*100)</f>
        <v>5.1649564311177718E-3</v>
      </c>
    </row>
    <row r="63" spans="1:7" s="2" customFormat="1" x14ac:dyDescent="0.3">
      <c r="A63" s="28" t="s">
        <v>75</v>
      </c>
      <c r="B63" s="70">
        <v>2201.15753</v>
      </c>
      <c r="C63" s="10">
        <f>IF(OR(1633.72194="",2201.15753=""),"-",2201.15753/1633.72194*100)</f>
        <v>134.73269080294043</v>
      </c>
      <c r="D63" s="15">
        <f>IF(1633.72194="","-",1633.72194/1290763.45346*100)</f>
        <v>0.12657020429426249</v>
      </c>
      <c r="E63" s="15">
        <f>IF(2201.15753="","-",2201.15753/1485793.22823*100)</f>
        <v>0.14814696205219627</v>
      </c>
      <c r="F63" s="15">
        <f>IF(OR(920807.43432="",1742.42111="",1633.72194=""),"-",(1633.72194-1742.42111)/920807.43432*100)</f>
        <v>-1.1804766767578556E-2</v>
      </c>
      <c r="G63" s="15">
        <f>IF(OR(1290763.45346="",2201.15753="",1633.72194=""),"-",(2201.15753-1633.72194)/1290763.45346*100)</f>
        <v>4.3961237706176236E-2</v>
      </c>
    </row>
    <row r="64" spans="1:7" s="2" customFormat="1" x14ac:dyDescent="0.3">
      <c r="A64" s="28" t="s">
        <v>68</v>
      </c>
      <c r="B64" s="10">
        <v>2160.4652599999999</v>
      </c>
      <c r="C64" s="10">
        <f>IF(OR(1722.65282="",2160.46526=""),"-",2160.46526/1722.65282*100)</f>
        <v>125.41501310751634</v>
      </c>
      <c r="D64" s="15">
        <f>IF(1722.65282="","-",1722.65282/1290763.45346*100)</f>
        <v>0.13345999341570169</v>
      </c>
      <c r="E64" s="15">
        <f>IF(2160.46526="","-",2160.46526/1485793.22823*100)</f>
        <v>0.14540820478591931</v>
      </c>
      <c r="F64" s="15">
        <f>IF(OR(920807.43432="",1660.69387="",1722.65282=""),"-",(1722.65282-1660.69387)/920807.43432*100)</f>
        <v>6.7287630063234179E-3</v>
      </c>
      <c r="G64" s="15">
        <f>IF(OR(1290763.45346="",2160.46526="",1722.65282=""),"-",(2160.46526-1722.65282)/1290763.45346*100)</f>
        <v>3.3918874819891039E-2</v>
      </c>
    </row>
    <row r="65" spans="1:7" s="2" customFormat="1" x14ac:dyDescent="0.3">
      <c r="A65" s="28" t="s">
        <v>80</v>
      </c>
      <c r="B65" s="10">
        <v>2130.5751799999998</v>
      </c>
      <c r="C65" s="10">
        <f>IF(OR(1383.35564="",2130.57518=""),"-",2130.57518/1383.35564*100)</f>
        <v>154.01499935331162</v>
      </c>
      <c r="D65" s="15">
        <f>IF(1383.35564="","-",1383.35564/1290763.45346*100)</f>
        <v>0.10717344346028693</v>
      </c>
      <c r="E65" s="15">
        <f>IF(2130.57518="","-",2130.57518/1485793.22823*100)</f>
        <v>0.14339647937002092</v>
      </c>
      <c r="F65" s="15">
        <f>IF(OR(920807.43432="",1201.67074="",1383.35564=""),"-",(1383.35564-1201.67074)/920807.43432*100)</f>
        <v>1.9731041825717995E-2</v>
      </c>
      <c r="G65" s="15">
        <f>IF(OR(1290763.45346="",2130.57518="",1383.35564=""),"-",(2130.57518-1383.35564)/1290763.45346*100)</f>
        <v>5.788973479199578E-2</v>
      </c>
    </row>
    <row r="66" spans="1:7" s="2" customFormat="1" x14ac:dyDescent="0.3">
      <c r="A66" s="28" t="s">
        <v>61</v>
      </c>
      <c r="B66" s="10">
        <v>1842.77098</v>
      </c>
      <c r="C66" s="10" t="s">
        <v>296</v>
      </c>
      <c r="D66" s="15">
        <f>IF(657.83041="","-",657.83041/1290763.45346*100)</f>
        <v>5.0964443425836878E-2</v>
      </c>
      <c r="E66" s="15">
        <f>IF(1842.77098="","-",1842.77098/1485793.22823*100)</f>
        <v>0.12402607206624987</v>
      </c>
      <c r="F66" s="15">
        <f>IF(OR(920807.43432="",874.29389="",657.83041=""),"-",(657.83041-874.29389)/920807.43432*100)</f>
        <v>-2.3508007421753109E-2</v>
      </c>
      <c r="G66" s="15">
        <f>IF(OR(1290763.45346="",1842.77098="",657.83041=""),"-",(1842.77098-657.83041)/1290763.45346*100)</f>
        <v>9.1801527756589882E-2</v>
      </c>
    </row>
    <row r="67" spans="1:7" s="2" customFormat="1" x14ac:dyDescent="0.3">
      <c r="A67" s="28" t="s">
        <v>63</v>
      </c>
      <c r="B67" s="10">
        <v>1710.18028</v>
      </c>
      <c r="C67" s="10">
        <f>IF(OR(1319.89513="",1710.18028=""),"-",1710.18028/1319.89513*100)</f>
        <v>129.56940601788568</v>
      </c>
      <c r="D67" s="15">
        <f>IF(1319.89513="","-",1319.89513/1290763.45346*100)</f>
        <v>0.10225693379076624</v>
      </c>
      <c r="E67" s="15">
        <f>IF(1710.18028="","-",1710.18028/1485793.22823*100)</f>
        <v>0.11510217219372498</v>
      </c>
      <c r="F67" s="15">
        <f>IF(OR(920807.43432="",1065.66779="",1319.89513=""),"-",(1319.89513-1065.66779)/920807.43432*100)</f>
        <v>2.7609175439351499E-2</v>
      </c>
      <c r="G67" s="15">
        <f>IF(OR(1290763.45346="",1710.18028="",1319.89513=""),"-",(1710.18028-1319.89513)/1290763.45346*100)</f>
        <v>3.02367679340322E-2</v>
      </c>
    </row>
    <row r="68" spans="1:7" s="2" customFormat="1" x14ac:dyDescent="0.3">
      <c r="A68" s="28" t="s">
        <v>81</v>
      </c>
      <c r="B68" s="70">
        <v>1529.8583699999999</v>
      </c>
      <c r="C68" s="10">
        <f>IF(OR(1302.30848="",1529.85837=""),"-",1529.85837/1302.30848*100)</f>
        <v>117.47281028224587</v>
      </c>
      <c r="D68" s="15">
        <f>IF(1302.30848="","-",1302.30848/1290763.45346*100)</f>
        <v>0.1008944339498498</v>
      </c>
      <c r="E68" s="15">
        <f>IF(1529.85837="","-",1529.85837/1485793.22823*100)</f>
        <v>0.10296576541962667</v>
      </c>
      <c r="F68" s="15">
        <f>IF(OR(920807.43432="",827.81553="",1302.30848=""),"-",(1302.30848-827.81553)/920807.43432*100)</f>
        <v>5.1530095470005033E-2</v>
      </c>
      <c r="G68" s="15">
        <f>IF(OR(1290763.45346="",1529.85837="",1302.30848=""),"-",(1529.85837-1302.30848)/1290763.45346*100)</f>
        <v>1.7629093029403131E-2</v>
      </c>
    </row>
    <row r="69" spans="1:7" s="2" customFormat="1" x14ac:dyDescent="0.3">
      <c r="A69" s="28" t="s">
        <v>59</v>
      </c>
      <c r="B69" s="70">
        <v>1514.53305</v>
      </c>
      <c r="C69" s="10">
        <f>IF(OR(1853.75276="",1514.53305=""),"-",1514.53305/1853.75276*100)</f>
        <v>81.700919490471861</v>
      </c>
      <c r="D69" s="15">
        <f>IF(1853.75276="","-",1853.75276/1290763.45346*100)</f>
        <v>0.14361676843505755</v>
      </c>
      <c r="E69" s="15">
        <f>IF(1514.53305="","-",1514.53305/1485793.22823*100)</f>
        <v>0.10193430830238992</v>
      </c>
      <c r="F69" s="15">
        <f>IF(OR(920807.43432="",2101.96397="",1853.75276=""),"-",(1853.75276-2101.96397)/920807.43432*100)</f>
        <v>-2.6955821678752986E-2</v>
      </c>
      <c r="G69" s="15">
        <f>IF(OR(1290763.45346="",1514.53305="",1853.75276=""),"-",(1514.53305-1853.75276)/1290763.45346*100)</f>
        <v>-2.6280548081113787E-2</v>
      </c>
    </row>
    <row r="70" spans="1:7" s="2" customFormat="1" x14ac:dyDescent="0.3">
      <c r="A70" s="28" t="s">
        <v>82</v>
      </c>
      <c r="B70" s="70">
        <v>1250.4112</v>
      </c>
      <c r="C70" s="10" t="s">
        <v>99</v>
      </c>
      <c r="D70" s="15">
        <f>IF(733.93011="","-",733.93011/1290763.45346*100)</f>
        <v>5.6860155749888848E-2</v>
      </c>
      <c r="E70" s="15">
        <f>IF(1250.4112="","-",1250.4112/1485793.22823*100)</f>
        <v>8.4157820633601457E-2</v>
      </c>
      <c r="F70" s="15">
        <f>IF(OR(920807.43432="",1311.00007="",733.93011=""),"-",(733.93011-1311.00007)/920807.43432*100)</f>
        <v>-6.2669993582985778E-2</v>
      </c>
      <c r="G70" s="15">
        <f>IF(OR(1290763.45346="",1250.4112="",733.93011=""),"-",(1250.4112-733.93011)/1290763.45346*100)</f>
        <v>4.0013612766578492E-2</v>
      </c>
    </row>
    <row r="71" spans="1:7" s="2" customFormat="1" x14ac:dyDescent="0.3">
      <c r="A71" s="28" t="s">
        <v>37</v>
      </c>
      <c r="B71" s="10">
        <v>972.08798999999999</v>
      </c>
      <c r="C71" s="10" t="s">
        <v>18</v>
      </c>
      <c r="D71" s="15">
        <f>IF(498.26026="","-",498.26026/1290763.45346*100)</f>
        <v>3.8601980762964082E-2</v>
      </c>
      <c r="E71" s="15">
        <f>IF(972.08799="","-",972.08799/1485793.22823*100)</f>
        <v>6.5425522981958376E-2</v>
      </c>
      <c r="F71" s="15">
        <f>IF(OR(920807.43432="",385.46187="",498.26026=""),"-",(498.26026-385.46187)/920807.43432*100)</f>
        <v>1.2249943451347094E-2</v>
      </c>
      <c r="G71" s="15">
        <f>IF(OR(1290763.45346="",972.08799="",498.26026=""),"-",(972.08799-498.26026)/1290763.45346*100)</f>
        <v>3.670910643850854E-2</v>
      </c>
    </row>
    <row r="72" spans="1:7" s="2" customFormat="1" x14ac:dyDescent="0.3">
      <c r="A72" s="28" t="s">
        <v>87</v>
      </c>
      <c r="B72" s="70">
        <v>971.57406000000003</v>
      </c>
      <c r="C72" s="10">
        <f>IF(OR(717.66165="",971.57406=""),"-",971.57406/717.66165*100)</f>
        <v>135.38051810348233</v>
      </c>
      <c r="D72" s="15">
        <f>IF(717.66165="","-",717.66165/1290763.45346*100)</f>
        <v>5.5599780740324463E-2</v>
      </c>
      <c r="E72" s="15">
        <f>IF(971.57406="","-",971.57406/1485793.22823*100)</f>
        <v>6.5390933377548074E-2</v>
      </c>
      <c r="F72" s="15">
        <f>IF(OR(920807.43432="",724.42749="",717.66165=""),"-",(717.66165-724.42749)/920807.43432*100)</f>
        <v>-7.3477252114026198E-4</v>
      </c>
      <c r="G72" s="15">
        <f>IF(OR(1290763.45346="",971.57406="",717.66165=""),"-",(971.57406-717.66165)/1290763.45346*100)</f>
        <v>1.967149049032698E-2</v>
      </c>
    </row>
    <row r="73" spans="1:7" s="2" customFormat="1" x14ac:dyDescent="0.3">
      <c r="A73" s="28" t="s">
        <v>36</v>
      </c>
      <c r="B73" s="10">
        <v>882.95829000000003</v>
      </c>
      <c r="C73" s="10" t="s">
        <v>321</v>
      </c>
      <c r="D73" s="15">
        <f>IF(95.9208="","-",95.9208/1290763.45346*100)</f>
        <v>7.4313228921128989E-3</v>
      </c>
      <c r="E73" s="15">
        <f>IF(882.95829="","-",882.95829/1485793.22823*100)</f>
        <v>5.9426727301204157E-2</v>
      </c>
      <c r="F73" s="15">
        <f>IF(OR(920807.43432="",376.47102="",95.9208=""),"-",(95.9208-376.47102)/920807.43432*100)</f>
        <v>-3.0467849144504511E-2</v>
      </c>
      <c r="G73" s="15">
        <f>IF(OR(1290763.45346="",882.95829="",95.9208=""),"-",(882.95829-95.9208)/1290763.45346*100)</f>
        <v>6.0974571900860676E-2</v>
      </c>
    </row>
    <row r="74" spans="1:7" s="2" customFormat="1" x14ac:dyDescent="0.3">
      <c r="A74" s="28" t="s">
        <v>77</v>
      </c>
      <c r="B74" s="70">
        <v>803.88094000000001</v>
      </c>
      <c r="C74" s="10">
        <f>IF(OR(619.84112="",803.88094=""),"-",803.88094/619.84112*100)</f>
        <v>129.69145060914963</v>
      </c>
      <c r="D74" s="15">
        <f>IF(619.84112="","-",619.84112/1290763.45346*100)</f>
        <v>4.8021279060734466E-2</v>
      </c>
      <c r="E74" s="15">
        <f>IF(803.88094="","-",803.88094/1485793.22823*100)</f>
        <v>5.4104496152378459E-2</v>
      </c>
      <c r="F74" s="15">
        <f>IF(OR(920807.43432="",652.29036="",619.84112=""),"-",(619.84112-652.29036)/920807.43432*100)</f>
        <v>-3.5239984811768063E-3</v>
      </c>
      <c r="G74" s="15">
        <f>IF(OR(1290763.45346="",803.88094="",619.84112=""),"-",(803.88094-619.84112)/1290763.45346*100)</f>
        <v>1.4258214354199892E-2</v>
      </c>
    </row>
    <row r="75" spans="1:7" s="2" customFormat="1" x14ac:dyDescent="0.3">
      <c r="A75" s="28" t="s">
        <v>85</v>
      </c>
      <c r="B75" s="10">
        <v>751.52513999999996</v>
      </c>
      <c r="C75" s="10">
        <f>IF(OR(589.55379="",751.52514=""),"-",751.52514/589.55379*100)</f>
        <v>127.47354910567192</v>
      </c>
      <c r="D75" s="15">
        <f>IF(589.55379="","-",589.55379/1290763.45346*100)</f>
        <v>4.5674812717981093E-2</v>
      </c>
      <c r="E75" s="15">
        <f>IF(751.52514="","-",751.52514/1485793.22823*100)</f>
        <v>5.0580735308322744E-2</v>
      </c>
      <c r="F75" s="15">
        <f>IF(OR(920807.43432="",356.99907="",589.55379=""),"-",(589.55379-356.99907)/920807.43432*100)</f>
        <v>2.52555215490563E-2</v>
      </c>
      <c r="G75" s="15">
        <f>IF(OR(1290763.45346="",751.52514="",589.55379=""),"-",(751.52514-589.55379)/1290763.45346*100)</f>
        <v>1.2548492100998218E-2</v>
      </c>
    </row>
    <row r="76" spans="1:7" s="2" customFormat="1" x14ac:dyDescent="0.3">
      <c r="A76" s="28" t="s">
        <v>78</v>
      </c>
      <c r="B76" s="10">
        <v>717.10789</v>
      </c>
      <c r="C76" s="10">
        <f>IF(OR(489.29669="",717.10789=""),"-",717.10789/489.29669*100)</f>
        <v>146.55890886979023</v>
      </c>
      <c r="D76" s="15">
        <f>IF(489.29669="","-",489.29669/1290763.45346*100)</f>
        <v>3.7907541361540648E-2</v>
      </c>
      <c r="E76" s="15">
        <f>IF(717.10789="","-",717.10789/1485793.22823*100)</f>
        <v>4.8264312716936951E-2</v>
      </c>
      <c r="F76" s="15">
        <f>IF(OR(920807.43432="",142.47391="",489.29669=""),"-",(489.29669-142.47391)/920807.43432*100)</f>
        <v>3.7665071661386239E-2</v>
      </c>
      <c r="G76" s="15">
        <f>IF(OR(1290763.45346="",717.10789="",489.29669=""),"-",(717.10789-489.29669)/1290763.45346*100)</f>
        <v>1.764933763729775E-2</v>
      </c>
    </row>
    <row r="77" spans="1:7" s="2" customFormat="1" x14ac:dyDescent="0.3">
      <c r="A77" s="28" t="s">
        <v>70</v>
      </c>
      <c r="B77" s="70">
        <v>678.74397999999997</v>
      </c>
      <c r="C77" s="10">
        <f>IF(OR(1897.59378="",678.74398=""),"-",678.74398/1897.59378*100)</f>
        <v>35.768665936499858</v>
      </c>
      <c r="D77" s="15">
        <f>IF(1897.59378="","-",1897.59378/1290763.45346*100)</f>
        <v>0.14701328697472341</v>
      </c>
      <c r="E77" s="15">
        <f>IF(678.74398="","-",678.74398/1485793.22823*100)</f>
        <v>4.5682263662526985E-2</v>
      </c>
      <c r="F77" s="15">
        <f>IF(OR(920807.43432="",349.94565="",1897.59378=""),"-",(1897.59378-349.94565)/920807.43432*100)</f>
        <v>0.16807511237601061</v>
      </c>
      <c r="G77" s="15">
        <f>IF(OR(1290763.45346="",678.74398="",1897.59378=""),"-",(678.74398-1897.59378)/1290763.45346*100)</f>
        <v>-9.442859547446672E-2</v>
      </c>
    </row>
    <row r="78" spans="1:7" s="2" customFormat="1" x14ac:dyDescent="0.3">
      <c r="A78" s="28" t="s">
        <v>72</v>
      </c>
      <c r="B78" s="10">
        <v>655.37647000000004</v>
      </c>
      <c r="C78" s="10">
        <f>IF(OR(1647.79695="",655.37647=""),"-",655.37647/1647.79695*100)</f>
        <v>39.77289010032456</v>
      </c>
      <c r="D78" s="15">
        <f>IF(1647.79695="","-",1647.79695/1290763.45346*100)</f>
        <v>0.12766064499137636</v>
      </c>
      <c r="E78" s="15">
        <f>IF(655.37647="","-",655.37647/1485793.22823*100)</f>
        <v>4.4109534055471418E-2</v>
      </c>
      <c r="F78" s="15">
        <f>IF(OR(920807.43432="",642.96269="",1647.79695=""),"-",(1647.79695-642.96269)/920807.43432*100)</f>
        <v>0.10912534179766395</v>
      </c>
      <c r="G78" s="15">
        <f>IF(OR(1290763.45346="",655.37647="",1647.79695=""),"-",(655.37647-1647.79695)/1290763.45346*100)</f>
        <v>-7.6886316957590739E-2</v>
      </c>
    </row>
    <row r="79" spans="1:7" s="2" customFormat="1" x14ac:dyDescent="0.3">
      <c r="A79" s="28" t="s">
        <v>65</v>
      </c>
      <c r="B79" s="70">
        <v>648.68757000000005</v>
      </c>
      <c r="C79" s="10" t="s">
        <v>330</v>
      </c>
      <c r="D79" s="15">
        <f>IF(181.71246="","-",181.71246/1290763.45346*100)</f>
        <v>1.4077905561464765E-2</v>
      </c>
      <c r="E79" s="15">
        <f>IF(648.68757="","-",648.68757/1485793.22823*100)</f>
        <v>4.365934355299024E-2</v>
      </c>
      <c r="F79" s="15">
        <f>IF(OR(920807.43432="",277.46038="",181.71246=""),"-",(181.71246-277.46038)/920807.43432*100)</f>
        <v>-1.0398256620365814E-2</v>
      </c>
      <c r="G79" s="15">
        <f>IF(OR(1290763.45346="",648.68757="",181.71246=""),"-",(648.68757-181.71246)/1290763.45346*100)</f>
        <v>3.6178209783383167E-2</v>
      </c>
    </row>
    <row r="80" spans="1:7" s="2" customFormat="1" x14ac:dyDescent="0.3">
      <c r="A80" s="28" t="s">
        <v>66</v>
      </c>
      <c r="B80" s="10">
        <v>608.54943000000003</v>
      </c>
      <c r="C80" s="10">
        <f>IF(OR(1227.47056="",608.54943=""),"-",608.54943/1227.47056*100)</f>
        <v>49.577517362208674</v>
      </c>
      <c r="D80" s="15">
        <f>IF(1227.47056="","-",1227.47056/1290763.45346*100)</f>
        <v>9.5096476175372174E-2</v>
      </c>
      <c r="E80" s="15">
        <f>IF(608.54943="","-",608.54943/1485793.22823*100)</f>
        <v>4.0957881516592624E-2</v>
      </c>
      <c r="F80" s="15">
        <f>IF(OR(920807.43432="",1029.04221="",1227.47056=""),"-",(1227.47056-1029.04221)/920807.43432*100)</f>
        <v>2.1549386180459734E-2</v>
      </c>
      <c r="G80" s="15">
        <f>IF(OR(1290763.45346="",608.54943="",1227.47056=""),"-",(608.54943-1227.47056)/1290763.45346*100)</f>
        <v>-4.7950004188678397E-2</v>
      </c>
    </row>
    <row r="81" spans="1:7" s="2" customFormat="1" x14ac:dyDescent="0.3">
      <c r="A81" s="28" t="s">
        <v>74</v>
      </c>
      <c r="B81" s="70">
        <v>556.14468999999997</v>
      </c>
      <c r="C81" s="10" t="s">
        <v>354</v>
      </c>
      <c r="D81" s="15">
        <f>IF(0.23714="","-",0.23714/1290763.45346*100)</f>
        <v>1.8372072695762051E-5</v>
      </c>
      <c r="E81" s="15">
        <f>IF(556.14469="","-",556.14469/1485793.22823*100)</f>
        <v>3.7430826809092786E-2</v>
      </c>
      <c r="F81" s="15">
        <f>IF(OR(920807.43432="",2.00754="",0.23714=""),"-",(0.23714-2.00754)/920807.43432*100)</f>
        <v>-1.922660410868E-4</v>
      </c>
      <c r="G81" s="15">
        <f>IF(OR(1290763.45346="",556.14469="",0.23714=""),"-",(556.14469-0.23714)/1290763.45346*100)</f>
        <v>4.3068119763527785E-2</v>
      </c>
    </row>
    <row r="82" spans="1:7" s="2" customFormat="1" x14ac:dyDescent="0.3">
      <c r="A82" s="28" t="s">
        <v>301</v>
      </c>
      <c r="B82" s="70">
        <v>502.17935999999997</v>
      </c>
      <c r="C82" s="10" t="s">
        <v>310</v>
      </c>
      <c r="D82" s="15">
        <f>IF(204.65792="","-",204.65792/1290763.45346*100)</f>
        <v>1.5855571324970289E-2</v>
      </c>
      <c r="E82" s="15">
        <f>IF(502.17936="","-",502.17936/1485793.22823*100)</f>
        <v>3.379873797097848E-2</v>
      </c>
      <c r="F82" s="15">
        <f>IF(OR(920807.43432="",654.66011="",204.65792=""),"-",(204.65792-654.66011)/920807.43432*100)</f>
        <v>-4.8870390618894026E-2</v>
      </c>
      <c r="G82" s="15">
        <f>IF(OR(1290763.45346="",502.17936="",204.65792=""),"-",(502.17936-204.65792)/1290763.45346*100)</f>
        <v>2.3050035945972033E-2</v>
      </c>
    </row>
    <row r="83" spans="1:7" s="2" customFormat="1" x14ac:dyDescent="0.3">
      <c r="A83" s="28" t="s">
        <v>35</v>
      </c>
      <c r="B83" s="10">
        <v>479.26348999999999</v>
      </c>
      <c r="C83" s="10" t="s">
        <v>303</v>
      </c>
      <c r="D83" s="15">
        <f>IF(157.03521="","-",157.03521/1290763.45346*100)</f>
        <v>1.2166071914962724E-2</v>
      </c>
      <c r="E83" s="15">
        <f>IF(479.26349="","-",479.26349/1485793.22823*100)</f>
        <v>3.2256405594938559E-2</v>
      </c>
      <c r="F83" s="15">
        <f>IF(OR(920807.43432="",506.73574="",157.03521=""),"-",(157.03521-506.73574)/920807.43432*100)</f>
        <v>-3.7977596288440885E-2</v>
      </c>
      <c r="G83" s="15">
        <f>IF(OR(1290763.45346="",479.26349="",157.03521=""),"-",(479.26349-157.03521)/1290763.45346*100)</f>
        <v>2.4964162034200769E-2</v>
      </c>
    </row>
    <row r="84" spans="1:7" s="2" customFormat="1" x14ac:dyDescent="0.3">
      <c r="A84" s="28" t="s">
        <v>86</v>
      </c>
      <c r="B84" s="10">
        <v>435.8972</v>
      </c>
      <c r="C84" s="10">
        <f>IF(OR(457.87525="",435.8972=""),"-",435.8972/457.87525*100)</f>
        <v>95.199991700796232</v>
      </c>
      <c r="D84" s="15">
        <f>IF(457.87525="","-",457.87525/1290763.45346*100)</f>
        <v>3.547321151467582E-2</v>
      </c>
      <c r="E84" s="15">
        <f>IF(435.8972="","-",435.8972/1485793.22823*100)</f>
        <v>2.9337675776008001E-2</v>
      </c>
      <c r="F84" s="15">
        <f>IF(OR(920807.43432="",411.58211="",457.87525=""),"-",(457.87525-411.58211)/920807.43432*100)</f>
        <v>5.0274507214623718E-3</v>
      </c>
      <c r="G84" s="15">
        <f>IF(OR(1290763.45346="",435.8972="",457.87525=""),"-",(435.8972-457.87525)/1290763.45346*100)</f>
        <v>-1.7027170966985457E-3</v>
      </c>
    </row>
    <row r="85" spans="1:7" s="2" customFormat="1" x14ac:dyDescent="0.3">
      <c r="A85" s="28" t="s">
        <v>84</v>
      </c>
      <c r="B85" s="10">
        <v>425.34498000000002</v>
      </c>
      <c r="C85" s="10">
        <f>IF(OR(309.47857="",425.34498=""),"-",425.34498/309.47857*100)</f>
        <v>137.43923529180066</v>
      </c>
      <c r="D85" s="15">
        <f>IF(309.47857="","-",309.47857/1290763.45346*100)</f>
        <v>2.3976397005231024E-2</v>
      </c>
      <c r="E85" s="15">
        <f>IF(425.34498="","-",425.34498/1485793.22823*100)</f>
        <v>2.8627467935542161E-2</v>
      </c>
      <c r="F85" s="15">
        <f>IF(OR(920807.43432="",484.29581="",309.47857=""),"-",(309.47857-484.29581)/920807.43432*100)</f>
        <v>-1.8985211618007782E-2</v>
      </c>
      <c r="G85" s="15">
        <f>IF(OR(1290763.45346="",425.34498="",309.47857=""),"-",(425.34498-309.47857)/1290763.45346*100)</f>
        <v>8.976579689284692E-3</v>
      </c>
    </row>
    <row r="86" spans="1:7" s="2" customFormat="1" x14ac:dyDescent="0.3">
      <c r="A86" s="28" t="s">
        <v>98</v>
      </c>
      <c r="B86" s="10">
        <v>389.82497000000001</v>
      </c>
      <c r="C86" s="10">
        <f>IF(OR(249.01111="",389.82497=""),"-",389.82497/249.01111*100)</f>
        <v>156.54922786376881</v>
      </c>
      <c r="D86" s="15">
        <f>IF(249.01111="","-",249.01111/1290763.45346*100)</f>
        <v>1.9291769482046056E-2</v>
      </c>
      <c r="E86" s="15">
        <f>IF(389.82497="","-",389.82497/1485793.22823*100)</f>
        <v>2.6236825057036488E-2</v>
      </c>
      <c r="F86" s="15">
        <f>IF(OR(920807.43432="",169.19177="",249.01111=""),"-",(249.01111-169.19177)/920807.43432*100)</f>
        <v>8.6684074242890079E-3</v>
      </c>
      <c r="G86" s="15">
        <f>IF(OR(1290763.45346="",389.82497="",249.01111=""),"-",(389.82497-249.01111)/1290763.45346*100)</f>
        <v>1.0909346683355236E-2</v>
      </c>
    </row>
    <row r="87" spans="1:7" x14ac:dyDescent="0.3">
      <c r="A87" s="28" t="s">
        <v>136</v>
      </c>
      <c r="B87" s="10">
        <v>371.94873000000001</v>
      </c>
      <c r="C87" s="10">
        <f>IF(OR(261.60083="",371.94873=""),"-",371.94873/261.60083*100)</f>
        <v>142.18178512659921</v>
      </c>
      <c r="D87" s="15">
        <f>IF(261.60083="","-",261.60083/1290763.45346*100)</f>
        <v>2.0267139521091718E-2</v>
      </c>
      <c r="E87" s="15">
        <f>IF(371.94873="","-",371.94873/1485793.22823*100)</f>
        <v>2.5033680523843558E-2</v>
      </c>
      <c r="F87" s="15">
        <f>IF(OR(920807.43432="",156.8814="",261.60083=""),"-",(261.60083-156.8814)/920807.43432*100)</f>
        <v>1.1372565652375885E-2</v>
      </c>
      <c r="G87" s="15">
        <f>IF(OR(1290763.45346="",371.94873="",261.60083=""),"-",(371.94873-261.60083)/1290763.45346*100)</f>
        <v>8.5490412440949737E-3</v>
      </c>
    </row>
    <row r="88" spans="1:7" x14ac:dyDescent="0.3">
      <c r="A88" s="28" t="s">
        <v>121</v>
      </c>
      <c r="B88" s="70">
        <v>368.51965000000001</v>
      </c>
      <c r="C88" s="10">
        <f>IF(OR(241.95475="",368.51965=""),"-",368.51965/241.95475*100)</f>
        <v>152.30932643397165</v>
      </c>
      <c r="D88" s="15">
        <f>IF(241.95475="","-",241.95475/1290763.45346*100)</f>
        <v>1.8745088370097553E-2</v>
      </c>
      <c r="E88" s="15">
        <f>IF(368.51965="","-",368.51965/1485793.22823*100)</f>
        <v>2.4802889325253631E-2</v>
      </c>
      <c r="F88" s="15">
        <f>IF(OR(920807.43432="",551.76763="",241.95475=""),"-",(241.95475-551.76763)/920807.43432*100)</f>
        <v>-3.3645783955772619E-2</v>
      </c>
      <c r="G88" s="15">
        <f>IF(OR(1290763.45346="",368.51965="",241.95475=""),"-",(368.51965-241.95475)/1290763.45346*100)</f>
        <v>9.8054294658507842E-3</v>
      </c>
    </row>
    <row r="89" spans="1:7" x14ac:dyDescent="0.3">
      <c r="A89" s="28" t="s">
        <v>295</v>
      </c>
      <c r="B89" s="10">
        <v>363.40812</v>
      </c>
      <c r="C89" s="10">
        <f>IF(OR(330.98001="",363.40812=""),"-",363.40812/330.98001*100)</f>
        <v>109.79760378882098</v>
      </c>
      <c r="D89" s="15">
        <f>IF(330.98001="","-",330.98001/1290763.45346*100)</f>
        <v>2.5642189443215193E-2</v>
      </c>
      <c r="E89" s="15">
        <f>IF(363.40812="","-",363.40812/1485793.22823*100)</f>
        <v>2.4458862316455828E-2</v>
      </c>
      <c r="F89" s="15">
        <f>IF(OR(920807.43432="",89.53087="",330.98001=""),"-",(330.98001-89.53087)/920807.43432*100)</f>
        <v>2.622145858089275E-2</v>
      </c>
      <c r="G89" s="15">
        <f>IF(OR(1290763.45346="",363.40812="",330.98001=""),"-",(363.40812-330.98001)/1290763.45346*100)</f>
        <v>2.512320124425101E-3</v>
      </c>
    </row>
    <row r="90" spans="1:7" x14ac:dyDescent="0.3">
      <c r="A90" s="28" t="s">
        <v>62</v>
      </c>
      <c r="B90" s="70">
        <v>353.87277</v>
      </c>
      <c r="C90" s="10" t="s">
        <v>18</v>
      </c>
      <c r="D90" s="15">
        <f>IF(181.03229="","-",181.03229/1290763.45346*100)</f>
        <v>1.402521039116251E-2</v>
      </c>
      <c r="E90" s="15">
        <f>IF(353.87277="","-",353.87277/1485793.22823*100)</f>
        <v>2.3817094012574182E-2</v>
      </c>
      <c r="F90" s="15">
        <f>IF(OR(920807.43432="",165.56809="",181.03229=""),"-",(181.03229-165.56809)/920807.43432*100)</f>
        <v>1.6794173704103525E-3</v>
      </c>
      <c r="G90" s="15">
        <f>IF(OR(1290763.45346="",353.87277="",181.03229=""),"-",(353.87277-181.03229)/1290763.45346*100)</f>
        <v>1.3390561960573531E-2</v>
      </c>
    </row>
    <row r="91" spans="1:7" x14ac:dyDescent="0.3">
      <c r="A91" s="28" t="s">
        <v>93</v>
      </c>
      <c r="B91" s="70">
        <v>353.18034</v>
      </c>
      <c r="C91" s="10">
        <f>IF(OR(303.88784="",353.18034=""),"-",353.18034/303.88784*100)</f>
        <v>116.22062271395922</v>
      </c>
      <c r="D91" s="15">
        <f>IF(303.88784="","-",303.88784/1290763.45346*100)</f>
        <v>2.3543263421768185E-2</v>
      </c>
      <c r="E91" s="15">
        <f>IF(353.18034="","-",353.18034/1485793.22823*100)</f>
        <v>2.3770490623432016E-2</v>
      </c>
      <c r="F91" s="15">
        <f>IF(OR(920807.43432="",200.48146="",303.88784=""),"-",(303.88784-200.48146)/920807.43432*100)</f>
        <v>1.1229967976568713E-2</v>
      </c>
      <c r="G91" s="15">
        <f>IF(OR(1290763.45346="",353.18034="",303.88784=""),"-",(353.18034-303.88784)/1290763.45346*100)</f>
        <v>3.8188639341985809E-3</v>
      </c>
    </row>
    <row r="92" spans="1:7" x14ac:dyDescent="0.3">
      <c r="A92" s="28" t="s">
        <v>88</v>
      </c>
      <c r="B92" s="10">
        <v>346.72154</v>
      </c>
      <c r="C92" s="10" t="s">
        <v>101</v>
      </c>
      <c r="D92" s="15">
        <f>IF(181.09875="","-",181.09875/1290763.45346*100)</f>
        <v>1.4030359281907894E-2</v>
      </c>
      <c r="E92" s="15">
        <f>IF(346.72154="","-",346.72154/1485793.22823*100)</f>
        <v>2.3335786798075762E-2</v>
      </c>
      <c r="F92" s="15">
        <f>IF(OR(920807.43432="",129.85318="",181.09875=""),"-",(181.09875-129.85318)/920807.43432*100)</f>
        <v>5.5652863009130601E-3</v>
      </c>
      <c r="G92" s="15">
        <f>IF(OR(1290763.45346="",346.72154="",181.09875=""),"-",(346.72154-181.09875)/1290763.45346*100)</f>
        <v>1.2831382044171936E-2</v>
      </c>
    </row>
    <row r="93" spans="1:7" x14ac:dyDescent="0.3">
      <c r="A93" s="28" t="s">
        <v>89</v>
      </c>
      <c r="B93" s="10">
        <v>280.43502000000001</v>
      </c>
      <c r="C93" s="10" t="s">
        <v>99</v>
      </c>
      <c r="D93" s="15">
        <f>IF(163.5464="","-",163.5464/1290763.45346*100)</f>
        <v>1.2670516783040309E-2</v>
      </c>
      <c r="E93" s="15">
        <f>IF(280.43502="","-",280.43502/1485793.22823*100)</f>
        <v>1.8874431157158891E-2</v>
      </c>
      <c r="F93" s="15">
        <f>IF(OR(920807.43432="",927.77893="",163.5464=""),"-",(163.5464-927.77893)/920807.43432*100)</f>
        <v>-8.2995912230484123E-2</v>
      </c>
      <c r="G93" s="15">
        <f>IF(OR(1290763.45346="",280.43502="",163.5464=""),"-",(280.43502-163.5464)/1290763.45346*100)</f>
        <v>9.055773905487504E-3</v>
      </c>
    </row>
    <row r="94" spans="1:7" x14ac:dyDescent="0.3">
      <c r="A94" s="28" t="s">
        <v>83</v>
      </c>
      <c r="B94" s="70">
        <v>278.59294</v>
      </c>
      <c r="C94" s="10">
        <f>IF(OR(216.49104="",278.59294=""),"-",278.59294/216.49104*100)</f>
        <v>128.68566754540973</v>
      </c>
      <c r="D94" s="15">
        <f>IF(216.49104="","-",216.49104/1290763.45346*100)</f>
        <v>1.6772324891882982E-2</v>
      </c>
      <c r="E94" s="15">
        <f>IF(278.59294="","-",278.59294/1485793.22823*100)</f>
        <v>1.8750451590890813E-2</v>
      </c>
      <c r="F94" s="15">
        <f>IF(OR(920807.43432="",523.86957="",216.49104=""),"-",(216.49104-523.86957)/920807.43432*100)</f>
        <v>-3.3381412719261282E-2</v>
      </c>
      <c r="G94" s="15">
        <f>IF(OR(1290763.45346="",278.59294="",216.49104=""),"-",(278.59294-216.49104)/1290763.45346*100)</f>
        <v>4.8112533581215547E-3</v>
      </c>
    </row>
    <row r="95" spans="1:7" x14ac:dyDescent="0.3">
      <c r="A95" s="28" t="s">
        <v>115</v>
      </c>
      <c r="B95" s="70">
        <v>206.16862</v>
      </c>
      <c r="C95" s="10" t="s">
        <v>355</v>
      </c>
      <c r="D95" s="15">
        <f>IF(0.51364="","-",0.51364/1290763.45346*100)</f>
        <v>3.9793503497728011E-5</v>
      </c>
      <c r="E95" s="15">
        <f>IF(206.16862="","-",206.16862/1485793.22823*100)</f>
        <v>1.3875996745900178E-2</v>
      </c>
      <c r="F95" s="15">
        <f>IF(OR(920807.43432="",235.79026="",0.51364=""),"-",(0.51364-235.79026)/920807.43432*100)</f>
        <v>-2.5551120813196694E-2</v>
      </c>
      <c r="G95" s="15">
        <f>IF(OR(1290763.45346="",206.16862="",0.51364=""),"-",(206.16862-0.51364)/1290763.45346*100)</f>
        <v>1.5932817081915709E-2</v>
      </c>
    </row>
    <row r="96" spans="1:7" x14ac:dyDescent="0.3">
      <c r="A96" s="28" t="s">
        <v>94</v>
      </c>
      <c r="B96" s="70">
        <v>195.34522999999999</v>
      </c>
      <c r="C96" s="10">
        <f>IF(OR(133.81987="",195.34523=""),"-",195.34523/133.81987*100)</f>
        <v>145.97625150883795</v>
      </c>
      <c r="D96" s="15">
        <f>IF(133.81987="","-",133.81987/1290763.45346*100)</f>
        <v>1.0367497595418013E-2</v>
      </c>
      <c r="E96" s="15">
        <f>IF(195.34523="","-",195.34523/1485793.22823*100)</f>
        <v>1.3147538048259341E-2</v>
      </c>
      <c r="F96" s="15">
        <f>IF(OR(920807.43432="",230.10364="",133.81987=""),"-",(133.81987-230.10364)/920807.43432*100)</f>
        <v>-1.0456450112297786E-2</v>
      </c>
      <c r="G96" s="15">
        <f>IF(OR(1290763.45346="",195.34523="",133.81987=""),"-",(195.34523-133.81987)/1290763.45346*100)</f>
        <v>4.7665867696421119E-3</v>
      </c>
    </row>
    <row r="97" spans="1:7" x14ac:dyDescent="0.3">
      <c r="A97" s="28" t="s">
        <v>125</v>
      </c>
      <c r="B97" s="10">
        <v>169.04562999999999</v>
      </c>
      <c r="C97" s="10" t="s">
        <v>91</v>
      </c>
      <c r="D97" s="15">
        <f>IF(79.42584="","-",79.42584/1290763.45346*100)</f>
        <v>6.1534001282026038E-3</v>
      </c>
      <c r="E97" s="15">
        <f>IF(169.04563="","-",169.04563/1485793.22823*100)</f>
        <v>1.137746671529666E-2</v>
      </c>
      <c r="F97" s="15">
        <f>IF(OR(920807.43432="",72.15525="",79.42584=""),"-",(79.42584-72.15525)/920807.43432*100)</f>
        <v>7.8958854251314783E-4</v>
      </c>
      <c r="G97" s="15">
        <f>IF(OR(1290763.45346="",169.04563="",79.42584=""),"-",(169.04563-79.42584)/1290763.45346*100)</f>
        <v>6.9431614103859706E-3</v>
      </c>
    </row>
    <row r="98" spans="1:7" x14ac:dyDescent="0.3">
      <c r="A98" s="28" t="s">
        <v>124</v>
      </c>
      <c r="B98" s="70">
        <v>148.70058</v>
      </c>
      <c r="C98" s="10">
        <f>IF(OR(184.05883="",148.70058=""),"-",148.70058/184.05883*100)</f>
        <v>80.789701857824483</v>
      </c>
      <c r="D98" s="15">
        <f>IF(184.05883="","-",184.05883/1290763.45346*100)</f>
        <v>1.4259687125988487E-2</v>
      </c>
      <c r="E98" s="15">
        <f>IF(148.70058="","-",148.70058/1485793.22823*100)</f>
        <v>1.0008161107124203E-2</v>
      </c>
      <c r="F98" s="15">
        <f>IF(OR(920807.43432="",78.1355="",184.05883=""),"-",(184.05883-78.1355)/920807.43432*100)</f>
        <v>1.1503309601124421E-2</v>
      </c>
      <c r="G98" s="15">
        <f>IF(OR(1290763.45346="",148.70058="",184.05883=""),"-",(148.70058-184.05883)/1290763.45346*100)</f>
        <v>-2.7393284110438076E-3</v>
      </c>
    </row>
    <row r="99" spans="1:7" x14ac:dyDescent="0.3">
      <c r="A99" s="28" t="s">
        <v>90</v>
      </c>
      <c r="B99" s="70">
        <v>143.51319000000001</v>
      </c>
      <c r="C99" s="10">
        <f>IF(OR(411.48322="",143.51319=""),"-",143.51319/411.48322*100)</f>
        <v>34.877045532986742</v>
      </c>
      <c r="D99" s="15">
        <f>IF(411.48322="","-",411.48322/1290763.45346*100)</f>
        <v>3.1879057227486934E-2</v>
      </c>
      <c r="E99" s="15">
        <f>IF(143.51319="","-",143.51319/1485793.22823*100)</f>
        <v>9.6590284080756532E-3</v>
      </c>
      <c r="F99" s="15">
        <f>IF(OR(920807.43432="",103.09831="",411.48322=""),"-",(411.48322-103.09831)/920807.43432*100)</f>
        <v>3.3490705928947762E-2</v>
      </c>
      <c r="G99" s="15">
        <f>IF(OR(1290763.45346="",143.51319="",411.48322=""),"-",(143.51319-411.48322)/1290763.45346*100)</f>
        <v>-2.0760583922769412E-2</v>
      </c>
    </row>
    <row r="100" spans="1:7" x14ac:dyDescent="0.3">
      <c r="A100" s="28" t="s">
        <v>297</v>
      </c>
      <c r="B100" s="70">
        <v>137.4237</v>
      </c>
      <c r="C100" s="10">
        <f>IF(OR(356.26058="",137.4237=""),"-",137.4237/356.26058*100)</f>
        <v>38.573928106219327</v>
      </c>
      <c r="D100" s="15">
        <f>IF(356.26058="","-",356.26058/1290763.45346*100)</f>
        <v>2.7600764419306541E-2</v>
      </c>
      <c r="E100" s="15">
        <f>IF(137.4237="","-",137.4237/1485793.22823*100)</f>
        <v>9.2491806658528443E-3</v>
      </c>
      <c r="F100" s="15">
        <f>IF(OR(920807.43432="",229.07848="",356.26058=""),"-",(356.26058-229.07848)/920807.43432*100)</f>
        <v>1.3812019240909119E-2</v>
      </c>
      <c r="G100" s="15">
        <f>IF(OR(1290763.45346="",137.4237="",356.26058=""),"-",(137.4237-356.26058)/1290763.45346*100)</f>
        <v>-1.6954065395436271E-2</v>
      </c>
    </row>
    <row r="101" spans="1:7" x14ac:dyDescent="0.3">
      <c r="A101" s="28" t="s">
        <v>117</v>
      </c>
      <c r="B101" s="10">
        <v>130.21610999999999</v>
      </c>
      <c r="C101" s="10">
        <f>IF(OR(85.46838="",130.21611=""),"-",130.21611/85.46838*100)</f>
        <v>152.35588880940529</v>
      </c>
      <c r="D101" s="15">
        <f>IF(85.46838="","-",85.46838/1290763.45346*100)</f>
        <v>6.6215370268576179E-3</v>
      </c>
      <c r="E101" s="15">
        <f>IF(130.21611="","-",130.21611/1485793.22823*100)</f>
        <v>8.7640801913684979E-3</v>
      </c>
      <c r="F101" s="15">
        <f>IF(OR(920807.43432="",114.13523="",85.46838=""),"-",(85.46838-114.13523)/920807.43432*100)</f>
        <v>-3.1132296429784989E-3</v>
      </c>
      <c r="G101" s="15">
        <f>IF(OR(1290763.45346="",130.21611="",85.46838=""),"-",(130.21611-85.46838)/1290763.45346*100)</f>
        <v>3.4667645632551754E-3</v>
      </c>
    </row>
    <row r="102" spans="1:7" x14ac:dyDescent="0.3">
      <c r="A102" s="28" t="s">
        <v>286</v>
      </c>
      <c r="B102" s="70">
        <v>118.96438000000001</v>
      </c>
      <c r="C102" s="10">
        <f>IF(OR(75.94346="",118.96438=""),"-",118.96438/75.94346*100)</f>
        <v>156.64861727395618</v>
      </c>
      <c r="D102" s="15">
        <f>IF(75.94346="","-",75.94346/1290763.45346*100)</f>
        <v>5.8836078598620972E-3</v>
      </c>
      <c r="E102" s="15">
        <f>IF(118.96438="","-",118.96438/1485793.22823*100)</f>
        <v>8.0067924486181847E-3</v>
      </c>
      <c r="F102" s="15">
        <f>IF(OR(920807.43432="",0.48514="",75.94346=""),"-",(75.94346-0.48514)/920807.43432*100)</f>
        <v>8.1947991716340377E-3</v>
      </c>
      <c r="G102" s="15">
        <f>IF(OR(1290763.45346="",118.96438="",75.94346=""),"-",(118.96438-75.94346)/1290763.45346*100)</f>
        <v>3.332982498433684E-3</v>
      </c>
    </row>
    <row r="103" spans="1:7" x14ac:dyDescent="0.3">
      <c r="A103" s="28" t="s">
        <v>316</v>
      </c>
      <c r="B103" s="70">
        <v>118.62412</v>
      </c>
      <c r="C103" s="10" t="s">
        <v>356</v>
      </c>
      <c r="D103" s="15">
        <f>IF(13.29654="","-",13.29654/1290763.45346*100)</f>
        <v>1.0301298788989962E-3</v>
      </c>
      <c r="E103" s="15">
        <f>IF(118.62412="","-",118.62412/1485793.22823*100)</f>
        <v>7.9838915500587432E-3</v>
      </c>
      <c r="F103" s="15">
        <f>IF(OR(920807.43432="",5.3597="",13.29654=""),"-",(13.29654-5.3597)/920807.43432*100)</f>
        <v>8.6194351871857081E-4</v>
      </c>
      <c r="G103" s="15">
        <f>IF(OR(1290763.45346="",118.62412="",13.29654=""),"-",(118.62412-13.29654)/1290763.45346*100)</f>
        <v>8.1600993363780613E-3</v>
      </c>
    </row>
    <row r="104" spans="1:7" x14ac:dyDescent="0.3">
      <c r="A104" s="29" t="s">
        <v>97</v>
      </c>
      <c r="B104" s="71">
        <v>117.92</v>
      </c>
      <c r="C104" s="69">
        <f>IF(OR(88.73="",117.92=""),"-",117.92/88.73*100)</f>
        <v>132.89755437845147</v>
      </c>
      <c r="D104" s="19">
        <f>IF(88.73="","-",88.73/1290763.45346*100)</f>
        <v>6.874226238909366E-3</v>
      </c>
      <c r="E104" s="19">
        <f>IF(117.92="","-",117.92/1485793.22823*100)</f>
        <v>7.9365013757988438E-3</v>
      </c>
      <c r="F104" s="19" t="str">
        <f>IF(OR(920807.43432="",""="",88.73=""),"-",(88.73-"")/920807.43432*100)</f>
        <v>-</v>
      </c>
      <c r="G104" s="19">
        <f>IF(OR(1290763.45346="",117.92="",88.73=""),"-",(117.92-88.73)/1290763.45346*100)</f>
        <v>2.2614523150429884E-3</v>
      </c>
    </row>
    <row r="105" spans="1:7" x14ac:dyDescent="0.3">
      <c r="A105" s="20" t="s">
        <v>278</v>
      </c>
      <c r="B105" s="21"/>
      <c r="C105" s="21"/>
      <c r="D105" s="21"/>
      <c r="E105" s="21"/>
      <c r="F105" s="2"/>
      <c r="G105" s="2"/>
    </row>
    <row r="106" spans="1:7" x14ac:dyDescent="0.3">
      <c r="A106" s="77" t="s">
        <v>331</v>
      </c>
      <c r="B106" s="77"/>
      <c r="C106" s="77"/>
      <c r="D106" s="77"/>
      <c r="E106" s="77"/>
      <c r="F106" s="2"/>
      <c r="G106" s="2"/>
    </row>
  </sheetData>
  <mergeCells count="7">
    <mergeCell ref="A106:E106"/>
    <mergeCell ref="A1:G1"/>
    <mergeCell ref="A3:A4"/>
    <mergeCell ref="B3:C3"/>
    <mergeCell ref="D3:E3"/>
    <mergeCell ref="F3:G3"/>
    <mergeCell ref="A2:G2"/>
  </mergeCells>
  <phoneticPr fontId="6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E118"/>
  <sheetViews>
    <sheetView workbookViewId="0">
      <selection sqref="A1:D1"/>
    </sheetView>
  </sheetViews>
  <sheetFormatPr defaultRowHeight="15.6" x14ac:dyDescent="0.3"/>
  <cols>
    <col min="1" max="1" width="48" customWidth="1"/>
    <col min="2" max="2" width="12.8984375" customWidth="1"/>
    <col min="3" max="3" width="12.69921875" customWidth="1"/>
    <col min="4" max="4" width="15" customWidth="1"/>
  </cols>
  <sheetData>
    <row r="1" spans="1:4" ht="16.2" x14ac:dyDescent="0.35">
      <c r="A1" s="88" t="s">
        <v>289</v>
      </c>
      <c r="B1" s="88"/>
      <c r="C1" s="88"/>
      <c r="D1" s="88"/>
    </row>
    <row r="2" spans="1:4" ht="16.2" x14ac:dyDescent="0.35">
      <c r="A2" s="89"/>
      <c r="B2" s="89"/>
      <c r="C2" s="89"/>
      <c r="D2" s="89"/>
    </row>
    <row r="3" spans="1:4" ht="76.5" customHeight="1" x14ac:dyDescent="0.3">
      <c r="A3" s="46"/>
      <c r="B3" s="46" t="s">
        <v>340</v>
      </c>
      <c r="C3" s="47" t="s">
        <v>341</v>
      </c>
      <c r="D3" s="47" t="s">
        <v>342</v>
      </c>
    </row>
    <row r="4" spans="1:4" s="1" customFormat="1" ht="16.5" customHeight="1" x14ac:dyDescent="0.25">
      <c r="A4" s="56" t="s">
        <v>357</v>
      </c>
      <c r="B4" s="57">
        <v>-623941.91590999998</v>
      </c>
      <c r="C4" s="57">
        <v>-798326.79674000002</v>
      </c>
      <c r="D4" s="57">
        <f>IF(-623941.91591="","-",-798326.79674/-623941.91591*100)</f>
        <v>127.94889658529594</v>
      </c>
    </row>
    <row r="5" spans="1:4" x14ac:dyDescent="0.3">
      <c r="A5" s="18" t="s">
        <v>123</v>
      </c>
      <c r="B5" s="35"/>
      <c r="C5" s="35"/>
      <c r="D5" s="35"/>
    </row>
    <row r="6" spans="1:4" x14ac:dyDescent="0.3">
      <c r="A6" s="27" t="s">
        <v>305</v>
      </c>
      <c r="B6" s="17">
        <v>-123920.96183</v>
      </c>
      <c r="C6" s="17">
        <v>-286883.53531000001</v>
      </c>
      <c r="D6" s="17" t="s">
        <v>313</v>
      </c>
    </row>
    <row r="7" spans="1:4" x14ac:dyDescent="0.3">
      <c r="A7" s="28" t="s">
        <v>8</v>
      </c>
      <c r="B7" s="15">
        <v>8427.5328300000001</v>
      </c>
      <c r="C7" s="15">
        <v>-50892.393880000003</v>
      </c>
      <c r="D7" s="15" t="s">
        <v>20</v>
      </c>
    </row>
    <row r="8" spans="1:4" x14ac:dyDescent="0.3">
      <c r="A8" s="28" t="s">
        <v>4</v>
      </c>
      <c r="B8" s="15">
        <v>-43640.915399999998</v>
      </c>
      <c r="C8" s="15">
        <v>-45651.427000000003</v>
      </c>
      <c r="D8" s="15">
        <f>IF(OR(-43640.9154="",-45651.427="",-43640.9154=0),"-",-45651.427/-43640.9154*100)</f>
        <v>104.60694186080251</v>
      </c>
    </row>
    <row r="9" spans="1:4" x14ac:dyDescent="0.3">
      <c r="A9" s="28" t="s">
        <v>5</v>
      </c>
      <c r="B9" s="15">
        <v>-21055.042819999999</v>
      </c>
      <c r="C9" s="15">
        <v>-27462.586810000001</v>
      </c>
      <c r="D9" s="15">
        <f>IF(OR(-21055.04282="",-27462.58681="",-21055.04282=0),"-",-27462.58681/-21055.04282*100)</f>
        <v>130.43234841542821</v>
      </c>
    </row>
    <row r="10" spans="1:4" x14ac:dyDescent="0.3">
      <c r="A10" s="28" t="s">
        <v>40</v>
      </c>
      <c r="B10" s="15">
        <v>-19596.102729999999</v>
      </c>
      <c r="C10" s="15">
        <v>-26969.800380000001</v>
      </c>
      <c r="D10" s="15">
        <f>IF(OR(-19596.10273="",-26969.80038="",-19596.10273=0),"-",-26969.80038/-19596.10273*100)</f>
        <v>137.62838841782292</v>
      </c>
    </row>
    <row r="11" spans="1:4" x14ac:dyDescent="0.3">
      <c r="A11" s="28" t="s">
        <v>290</v>
      </c>
      <c r="B11" s="15">
        <v>-23722.050569999999</v>
      </c>
      <c r="C11" s="15">
        <v>-25415.049190000002</v>
      </c>
      <c r="D11" s="15">
        <f>IF(OR(-23722.05057="",-25415.04919="",-23722.05057=0),"-",-25415.04919/-23722.05057*100)</f>
        <v>107.13681397400376</v>
      </c>
    </row>
    <row r="12" spans="1:4" x14ac:dyDescent="0.3">
      <c r="A12" s="28" t="s">
        <v>3</v>
      </c>
      <c r="B12" s="15">
        <v>-2870.99136</v>
      </c>
      <c r="C12" s="15">
        <v>-23973.417710000002</v>
      </c>
      <c r="D12" s="15" t="s">
        <v>358</v>
      </c>
    </row>
    <row r="13" spans="1:4" x14ac:dyDescent="0.3">
      <c r="A13" s="28" t="s">
        <v>6</v>
      </c>
      <c r="B13" s="15">
        <v>8144.5540799999999</v>
      </c>
      <c r="C13" s="15">
        <v>-20443.578799999999</v>
      </c>
      <c r="D13" s="15" t="s">
        <v>20</v>
      </c>
    </row>
    <row r="14" spans="1:4" x14ac:dyDescent="0.3">
      <c r="A14" s="28" t="s">
        <v>2</v>
      </c>
      <c r="B14" s="15">
        <v>17311.754629999999</v>
      </c>
      <c r="C14" s="15">
        <v>-15480.03297</v>
      </c>
      <c r="D14" s="15" t="s">
        <v>20</v>
      </c>
    </row>
    <row r="15" spans="1:4" x14ac:dyDescent="0.3">
      <c r="A15" s="28" t="s">
        <v>7</v>
      </c>
      <c r="B15" s="15">
        <v>-8689.1405500000001</v>
      </c>
      <c r="C15" s="15">
        <v>-13845.45009</v>
      </c>
      <c r="D15" s="15">
        <f>IF(OR(-8689.14055="",-13845.45009="",-8689.14055=0),"-",-13845.45009/-8689.14055*100)</f>
        <v>159.34199717830552</v>
      </c>
    </row>
    <row r="16" spans="1:4" x14ac:dyDescent="0.3">
      <c r="A16" s="28" t="s">
        <v>42</v>
      </c>
      <c r="B16" s="15">
        <v>-4184.6757399999997</v>
      </c>
      <c r="C16" s="15">
        <v>-10549.35491</v>
      </c>
      <c r="D16" s="15" t="s">
        <v>310</v>
      </c>
    </row>
    <row r="17" spans="1:4" x14ac:dyDescent="0.3">
      <c r="A17" s="28" t="s">
        <v>304</v>
      </c>
      <c r="B17" s="15">
        <v>-6349.5004799999997</v>
      </c>
      <c r="C17" s="15">
        <v>-7275.1517899999999</v>
      </c>
      <c r="D17" s="15">
        <f>IF(OR(-6349.50048="",-7275.15179="",-6349.50048=0),"-",-7275.15179/-6349.50048*100)</f>
        <v>114.57833278248685</v>
      </c>
    </row>
    <row r="18" spans="1:4" x14ac:dyDescent="0.3">
      <c r="A18" s="28" t="s">
        <v>39</v>
      </c>
      <c r="B18" s="15">
        <v>-3193.3265099999999</v>
      </c>
      <c r="C18" s="15">
        <v>-6477.1145999999999</v>
      </c>
      <c r="D18" s="15" t="s">
        <v>18</v>
      </c>
    </row>
    <row r="19" spans="1:4" x14ac:dyDescent="0.3">
      <c r="A19" s="28" t="s">
        <v>50</v>
      </c>
      <c r="B19" s="15">
        <v>-4714.49305</v>
      </c>
      <c r="C19" s="15">
        <v>-4844.3970300000001</v>
      </c>
      <c r="D19" s="15">
        <f>IF(OR(-4714.49305="",-4844.39703="",-4714.49305=0),"-",-4844.39703/-4714.49305*100)</f>
        <v>102.75541778558778</v>
      </c>
    </row>
    <row r="20" spans="1:4" x14ac:dyDescent="0.3">
      <c r="A20" s="28" t="s">
        <v>48</v>
      </c>
      <c r="B20" s="15">
        <v>-3982.3563800000002</v>
      </c>
      <c r="C20" s="15">
        <v>-4694.1919200000002</v>
      </c>
      <c r="D20" s="15">
        <f>IF(OR(-3982.35638="",-4694.19192="",-3982.35638=0),"-",-4694.19192/-3982.35638*100)</f>
        <v>117.87473224583682</v>
      </c>
    </row>
    <row r="21" spans="1:4" x14ac:dyDescent="0.3">
      <c r="A21" s="28" t="s">
        <v>49</v>
      </c>
      <c r="B21" s="15">
        <v>-3508.7718500000001</v>
      </c>
      <c r="C21" s="15">
        <v>-4635.7660599999999</v>
      </c>
      <c r="D21" s="15">
        <f>IF(OR(-3508.77185="",-4635.76606="",-3508.77185=0),"-",-4635.76606/-3508.77185*100)</f>
        <v>132.11933571571487</v>
      </c>
    </row>
    <row r="22" spans="1:4" x14ac:dyDescent="0.3">
      <c r="A22" s="28" t="s">
        <v>38</v>
      </c>
      <c r="B22" s="15">
        <v>-7658.8396000000002</v>
      </c>
      <c r="C22" s="15">
        <v>-4586.5497400000004</v>
      </c>
      <c r="D22" s="15">
        <f>IF(OR(-7658.8396="",-4586.54974="",-7658.8396=0),"-",-4586.54974/-7658.8396*100)</f>
        <v>59.885700439528733</v>
      </c>
    </row>
    <row r="23" spans="1:4" x14ac:dyDescent="0.3">
      <c r="A23" s="28" t="s">
        <v>43</v>
      </c>
      <c r="B23" s="15">
        <v>-1637.4076399999999</v>
      </c>
      <c r="C23" s="15">
        <v>-2236.54765</v>
      </c>
      <c r="D23" s="15">
        <f>IF(OR(-1637.40764="",-2236.54765="",-1637.40764=0),"-",-2236.54765/-1637.40764*100)</f>
        <v>136.59076673173456</v>
      </c>
    </row>
    <row r="24" spans="1:4" x14ac:dyDescent="0.3">
      <c r="A24" s="28" t="s">
        <v>46</v>
      </c>
      <c r="B24" s="15">
        <v>-2253.3237199999999</v>
      </c>
      <c r="C24" s="15">
        <v>-2150.2522600000002</v>
      </c>
      <c r="D24" s="15">
        <f>IF(OR(-2253.32372="",-2150.25226="",-2253.32372=0),"-",-2150.25226/-2253.32372*100)</f>
        <v>95.425803266296796</v>
      </c>
    </row>
    <row r="25" spans="1:4" x14ac:dyDescent="0.3">
      <c r="A25" s="28" t="s">
        <v>47</v>
      </c>
      <c r="B25" s="15">
        <v>-1723.1797899999999</v>
      </c>
      <c r="C25" s="15">
        <v>-2096.11825</v>
      </c>
      <c r="D25" s="15">
        <f>IF(OR(-1723.17979="",-2096.11825="",-1723.17979=0),"-",-2096.11825/-1723.17979*100)</f>
        <v>121.64245786564152</v>
      </c>
    </row>
    <row r="26" spans="1:4" x14ac:dyDescent="0.3">
      <c r="A26" s="28" t="s">
        <v>51</v>
      </c>
      <c r="B26" s="15">
        <v>-1217.3777600000001</v>
      </c>
      <c r="C26" s="15">
        <v>-1181.0861600000001</v>
      </c>
      <c r="D26" s="15">
        <f>IF(OR(-1217.37776="",-1181.08616="",-1217.37776=0),"-",-1181.08616/-1217.37776*100)</f>
        <v>97.018871118526093</v>
      </c>
    </row>
    <row r="27" spans="1:4" x14ac:dyDescent="0.3">
      <c r="A27" s="28" t="s">
        <v>291</v>
      </c>
      <c r="B27" s="15">
        <v>-751.00238000000002</v>
      </c>
      <c r="C27" s="15">
        <v>-620.17111</v>
      </c>
      <c r="D27" s="15">
        <f>IF(OR(-751.00238="",-620.17111="",-751.00238=0),"-",-620.17111/-751.00238*100)</f>
        <v>82.579113797215925</v>
      </c>
    </row>
    <row r="28" spans="1:4" x14ac:dyDescent="0.3">
      <c r="A28" s="28" t="s">
        <v>52</v>
      </c>
      <c r="B28" s="15">
        <v>-403.68768999999998</v>
      </c>
      <c r="C28" s="15">
        <v>-237.29222999999999</v>
      </c>
      <c r="D28" s="15">
        <f>IF(OR(-403.68769="",-237.29223="",-403.68769=0),"-",-237.29223/-403.68769*100)</f>
        <v>58.781140935954724</v>
      </c>
    </row>
    <row r="29" spans="1:4" x14ac:dyDescent="0.3">
      <c r="A29" s="28" t="s">
        <v>44</v>
      </c>
      <c r="B29" s="15">
        <v>-91.74588</v>
      </c>
      <c r="C29" s="15">
        <v>-176.56684999999999</v>
      </c>
      <c r="D29" s="15" t="s">
        <v>101</v>
      </c>
    </row>
    <row r="30" spans="1:4" x14ac:dyDescent="0.3">
      <c r="A30" s="28" t="s">
        <v>53</v>
      </c>
      <c r="B30" s="15">
        <v>-9.2607199999999992</v>
      </c>
      <c r="C30" s="15">
        <v>-4.6884199999999998</v>
      </c>
      <c r="D30" s="15">
        <f>IF(OR(-9.26072="",-4.68842="",-9.26072=0),"-",-4.68842/-9.26072*100)</f>
        <v>50.626949092511161</v>
      </c>
    </row>
    <row r="31" spans="1:4" x14ac:dyDescent="0.3">
      <c r="A31" s="28" t="s">
        <v>41</v>
      </c>
      <c r="B31" s="15">
        <v>-1609.9166499999999</v>
      </c>
      <c r="C31" s="15">
        <v>2044.04935</v>
      </c>
      <c r="D31" s="15" t="s">
        <v>20</v>
      </c>
    </row>
    <row r="32" spans="1:4" x14ac:dyDescent="0.3">
      <c r="A32" s="28" t="s">
        <v>298</v>
      </c>
      <c r="B32" s="15">
        <v>-3027.4277099999999</v>
      </c>
      <c r="C32" s="15">
        <v>2120.4876199999999</v>
      </c>
      <c r="D32" s="15" t="s">
        <v>20</v>
      </c>
    </row>
    <row r="33" spans="1:4" x14ac:dyDescent="0.3">
      <c r="A33" s="28" t="s">
        <v>45</v>
      </c>
      <c r="B33" s="15">
        <v>8085.7336100000002</v>
      </c>
      <c r="C33" s="15">
        <v>10850.91353</v>
      </c>
      <c r="D33" s="15">
        <f>IF(OR(8085.73361="",10850.91353="",8085.73361=0),"-",10850.91353/8085.73361*100)</f>
        <v>134.19825650179936</v>
      </c>
    </row>
    <row r="34" spans="1:4" x14ac:dyDescent="0.3">
      <c r="A34" s="27" t="s">
        <v>197</v>
      </c>
      <c r="B34" s="17">
        <v>-357325.91282000003</v>
      </c>
      <c r="C34" s="17">
        <v>-181265.94880000001</v>
      </c>
      <c r="D34" s="17">
        <f>IF(-357325.91282="","-",-181265.9488/-357325.91282*100)</f>
        <v>50.728464490430405</v>
      </c>
    </row>
    <row r="35" spans="1:4" x14ac:dyDescent="0.3">
      <c r="A35" s="28" t="s">
        <v>292</v>
      </c>
      <c r="B35" s="15">
        <v>-265495.27971999999</v>
      </c>
      <c r="C35" s="15">
        <v>-82657.564639999997</v>
      </c>
      <c r="D35" s="15">
        <f>IF(OR(-265495.27972="",-82657.56464="",-265495.27972=0),"-",-82657.56464/-265495.27972*100)</f>
        <v>31.133346222642217</v>
      </c>
    </row>
    <row r="36" spans="1:4" x14ac:dyDescent="0.3">
      <c r="A36" s="28" t="s">
        <v>10</v>
      </c>
      <c r="B36" s="15">
        <v>-69283.910999999993</v>
      </c>
      <c r="C36" s="15">
        <v>-78817.211349999998</v>
      </c>
      <c r="D36" s="15">
        <f>IF(OR(-69283.911="",-78817.21135="",-69283.911=0),"-",-78817.21135/-69283.911*100)</f>
        <v>113.75976068960658</v>
      </c>
    </row>
    <row r="37" spans="1:4" x14ac:dyDescent="0.3">
      <c r="A37" s="28" t="s">
        <v>11</v>
      </c>
      <c r="B37" s="15">
        <v>-1544.9711400000001</v>
      </c>
      <c r="C37" s="15">
        <v>-16020.397220000001</v>
      </c>
      <c r="D37" s="15" t="s">
        <v>359</v>
      </c>
    </row>
    <row r="38" spans="1:4" x14ac:dyDescent="0.3">
      <c r="A38" s="28" t="s">
        <v>12</v>
      </c>
      <c r="B38" s="15">
        <v>-543.22514999999999</v>
      </c>
      <c r="C38" s="15">
        <v>-7646.1925799999999</v>
      </c>
      <c r="D38" s="15" t="s">
        <v>360</v>
      </c>
    </row>
    <row r="39" spans="1:4" x14ac:dyDescent="0.3">
      <c r="A39" s="28" t="s">
        <v>14</v>
      </c>
      <c r="B39" s="15">
        <v>-1598.9974099999999</v>
      </c>
      <c r="C39" s="15">
        <v>-1628.5987399999999</v>
      </c>
      <c r="D39" s="15">
        <f>IF(OR(-1598.99741="",-1628.59874="",-1598.99741=0),"-",-1628.59874/-1598.99741*100)</f>
        <v>101.85124314866776</v>
      </c>
    </row>
    <row r="40" spans="1:4" x14ac:dyDescent="0.3">
      <c r="A40" s="28" t="s">
        <v>13</v>
      </c>
      <c r="B40" s="15">
        <v>-4135.2328100000004</v>
      </c>
      <c r="C40" s="15">
        <v>-88.462069999999997</v>
      </c>
      <c r="D40" s="15">
        <f>IF(OR(-4135.23281="",-88.46207="",-4135.23281=0),"-",-88.46207/-4135.23281*100)</f>
        <v>2.1392282868833203</v>
      </c>
    </row>
    <row r="41" spans="1:4" x14ac:dyDescent="0.3">
      <c r="A41" s="28" t="s">
        <v>16</v>
      </c>
      <c r="B41" s="15">
        <v>16.399429999999999</v>
      </c>
      <c r="C41" s="15">
        <v>42.13064</v>
      </c>
      <c r="D41" s="15" t="s">
        <v>308</v>
      </c>
    </row>
    <row r="42" spans="1:4" x14ac:dyDescent="0.3">
      <c r="A42" s="28" t="s">
        <v>15</v>
      </c>
      <c r="B42" s="15">
        <v>-113.94882</v>
      </c>
      <c r="C42" s="15">
        <v>124.16457</v>
      </c>
      <c r="D42" s="15" t="s">
        <v>20</v>
      </c>
    </row>
    <row r="43" spans="1:4" x14ac:dyDescent="0.3">
      <c r="A43" s="28" t="s">
        <v>299</v>
      </c>
      <c r="B43" s="15">
        <v>-1626.85589</v>
      </c>
      <c r="C43" s="15">
        <v>264.54705999999999</v>
      </c>
      <c r="D43" s="15" t="s">
        <v>20</v>
      </c>
    </row>
    <row r="44" spans="1:4" x14ac:dyDescent="0.3">
      <c r="A44" s="28" t="s">
        <v>9</v>
      </c>
      <c r="B44" s="15">
        <v>-12999.890310000001</v>
      </c>
      <c r="C44" s="15">
        <v>5161.6355299999996</v>
      </c>
      <c r="D44" s="15" t="s">
        <v>20</v>
      </c>
    </row>
    <row r="45" spans="1:4" x14ac:dyDescent="0.3">
      <c r="A45" s="27" t="s">
        <v>132</v>
      </c>
      <c r="B45" s="17">
        <v>-142695.04126</v>
      </c>
      <c r="C45" s="17">
        <v>-330177.31263</v>
      </c>
      <c r="D45" s="17" t="s">
        <v>313</v>
      </c>
    </row>
    <row r="46" spans="1:4" x14ac:dyDescent="0.3">
      <c r="A46" s="28" t="s">
        <v>57</v>
      </c>
      <c r="B46" s="15">
        <v>-126383.67353</v>
      </c>
      <c r="C46" s="15">
        <v>-147306.72761999999</v>
      </c>
      <c r="D46" s="15">
        <f>IF(OR(-126383.67353="",-147306.72762="",-126383.67353=0),"-",-147306.72762/-126383.67353*100)</f>
        <v>116.55518747445922</v>
      </c>
    </row>
    <row r="47" spans="1:4" x14ac:dyDescent="0.3">
      <c r="A47" s="28" t="s">
        <v>54</v>
      </c>
      <c r="B47" s="15">
        <v>13295.72847</v>
      </c>
      <c r="C47" s="15">
        <v>-84984.512090000004</v>
      </c>
      <c r="D47" s="15" t="s">
        <v>20</v>
      </c>
    </row>
    <row r="48" spans="1:4" x14ac:dyDescent="0.3">
      <c r="A48" s="28" t="s">
        <v>67</v>
      </c>
      <c r="B48" s="15">
        <v>-10608.58251</v>
      </c>
      <c r="C48" s="15">
        <v>-32681.456050000001</v>
      </c>
      <c r="D48" s="15" t="s">
        <v>303</v>
      </c>
    </row>
    <row r="49" spans="1:4" x14ac:dyDescent="0.3">
      <c r="A49" s="28" t="s">
        <v>73</v>
      </c>
      <c r="B49" s="15">
        <v>-8186.5790399999996</v>
      </c>
      <c r="C49" s="15">
        <v>-11913.11694</v>
      </c>
      <c r="D49" s="15">
        <f>IF(OR(-8186.57904="",-11913.11694="",-8186.57904=0),"-",-11913.11694/-8186.57904*100)</f>
        <v>145.52008698373237</v>
      </c>
    </row>
    <row r="50" spans="1:4" x14ac:dyDescent="0.3">
      <c r="A50" s="28" t="s">
        <v>17</v>
      </c>
      <c r="B50" s="15">
        <v>-11677.24043</v>
      </c>
      <c r="C50" s="15">
        <v>-8526.9081999999999</v>
      </c>
      <c r="D50" s="15">
        <f>IF(OR(-11677.24043="",-8526.9082="",-11677.24043=0),"-",-8526.9082/-11677.24043*100)</f>
        <v>73.021603444025345</v>
      </c>
    </row>
    <row r="51" spans="1:4" x14ac:dyDescent="0.3">
      <c r="A51" s="28" t="s">
        <v>60</v>
      </c>
      <c r="B51" s="15">
        <v>-1369.0142599999999</v>
      </c>
      <c r="C51" s="15">
        <v>-7878.9081299999998</v>
      </c>
      <c r="D51" s="15" t="s">
        <v>361</v>
      </c>
    </row>
    <row r="52" spans="1:4" x14ac:dyDescent="0.3">
      <c r="A52" s="28" t="s">
        <v>69</v>
      </c>
      <c r="B52" s="15">
        <v>-6245.6375500000004</v>
      </c>
      <c r="C52" s="15">
        <v>-7068.7558600000002</v>
      </c>
      <c r="D52" s="15">
        <f>IF(OR(-6245.63755="",-7068.75586="",-6245.63755=0),"-",-7068.75586/-6245.63755*100)</f>
        <v>113.17909186068601</v>
      </c>
    </row>
    <row r="53" spans="1:4" x14ac:dyDescent="0.3">
      <c r="A53" s="28" t="s">
        <v>34</v>
      </c>
      <c r="B53" s="15">
        <v>-9440.0656099999997</v>
      </c>
      <c r="C53" s="15">
        <v>-6837.7679600000001</v>
      </c>
      <c r="D53" s="15">
        <f>IF(OR(-9440.06561="",-6837.76796="",-9440.06561=0),"-",-6837.76796/-9440.06561*100)</f>
        <v>72.433479199092147</v>
      </c>
    </row>
    <row r="54" spans="1:4" x14ac:dyDescent="0.3">
      <c r="A54" s="28" t="s">
        <v>76</v>
      </c>
      <c r="B54" s="15">
        <v>-4079.4539599999998</v>
      </c>
      <c r="C54" s="15">
        <v>-5812.2098400000004</v>
      </c>
      <c r="D54" s="15">
        <f>IF(OR(-4079.45396="",-5812.20984="",-4079.45396=0),"-",-5812.20984/-4079.45396*100)</f>
        <v>142.47519145920208</v>
      </c>
    </row>
    <row r="55" spans="1:4" x14ac:dyDescent="0.3">
      <c r="A55" s="28" t="s">
        <v>300</v>
      </c>
      <c r="B55" s="15">
        <v>-2943.51046</v>
      </c>
      <c r="C55" s="15">
        <v>-3811.1619900000001</v>
      </c>
      <c r="D55" s="15">
        <f>IF(OR(-2943.51046="",-3811.16199="",-2943.51046=0),"-",-3811.16199/-2943.51046*100)</f>
        <v>129.47676054801587</v>
      </c>
    </row>
    <row r="56" spans="1:4" x14ac:dyDescent="0.3">
      <c r="A56" s="28" t="s">
        <v>64</v>
      </c>
      <c r="B56" s="15">
        <v>-1921.2642800000001</v>
      </c>
      <c r="C56" s="15">
        <v>-2429.1520399999999</v>
      </c>
      <c r="D56" s="15">
        <f>IF(OR(-1921.26428="",-2429.15204="",-1921.26428=0),"-",-2429.15204/-1921.26428*100)</f>
        <v>126.43508055018853</v>
      </c>
    </row>
    <row r="57" spans="1:4" x14ac:dyDescent="0.3">
      <c r="A57" s="28" t="s">
        <v>79</v>
      </c>
      <c r="B57" s="15">
        <v>-2182.51683</v>
      </c>
      <c r="C57" s="15">
        <v>-2250.1873900000001</v>
      </c>
      <c r="D57" s="15">
        <f>IF(OR(-2182.51683="",-2250.18739="",-2182.51683=0),"-",-2250.18739/-2182.51683*100)</f>
        <v>103.10057448674979</v>
      </c>
    </row>
    <row r="58" spans="1:4" x14ac:dyDescent="0.3">
      <c r="A58" s="28" t="s">
        <v>71</v>
      </c>
      <c r="B58" s="15">
        <v>-2121.6012900000001</v>
      </c>
      <c r="C58" s="15">
        <v>-2244.19839</v>
      </c>
      <c r="D58" s="15">
        <f>IF(OR(-2121.60129="",-2244.19839="",-2121.60129=0),"-",-2244.19839/-2121.60129*100)</f>
        <v>105.7785174140802</v>
      </c>
    </row>
    <row r="59" spans="1:4" x14ac:dyDescent="0.3">
      <c r="A59" s="28" t="s">
        <v>80</v>
      </c>
      <c r="B59" s="15">
        <v>-1305.4909</v>
      </c>
      <c r="C59" s="15">
        <v>-2072.4018099999998</v>
      </c>
      <c r="D59" s="15">
        <f>IF(OR(-1305.4909="",-2072.40181="",-1305.4909=0),"-",-2072.40181/-1305.4909*100)</f>
        <v>158.74502150876731</v>
      </c>
    </row>
    <row r="60" spans="1:4" x14ac:dyDescent="0.3">
      <c r="A60" s="28" t="s">
        <v>294</v>
      </c>
      <c r="B60" s="15">
        <v>8754.19787</v>
      </c>
      <c r="C60" s="15">
        <v>-2064.93851</v>
      </c>
      <c r="D60" s="15" t="s">
        <v>20</v>
      </c>
    </row>
    <row r="61" spans="1:4" x14ac:dyDescent="0.3">
      <c r="A61" s="28" t="s">
        <v>68</v>
      </c>
      <c r="B61" s="15">
        <v>-1701.8808200000001</v>
      </c>
      <c r="C61" s="15">
        <v>-1899.1433300000001</v>
      </c>
      <c r="D61" s="15">
        <f>IF(OR(-1701.88082="",-1899.14333="",-1701.88082=0),"-",-1899.14333/-1701.88082*100)</f>
        <v>111.5908533477685</v>
      </c>
    </row>
    <row r="62" spans="1:4" x14ac:dyDescent="0.3">
      <c r="A62" s="28" t="s">
        <v>75</v>
      </c>
      <c r="B62" s="15">
        <v>-1324.1270300000001</v>
      </c>
      <c r="C62" s="15">
        <v>-1856.3562899999999</v>
      </c>
      <c r="D62" s="15">
        <f>IF(OR(-1324.12703="",-1856.35629="",-1324.12703=0),"-",-1856.35629/-1324.12703*100)</f>
        <v>140.19472814477624</v>
      </c>
    </row>
    <row r="63" spans="1:4" x14ac:dyDescent="0.3">
      <c r="A63" s="28" t="s">
        <v>61</v>
      </c>
      <c r="B63" s="15">
        <v>503.25652000000002</v>
      </c>
      <c r="C63" s="15">
        <v>-1842.57098</v>
      </c>
      <c r="D63" s="15" t="s">
        <v>20</v>
      </c>
    </row>
    <row r="64" spans="1:4" x14ac:dyDescent="0.3">
      <c r="A64" s="28" t="s">
        <v>63</v>
      </c>
      <c r="B64" s="24">
        <v>-1181.7051899999999</v>
      </c>
      <c r="C64" s="15">
        <v>-1673.3985700000001</v>
      </c>
      <c r="D64" s="15">
        <f>IF(OR(-1181.70519="",-1673.39857="",-1181.70519=0),"-",-1673.39857/-1181.70519*100)</f>
        <v>141.60880261514296</v>
      </c>
    </row>
    <row r="65" spans="1:4" x14ac:dyDescent="0.3">
      <c r="A65" s="28" t="s">
        <v>81</v>
      </c>
      <c r="B65" s="15">
        <v>451.97417999999999</v>
      </c>
      <c r="C65" s="15">
        <v>-1509.02862</v>
      </c>
      <c r="D65" s="15" t="s">
        <v>20</v>
      </c>
    </row>
    <row r="66" spans="1:4" x14ac:dyDescent="0.3">
      <c r="A66" s="28" t="s">
        <v>59</v>
      </c>
      <c r="B66" s="15">
        <v>-1827.35537</v>
      </c>
      <c r="C66" s="15">
        <v>-1447.38824</v>
      </c>
      <c r="D66" s="15">
        <f>IF(OR(-1827.35537="",-1447.38824="",-1827.35537=0),"-",-1447.38824/-1827.35537*100)</f>
        <v>79.206719380478248</v>
      </c>
    </row>
    <row r="67" spans="1:4" x14ac:dyDescent="0.3">
      <c r="A67" s="28" t="s">
        <v>87</v>
      </c>
      <c r="B67" s="15">
        <v>844.56744000000003</v>
      </c>
      <c r="C67" s="15">
        <v>-971.57406000000003</v>
      </c>
      <c r="D67" s="15" t="s">
        <v>20</v>
      </c>
    </row>
    <row r="68" spans="1:4" x14ac:dyDescent="0.3">
      <c r="A68" s="28" t="s">
        <v>37</v>
      </c>
      <c r="B68" s="15">
        <v>-484.24212999999997</v>
      </c>
      <c r="C68" s="15">
        <v>-920.50609999999995</v>
      </c>
      <c r="D68" s="15" t="s">
        <v>101</v>
      </c>
    </row>
    <row r="69" spans="1:4" x14ac:dyDescent="0.3">
      <c r="A69" s="28" t="s">
        <v>77</v>
      </c>
      <c r="B69" s="15">
        <v>-619.84112000000005</v>
      </c>
      <c r="C69" s="15">
        <v>-801.06187</v>
      </c>
      <c r="D69" s="15">
        <f>IF(OR(-619.84112="",-801.06187="",-619.84112=0),"-",-801.06187/-619.84112*100)</f>
        <v>129.23664535195726</v>
      </c>
    </row>
    <row r="70" spans="1:4" x14ac:dyDescent="0.3">
      <c r="A70" s="28" t="s">
        <v>85</v>
      </c>
      <c r="B70" s="15">
        <v>-526.59118999999998</v>
      </c>
      <c r="C70" s="15">
        <v>-751.52513999999996</v>
      </c>
      <c r="D70" s="15">
        <f>IF(OR(-526.59119="",-751.52514="",-526.59119=0),"-",-751.52514/-526.59119*100)</f>
        <v>142.71509935439673</v>
      </c>
    </row>
    <row r="71" spans="1:4" x14ac:dyDescent="0.3">
      <c r="A71" s="28" t="s">
        <v>70</v>
      </c>
      <c r="B71" s="15">
        <v>-1897.5937799999999</v>
      </c>
      <c r="C71" s="15">
        <v>-678.74397999999997</v>
      </c>
      <c r="D71" s="15">
        <f>IF(OR(-1897.59378="",-678.74398="",-1897.59378=0),"-",-678.74398/-1897.59378*100)</f>
        <v>35.768665936499858</v>
      </c>
    </row>
    <row r="72" spans="1:4" x14ac:dyDescent="0.3">
      <c r="A72" s="28" t="s">
        <v>78</v>
      </c>
      <c r="B72" s="15">
        <v>437.20715000000001</v>
      </c>
      <c r="C72" s="15">
        <v>-670.33518000000004</v>
      </c>
      <c r="D72" s="15" t="s">
        <v>20</v>
      </c>
    </row>
    <row r="73" spans="1:4" x14ac:dyDescent="0.3">
      <c r="A73" s="28" t="s">
        <v>293</v>
      </c>
      <c r="B73" s="15">
        <v>20486.644049999999</v>
      </c>
      <c r="C73" s="15">
        <v>-606.89759000000004</v>
      </c>
      <c r="D73" s="15" t="s">
        <v>20</v>
      </c>
    </row>
    <row r="74" spans="1:4" x14ac:dyDescent="0.3">
      <c r="A74" s="28" t="s">
        <v>65</v>
      </c>
      <c r="B74" s="15">
        <v>397.12704000000002</v>
      </c>
      <c r="C74" s="15">
        <v>-568.22531000000004</v>
      </c>
      <c r="D74" s="15" t="s">
        <v>20</v>
      </c>
    </row>
    <row r="75" spans="1:4" x14ac:dyDescent="0.3">
      <c r="A75" s="28" t="s">
        <v>56</v>
      </c>
      <c r="B75" s="15">
        <v>2841.6074400000002</v>
      </c>
      <c r="C75" s="15">
        <v>-555.93253000000004</v>
      </c>
      <c r="D75" s="15" t="s">
        <v>20</v>
      </c>
    </row>
    <row r="76" spans="1:4" x14ac:dyDescent="0.3">
      <c r="A76" s="28" t="s">
        <v>301</v>
      </c>
      <c r="B76" s="15">
        <v>-204.65791999999999</v>
      </c>
      <c r="C76" s="15">
        <v>-502.17935999999997</v>
      </c>
      <c r="D76" s="15" t="s">
        <v>310</v>
      </c>
    </row>
    <row r="77" spans="1:4" x14ac:dyDescent="0.3">
      <c r="A77" s="28" t="s">
        <v>86</v>
      </c>
      <c r="B77" s="15">
        <v>-457.87524999999999</v>
      </c>
      <c r="C77" s="15">
        <v>-435.8972</v>
      </c>
      <c r="D77" s="15">
        <f>IF(OR(-457.87525="",-435.8972="",-457.87525=0),"-",-435.8972/-457.87525*100)</f>
        <v>95.199991700796232</v>
      </c>
    </row>
    <row r="78" spans="1:4" x14ac:dyDescent="0.3">
      <c r="A78" s="28" t="s">
        <v>136</v>
      </c>
      <c r="B78" s="15">
        <v>-261.60082999999997</v>
      </c>
      <c r="C78" s="15">
        <v>-371.94873000000001</v>
      </c>
      <c r="D78" s="15">
        <f>IF(OR(-261.60083="",-371.94873="",-261.60083=0),"-",-371.94873/-261.60083*100)</f>
        <v>142.18178512659921</v>
      </c>
    </row>
    <row r="79" spans="1:4" x14ac:dyDescent="0.3">
      <c r="A79" s="28" t="s">
        <v>62</v>
      </c>
      <c r="B79" s="15">
        <v>-181.03228999999999</v>
      </c>
      <c r="C79" s="15">
        <v>-353.87277</v>
      </c>
      <c r="D79" s="15" t="s">
        <v>18</v>
      </c>
    </row>
    <row r="80" spans="1:4" x14ac:dyDescent="0.3">
      <c r="A80" s="28" t="s">
        <v>93</v>
      </c>
      <c r="B80" s="15">
        <v>-299.64584000000002</v>
      </c>
      <c r="C80" s="15">
        <v>-353.18034</v>
      </c>
      <c r="D80" s="15">
        <f>IF(OR(-299.64584="",-353.18034="",-299.64584=0),"-",-353.18034/-299.64584*100)</f>
        <v>117.86592465291692</v>
      </c>
    </row>
    <row r="81" spans="1:4" x14ac:dyDescent="0.3">
      <c r="A81" s="28" t="s">
        <v>36</v>
      </c>
      <c r="B81" s="15">
        <v>189.83851999999999</v>
      </c>
      <c r="C81" s="15">
        <v>-352.07467000000003</v>
      </c>
      <c r="D81" s="15" t="s">
        <v>20</v>
      </c>
    </row>
    <row r="82" spans="1:4" x14ac:dyDescent="0.3">
      <c r="A82" s="28" t="s">
        <v>98</v>
      </c>
      <c r="B82" s="15">
        <v>-4.82369</v>
      </c>
      <c r="C82" s="15">
        <v>-350.98917</v>
      </c>
      <c r="D82" s="15" t="s">
        <v>362</v>
      </c>
    </row>
    <row r="83" spans="1:4" x14ac:dyDescent="0.3">
      <c r="A83" s="28" t="s">
        <v>88</v>
      </c>
      <c r="B83" s="15">
        <v>-179.74875</v>
      </c>
      <c r="C83" s="15">
        <v>-280.36935</v>
      </c>
      <c r="D83" s="15">
        <f>IF(OR(-179.74875="",-280.36935="",-179.74875=0),"-",-280.36935/-179.74875*100)</f>
        <v>155.97846994763523</v>
      </c>
    </row>
    <row r="84" spans="1:4" x14ac:dyDescent="0.3">
      <c r="A84" s="28" t="s">
        <v>74</v>
      </c>
      <c r="B84" s="15">
        <v>322.19474000000002</v>
      </c>
      <c r="C84" s="15">
        <v>-246.04329999999999</v>
      </c>
      <c r="D84" s="15" t="s">
        <v>20</v>
      </c>
    </row>
    <row r="85" spans="1:4" x14ac:dyDescent="0.3">
      <c r="A85" s="28" t="s">
        <v>84</v>
      </c>
      <c r="B85" s="15">
        <v>-234.81986000000001</v>
      </c>
      <c r="C85" s="15">
        <v>-232.55146999999999</v>
      </c>
      <c r="D85" s="15">
        <f>IF(OR(-234.81986="",-232.55147="",-234.81986=0),"-",-232.55147/-234.81986*100)</f>
        <v>99.033987159348442</v>
      </c>
    </row>
    <row r="86" spans="1:4" x14ac:dyDescent="0.3">
      <c r="A86" s="28" t="s">
        <v>115</v>
      </c>
      <c r="B86" s="15">
        <v>1734.47002</v>
      </c>
      <c r="C86" s="15">
        <v>-206.16862</v>
      </c>
      <c r="D86" s="15" t="s">
        <v>20</v>
      </c>
    </row>
    <row r="87" spans="1:4" x14ac:dyDescent="0.3">
      <c r="A87" s="28" t="s">
        <v>125</v>
      </c>
      <c r="B87" s="15">
        <v>-60.957949999999997</v>
      </c>
      <c r="C87" s="15">
        <v>-168.97962999999999</v>
      </c>
      <c r="D87" s="15" t="s">
        <v>296</v>
      </c>
    </row>
    <row r="88" spans="1:4" x14ac:dyDescent="0.3">
      <c r="A88" s="28" t="s">
        <v>124</v>
      </c>
      <c r="B88" s="15">
        <v>-184.05883</v>
      </c>
      <c r="C88" s="15">
        <v>-148.70058</v>
      </c>
      <c r="D88" s="15">
        <f>IF(OR(-184.05883="",-148.70058="",-184.05883=0),"-",-148.70058/-184.05883*100)</f>
        <v>80.789701857824483</v>
      </c>
    </row>
    <row r="89" spans="1:4" x14ac:dyDescent="0.3">
      <c r="A89" s="28" t="s">
        <v>90</v>
      </c>
      <c r="B89" s="15">
        <v>-411.48322000000002</v>
      </c>
      <c r="C89" s="15">
        <v>-143.51319000000001</v>
      </c>
      <c r="D89" s="15">
        <f>IF(OR(-411.48322="",-143.51319="",-411.48322=0),"-",-143.51319/-411.48322*100)</f>
        <v>34.877045532986742</v>
      </c>
    </row>
    <row r="90" spans="1:4" x14ac:dyDescent="0.3">
      <c r="A90" s="28" t="s">
        <v>297</v>
      </c>
      <c r="B90" s="15">
        <v>-356.26058</v>
      </c>
      <c r="C90" s="15">
        <v>-137.4237</v>
      </c>
      <c r="D90" s="15">
        <f>IF(OR(-356.26058="",-137.4237="",-356.26058=0),"-",-137.4237/-356.26058*100)</f>
        <v>38.573928106219327</v>
      </c>
    </row>
    <row r="91" spans="1:4" x14ac:dyDescent="0.3">
      <c r="A91" s="28" t="s">
        <v>117</v>
      </c>
      <c r="B91" s="15">
        <v>-85.468379999999996</v>
      </c>
      <c r="C91" s="15">
        <v>-130.21610999999999</v>
      </c>
      <c r="D91" s="15">
        <f>IF(OR(-85.46838="",-130.21611="",-85.46838=0),"-",-130.21611/-85.46838*100)</f>
        <v>152.35588880940529</v>
      </c>
    </row>
    <row r="92" spans="1:4" x14ac:dyDescent="0.3">
      <c r="A92" s="28" t="s">
        <v>94</v>
      </c>
      <c r="B92" s="15">
        <v>-90.514390000000006</v>
      </c>
      <c r="C92" s="15">
        <v>-122.89154000000001</v>
      </c>
      <c r="D92" s="15">
        <f>IF(OR(-90.51439="",-122.89154="",-90.51439=0),"-",-122.89154/-90.51439*100)</f>
        <v>135.77016869914274</v>
      </c>
    </row>
    <row r="93" spans="1:4" x14ac:dyDescent="0.3">
      <c r="A93" s="28" t="s">
        <v>286</v>
      </c>
      <c r="B93" s="15">
        <v>-75.943460000000002</v>
      </c>
      <c r="C93" s="15">
        <v>-118.96438000000001</v>
      </c>
      <c r="D93" s="15">
        <f>IF(OR(-75.94346="",-118.96438="",-75.94346=0),"-",-118.96438/-75.94346*100)</f>
        <v>156.64861727395618</v>
      </c>
    </row>
    <row r="94" spans="1:4" x14ac:dyDescent="0.3">
      <c r="A94" s="28" t="s">
        <v>316</v>
      </c>
      <c r="B94" s="15">
        <v>1.48933</v>
      </c>
      <c r="C94" s="15">
        <v>-118.62412</v>
      </c>
      <c r="D94" s="15" t="s">
        <v>20</v>
      </c>
    </row>
    <row r="95" spans="1:4" x14ac:dyDescent="0.3">
      <c r="A95" s="28" t="s">
        <v>202</v>
      </c>
      <c r="B95" s="15">
        <v>-181.04150999999999</v>
      </c>
      <c r="C95" s="15">
        <v>-92.793949999999995</v>
      </c>
      <c r="D95" s="15">
        <f>IF(OR(-181.04151="",-92.79395="",-181.04151=0),"-",-92.79395/-181.04151*100)</f>
        <v>51.25562087943257</v>
      </c>
    </row>
    <row r="96" spans="1:4" x14ac:dyDescent="0.3">
      <c r="A96" s="28" t="s">
        <v>89</v>
      </c>
      <c r="B96" s="15">
        <v>-57.183770000000003</v>
      </c>
      <c r="C96" s="15">
        <v>-39.979120000000002</v>
      </c>
      <c r="D96" s="15">
        <f>IF(OR(-57.18377="",-39.97912="",-57.18377=0),"-",-39.97912/-57.18377*100)</f>
        <v>69.913403750749552</v>
      </c>
    </row>
    <row r="97" spans="1:4" x14ac:dyDescent="0.3">
      <c r="A97" s="28" t="s">
        <v>295</v>
      </c>
      <c r="B97" s="15">
        <v>0.71772999999999998</v>
      </c>
      <c r="C97" s="15">
        <v>50.482059999999997</v>
      </c>
      <c r="D97" s="15" t="s">
        <v>363</v>
      </c>
    </row>
    <row r="98" spans="1:4" x14ac:dyDescent="0.3">
      <c r="A98" s="28" t="s">
        <v>302</v>
      </c>
      <c r="B98" s="15">
        <v>1.5702199999999999</v>
      </c>
      <c r="C98" s="15">
        <v>53.88579</v>
      </c>
      <c r="D98" s="15" t="s">
        <v>364</v>
      </c>
    </row>
    <row r="99" spans="1:4" x14ac:dyDescent="0.3">
      <c r="A99" s="28" t="s">
        <v>317</v>
      </c>
      <c r="B99" s="15">
        <v>21.96651</v>
      </c>
      <c r="C99" s="15">
        <v>57.250689999999999</v>
      </c>
      <c r="D99" s="15" t="s">
        <v>308</v>
      </c>
    </row>
    <row r="100" spans="1:4" x14ac:dyDescent="0.3">
      <c r="A100" s="28" t="s">
        <v>130</v>
      </c>
      <c r="B100" s="15">
        <v>51.91357</v>
      </c>
      <c r="C100" s="15">
        <v>62.479010000000002</v>
      </c>
      <c r="D100" s="15">
        <f>IF(OR(51.91357="",62.47901="",51.91357=0),"-",62.47901/51.91357*100)</f>
        <v>120.35198118719248</v>
      </c>
    </row>
    <row r="101" spans="1:4" x14ac:dyDescent="0.3">
      <c r="A101" s="28" t="s">
        <v>201</v>
      </c>
      <c r="B101" s="15">
        <v>113.81531</v>
      </c>
      <c r="C101" s="15">
        <v>74.449600000000004</v>
      </c>
      <c r="D101" s="15">
        <f>IF(OR(113.81531="",74.4496="",113.81531=0),"-",74.4496/113.81531*100)</f>
        <v>65.412640882847839</v>
      </c>
    </row>
    <row r="102" spans="1:4" x14ac:dyDescent="0.3">
      <c r="A102" s="28" t="s">
        <v>103</v>
      </c>
      <c r="B102" s="15">
        <v>37.157719999999998</v>
      </c>
      <c r="C102" s="15">
        <v>93.646680000000003</v>
      </c>
      <c r="D102" s="15" t="s">
        <v>310</v>
      </c>
    </row>
    <row r="103" spans="1:4" x14ac:dyDescent="0.3">
      <c r="A103" s="28" t="s">
        <v>118</v>
      </c>
      <c r="B103" s="15">
        <v>82.009749999999997</v>
      </c>
      <c r="C103" s="15">
        <v>136.76987</v>
      </c>
      <c r="D103" s="15" t="s">
        <v>99</v>
      </c>
    </row>
    <row r="104" spans="1:4" x14ac:dyDescent="0.3">
      <c r="A104" s="28" t="s">
        <v>325</v>
      </c>
      <c r="B104" s="15" t="s">
        <v>323</v>
      </c>
      <c r="C104" s="15">
        <v>175.10164</v>
      </c>
      <c r="D104" s="15" t="str">
        <f>IF(OR(0="",175.10164="",0=0),"-",175.10164/0*100)</f>
        <v>-</v>
      </c>
    </row>
    <row r="105" spans="1:4" x14ac:dyDescent="0.3">
      <c r="A105" s="28" t="s">
        <v>137</v>
      </c>
      <c r="B105" s="15">
        <v>69.129140000000007</v>
      </c>
      <c r="C105" s="15">
        <v>190.35595000000001</v>
      </c>
      <c r="D105" s="15" t="s">
        <v>296</v>
      </c>
    </row>
    <row r="106" spans="1:4" x14ac:dyDescent="0.3">
      <c r="A106" s="28" t="s">
        <v>135</v>
      </c>
      <c r="B106" s="15">
        <v>63.374400000000001</v>
      </c>
      <c r="C106" s="15">
        <v>196.9624</v>
      </c>
      <c r="D106" s="15" t="s">
        <v>303</v>
      </c>
    </row>
    <row r="107" spans="1:4" x14ac:dyDescent="0.3">
      <c r="A107" s="28" t="s">
        <v>92</v>
      </c>
      <c r="B107" s="15">
        <v>511.15532999999999</v>
      </c>
      <c r="C107" s="15">
        <v>207.12123</v>
      </c>
      <c r="D107" s="15">
        <f>IF(OR(511.15533="",207.12123="",511.15533=0),"-",207.12123/511.15533*100)</f>
        <v>40.520213297981265</v>
      </c>
    </row>
    <row r="108" spans="1:4" x14ac:dyDescent="0.3">
      <c r="A108" s="28" t="s">
        <v>346</v>
      </c>
      <c r="B108" s="15" t="s">
        <v>323</v>
      </c>
      <c r="C108" s="15">
        <v>209.21487999999999</v>
      </c>
      <c r="D108" s="15" t="str">
        <f>IF(OR(0="",209.21488="",0=0),"-",209.21488/0*100)</f>
        <v>-</v>
      </c>
    </row>
    <row r="109" spans="1:4" x14ac:dyDescent="0.3">
      <c r="A109" s="28" t="s">
        <v>322</v>
      </c>
      <c r="B109" s="15">
        <v>-5.1999999999999998E-3</v>
      </c>
      <c r="C109" s="15">
        <v>224.49042</v>
      </c>
      <c r="D109" s="15" t="s">
        <v>20</v>
      </c>
    </row>
    <row r="110" spans="1:4" x14ac:dyDescent="0.3">
      <c r="A110" s="28" t="s">
        <v>122</v>
      </c>
      <c r="B110" s="15">
        <v>74.910499999999999</v>
      </c>
      <c r="C110" s="15">
        <v>225.96225999999999</v>
      </c>
      <c r="D110" s="15" t="s">
        <v>311</v>
      </c>
    </row>
    <row r="111" spans="1:4" x14ac:dyDescent="0.3">
      <c r="A111" s="28" t="s">
        <v>82</v>
      </c>
      <c r="B111" s="15">
        <v>-733.79136000000005</v>
      </c>
      <c r="C111" s="15">
        <v>494.75564000000003</v>
      </c>
      <c r="D111" s="15" t="s">
        <v>20</v>
      </c>
    </row>
    <row r="112" spans="1:4" x14ac:dyDescent="0.3">
      <c r="A112" s="28" t="s">
        <v>55</v>
      </c>
      <c r="B112" s="15">
        <v>1076.2797</v>
      </c>
      <c r="C112" s="15">
        <v>677.19731000000002</v>
      </c>
      <c r="D112" s="15">
        <f>IF(OR(1076.2797="",677.19731="",1076.2797=0),"-",677.19731/1076.2797*100)</f>
        <v>62.920197231258747</v>
      </c>
    </row>
    <row r="113" spans="1:5" x14ac:dyDescent="0.3">
      <c r="A113" s="28" t="s">
        <v>35</v>
      </c>
      <c r="B113" s="15">
        <v>835.60594000000003</v>
      </c>
      <c r="C113" s="15">
        <v>1389.14139</v>
      </c>
      <c r="D113" s="15" t="s">
        <v>99</v>
      </c>
    </row>
    <row r="114" spans="1:5" x14ac:dyDescent="0.3">
      <c r="A114" s="28" t="s">
        <v>66</v>
      </c>
      <c r="B114" s="15">
        <v>250.59953999999999</v>
      </c>
      <c r="C114" s="15">
        <v>1930.5105599999999</v>
      </c>
      <c r="D114" s="15" t="s">
        <v>365</v>
      </c>
    </row>
    <row r="115" spans="1:5" x14ac:dyDescent="0.3">
      <c r="A115" s="28" t="s">
        <v>58</v>
      </c>
      <c r="B115" s="15">
        <v>2191.9168500000001</v>
      </c>
      <c r="C115" s="15">
        <v>2825.2750700000001</v>
      </c>
      <c r="D115" s="15">
        <f>IF(OR(2191.91685="",2825.27507="",2191.91685=0),"-",2825.27507/2191.91685*100)</f>
        <v>128.89517547164255</v>
      </c>
    </row>
    <row r="116" spans="1:5" x14ac:dyDescent="0.3">
      <c r="A116" s="28" t="s">
        <v>345</v>
      </c>
      <c r="B116" s="15">
        <v>-8.6718799999999998</v>
      </c>
      <c r="C116" s="15">
        <v>2999.9343800000001</v>
      </c>
      <c r="D116" s="15" t="s">
        <v>20</v>
      </c>
    </row>
    <row r="117" spans="1:5" x14ac:dyDescent="0.3">
      <c r="A117" s="29" t="s">
        <v>72</v>
      </c>
      <c r="B117" s="19">
        <v>-1205.5816400000001</v>
      </c>
      <c r="C117" s="19">
        <v>4672.3901999999998</v>
      </c>
      <c r="D117" s="19" t="s">
        <v>20</v>
      </c>
    </row>
    <row r="118" spans="1:5" x14ac:dyDescent="0.3">
      <c r="A118" s="20" t="s">
        <v>278</v>
      </c>
      <c r="B118" s="21"/>
      <c r="C118" s="21"/>
      <c r="D118" s="21"/>
      <c r="E118" s="21"/>
    </row>
  </sheetData>
  <sortState xmlns:xlrd2="http://schemas.microsoft.com/office/spreadsheetml/2017/richdata2" ref="A47:E105">
    <sortCondition ref="C47:C105"/>
  </sortState>
  <mergeCells count="2">
    <mergeCell ref="A1:D1"/>
    <mergeCell ref="A2:D2"/>
  </mergeCells>
  <phoneticPr fontId="6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F40"/>
  <sheetViews>
    <sheetView workbookViewId="0">
      <selection sqref="A1:E1"/>
    </sheetView>
  </sheetViews>
  <sheetFormatPr defaultRowHeight="15.6" x14ac:dyDescent="0.3"/>
  <cols>
    <col min="1" max="1" width="30" customWidth="1"/>
    <col min="2" max="2" width="14.19921875" customWidth="1"/>
    <col min="3" max="3" width="14.69921875" customWidth="1"/>
    <col min="4" max="5" width="11.59765625" customWidth="1"/>
  </cols>
  <sheetData>
    <row r="1" spans="1:5" ht="16.2" x14ac:dyDescent="0.35">
      <c r="A1" s="78" t="s">
        <v>284</v>
      </c>
      <c r="B1" s="78"/>
      <c r="C1" s="78"/>
      <c r="D1" s="78"/>
      <c r="E1" s="78"/>
    </row>
    <row r="2" spans="1:5" ht="16.2" x14ac:dyDescent="0.35">
      <c r="A2" s="91"/>
      <c r="B2" s="91"/>
      <c r="C2" s="91"/>
      <c r="D2" s="91"/>
      <c r="E2" s="91"/>
    </row>
    <row r="3" spans="1:5" ht="18.75" customHeight="1" x14ac:dyDescent="0.3">
      <c r="A3" s="79"/>
      <c r="B3" s="81" t="s">
        <v>341</v>
      </c>
      <c r="C3" s="82"/>
      <c r="D3" s="83" t="s">
        <v>104</v>
      </c>
      <c r="E3" s="90"/>
    </row>
    <row r="4" spans="1:5" ht="36.75" customHeight="1" x14ac:dyDescent="0.3">
      <c r="A4" s="80"/>
      <c r="B4" s="45" t="s">
        <v>114</v>
      </c>
      <c r="C4" s="44" t="s">
        <v>343</v>
      </c>
      <c r="D4" s="45" t="s">
        <v>335</v>
      </c>
      <c r="E4" s="43" t="s">
        <v>334</v>
      </c>
    </row>
    <row r="5" spans="1:5" ht="15.75" customHeight="1" x14ac:dyDescent="0.3">
      <c r="A5" s="51" t="s">
        <v>126</v>
      </c>
      <c r="B5" s="58">
        <v>687466.43148999999</v>
      </c>
      <c r="C5" s="57">
        <v>103.09601486716406</v>
      </c>
      <c r="D5" s="58">
        <v>100</v>
      </c>
      <c r="E5" s="58">
        <v>100</v>
      </c>
    </row>
    <row r="6" spans="1:5" ht="15.75" customHeight="1" x14ac:dyDescent="0.3">
      <c r="A6" s="34" t="s">
        <v>332</v>
      </c>
      <c r="B6" s="72"/>
      <c r="C6" s="16"/>
      <c r="D6" s="17"/>
      <c r="E6" s="17"/>
    </row>
    <row r="7" spans="1:5" x14ac:dyDescent="0.3">
      <c r="A7" s="18" t="s">
        <v>105</v>
      </c>
      <c r="B7" s="15">
        <v>93527.070269999997</v>
      </c>
      <c r="C7" s="15">
        <v>110.70402438266218</v>
      </c>
      <c r="D7" s="15">
        <f>IF(84483.89369="","-",84483.89369/666821.53755*100)</f>
        <v>12.66964081580301</v>
      </c>
      <c r="E7" s="15">
        <f>IF(93527.07027="","-",93527.07027/687466.43149*100)</f>
        <v>13.604601764669649</v>
      </c>
    </row>
    <row r="8" spans="1:5" x14ac:dyDescent="0.3">
      <c r="A8" s="18" t="s">
        <v>106</v>
      </c>
      <c r="B8" s="15">
        <v>21619.89057</v>
      </c>
      <c r="C8" s="15">
        <v>35.40675161888484</v>
      </c>
      <c r="D8" s="15">
        <f>IF(61061.49133="","-",61061.49133/666821.53755*100)</f>
        <v>9.1570964480764765</v>
      </c>
      <c r="E8" s="15">
        <f>IF(21619.89057="","-",21619.89057/687466.43149*100)</f>
        <v>3.1448649097151566</v>
      </c>
    </row>
    <row r="9" spans="1:5" x14ac:dyDescent="0.3">
      <c r="A9" s="18" t="s">
        <v>107</v>
      </c>
      <c r="B9" s="15">
        <v>558894.30056</v>
      </c>
      <c r="C9" s="15">
        <v>108.48877421164332</v>
      </c>
      <c r="D9" s="15">
        <f>IF(515163.25502="","-",515163.25502/666821.53755*100)</f>
        <v>77.256541069861854</v>
      </c>
      <c r="E9" s="15">
        <f>IF(558894.30056="","-",558894.30056/687466.43149*100)</f>
        <v>81.297685960995139</v>
      </c>
    </row>
    <row r="10" spans="1:5" x14ac:dyDescent="0.3">
      <c r="A10" s="18" t="s">
        <v>108</v>
      </c>
      <c r="B10" s="15">
        <v>9514.3222399999995</v>
      </c>
      <c r="C10" s="15">
        <v>159.026764559942</v>
      </c>
      <c r="D10" s="15">
        <f>IF(5982.84337="","-",5982.84337/666821.53755*100)</f>
        <v>0.89721807606602555</v>
      </c>
      <c r="E10" s="15">
        <f>IF(9514.32224="","-",9514.32224/687466.43149*100)</f>
        <v>1.3839689916755442</v>
      </c>
    </row>
    <row r="11" spans="1:5" x14ac:dyDescent="0.3">
      <c r="A11" s="18" t="s">
        <v>318</v>
      </c>
      <c r="B11" s="15">
        <v>104.26384</v>
      </c>
      <c r="C11" s="15">
        <v>83.663467950111908</v>
      </c>
      <c r="D11" s="15">
        <f>IF(124.6229="","-",124.6229/666821.53755*100)</f>
        <v>1.868909340539341E-2</v>
      </c>
      <c r="E11" s="15">
        <f>IF(104.26384="","-",104.26384/687466.43149*100)</f>
        <v>1.5166389982710981E-2</v>
      </c>
    </row>
    <row r="12" spans="1:5" x14ac:dyDescent="0.3">
      <c r="A12" s="18" t="s">
        <v>319</v>
      </c>
      <c r="B12" s="15">
        <v>3501.65524</v>
      </c>
      <c r="C12" s="15" t="s">
        <v>366</v>
      </c>
      <c r="D12" s="15">
        <f>IF(0.89507="","-",0.89507/666821.53755*100)</f>
        <v>1.3422931768050238E-4</v>
      </c>
      <c r="E12" s="15">
        <f>IF(3501.65524="","-",3501.65524/687466.43149*100)</f>
        <v>0.50935654158568688</v>
      </c>
    </row>
    <row r="13" spans="1:5" x14ac:dyDescent="0.3">
      <c r="A13" s="18" t="s">
        <v>111</v>
      </c>
      <c r="B13" s="15">
        <v>304.92876999999999</v>
      </c>
      <c r="C13" s="15" t="s">
        <v>367</v>
      </c>
      <c r="D13" s="15">
        <f>IF(4.53617="","-",4.53617/666821.53755*100)</f>
        <v>6.802674695641286E-4</v>
      </c>
      <c r="E13" s="15">
        <f>IF(304.92877="","-",304.92877/687466.43149*100)</f>
        <v>4.4355441376112567E-2</v>
      </c>
    </row>
    <row r="14" spans="1:5" x14ac:dyDescent="0.3">
      <c r="A14" s="27" t="s">
        <v>198</v>
      </c>
      <c r="B14" s="17">
        <v>429329.47284</v>
      </c>
      <c r="C14" s="17">
        <v>103.51941196635353</v>
      </c>
      <c r="D14" s="17">
        <f>IF(414733.29947="","-",414733.29947/666821.53755*100)</f>
        <v>62.195546501660836</v>
      </c>
      <c r="E14" s="17">
        <f>IF(429329.47284="","-",429329.47284/687466.43149*100)</f>
        <v>62.450972611052514</v>
      </c>
    </row>
    <row r="15" spans="1:5" x14ac:dyDescent="0.3">
      <c r="A15" s="18" t="s">
        <v>119</v>
      </c>
      <c r="B15" s="17"/>
      <c r="C15" s="17"/>
      <c r="D15" s="17"/>
      <c r="E15" s="17"/>
    </row>
    <row r="16" spans="1:5" x14ac:dyDescent="0.3">
      <c r="A16" s="18" t="s">
        <v>105</v>
      </c>
      <c r="B16" s="15">
        <v>76732.918210000003</v>
      </c>
      <c r="C16" s="15">
        <v>112.9363038379023</v>
      </c>
      <c r="D16" s="15">
        <f>IF(67943.53596="","-",67943.53596/666821.53755*100)</f>
        <v>10.189163386898764</v>
      </c>
      <c r="E16" s="15">
        <f>IF(76732.91821="","-",76732.91821/687466.43149*100)</f>
        <v>11.161696730950299</v>
      </c>
    </row>
    <row r="17" spans="1:6" x14ac:dyDescent="0.3">
      <c r="A17" s="18" t="s">
        <v>106</v>
      </c>
      <c r="B17" s="15">
        <v>11813.6185</v>
      </c>
      <c r="C17" s="15">
        <v>116.15279335271356</v>
      </c>
      <c r="D17" s="15">
        <f>IF(10170.75712="","-",10170.75712/666821.53755*100)</f>
        <v>1.5252592406311367</v>
      </c>
      <c r="E17" s="15">
        <f>IF(11813.6185="","-",11813.6185/687466.43149*100)</f>
        <v>1.7184284146638866</v>
      </c>
    </row>
    <row r="18" spans="1:6" x14ac:dyDescent="0.3">
      <c r="A18" s="18" t="s">
        <v>107</v>
      </c>
      <c r="B18" s="15">
        <v>339638.53928999999</v>
      </c>
      <c r="C18" s="15">
        <v>101.1455199720844</v>
      </c>
      <c r="D18" s="15">
        <f>IF(335791.97515="","-",335791.97515/666821.53755*100)</f>
        <v>50.35709800012593</v>
      </c>
      <c r="E18" s="15">
        <f>IF(339638.53929="","-",339638.53929/687466.43149*100)</f>
        <v>49.404381615241157</v>
      </c>
    </row>
    <row r="19" spans="1:6" x14ac:dyDescent="0.3">
      <c r="A19" s="18" t="s">
        <v>108</v>
      </c>
      <c r="B19" s="15">
        <v>944.22229000000004</v>
      </c>
      <c r="C19" s="15">
        <v>122.56612488837619</v>
      </c>
      <c r="D19" s="15">
        <f>IF(770.37786="","-",770.37786/666821.53755*100)</f>
        <v>0.11552984068728211</v>
      </c>
      <c r="E19" s="15">
        <f>IF(944.22229="","-",944.22229/687466.43149*100)</f>
        <v>0.13734813028666912</v>
      </c>
    </row>
    <row r="20" spans="1:6" x14ac:dyDescent="0.3">
      <c r="A20" s="18" t="s">
        <v>109</v>
      </c>
      <c r="B20" s="15">
        <v>42.425400000000003</v>
      </c>
      <c r="C20" s="15">
        <v>81.403820350321908</v>
      </c>
      <c r="D20" s="15">
        <f>IF(52.11721="","-",52.11721/666821.53755*100)</f>
        <v>7.8157658481587539E-3</v>
      </c>
      <c r="E20" s="15">
        <f>IF(42.4254="","-",42.4254/687466.43149*100)</f>
        <v>6.1712685967877882E-3</v>
      </c>
    </row>
    <row r="21" spans="1:6" x14ac:dyDescent="0.3">
      <c r="A21" s="18" t="s">
        <v>319</v>
      </c>
      <c r="B21" s="15">
        <v>125.06274000000001</v>
      </c>
      <c r="C21" s="15" t="s">
        <v>323</v>
      </c>
      <c r="D21" s="24" t="s">
        <v>323</v>
      </c>
      <c r="E21" s="15">
        <f>IF(125.06274="","-",125.06274/687466.43149*100)</f>
        <v>1.8191832251204135E-2</v>
      </c>
    </row>
    <row r="22" spans="1:6" x14ac:dyDescent="0.3">
      <c r="A22" s="18" t="s">
        <v>111</v>
      </c>
      <c r="B22" s="15">
        <v>32.686410000000002</v>
      </c>
      <c r="C22" s="15" t="s">
        <v>368</v>
      </c>
      <c r="D22" s="15">
        <f>IF(124.73463="","-",124.73463/3144504.53867*100)</f>
        <v>3.966749879545658E-3</v>
      </c>
      <c r="E22" s="15">
        <f>IF(32.68641="","-",32.68641/687466.43149*100)</f>
        <v>4.7546190625127951E-3</v>
      </c>
    </row>
    <row r="23" spans="1:6" x14ac:dyDescent="0.3">
      <c r="A23" s="27" t="s">
        <v>199</v>
      </c>
      <c r="B23" s="17">
        <v>170431.38029</v>
      </c>
      <c r="C23" s="17" t="s">
        <v>195</v>
      </c>
      <c r="D23" s="17">
        <f>IF(78408.54653="","-",78408.54653/666821.53755*100)</f>
        <v>11.758550393870673</v>
      </c>
      <c r="E23" s="17">
        <f>IF(170431.38029="","-",170431.38029/687466.43149*100)</f>
        <v>24.791229430738994</v>
      </c>
    </row>
    <row r="24" spans="1:6" x14ac:dyDescent="0.3">
      <c r="A24" s="18" t="s">
        <v>119</v>
      </c>
      <c r="B24" s="17"/>
      <c r="C24" s="17"/>
      <c r="D24" s="17"/>
      <c r="E24" s="17"/>
    </row>
    <row r="25" spans="1:6" x14ac:dyDescent="0.3">
      <c r="A25" s="18" t="s">
        <v>105</v>
      </c>
      <c r="B25" s="15">
        <v>3214.0969700000001</v>
      </c>
      <c r="C25" s="15" t="s">
        <v>369</v>
      </c>
      <c r="D25" s="15">
        <f>IF(71.49698="","-",71.49698/666821.53755*100)</f>
        <v>1.0722056198528077E-2</v>
      </c>
      <c r="E25" s="15">
        <f>IF(3214.09697="","-",3214.09697/687466.43149*100)</f>
        <v>0.46752784176440954</v>
      </c>
    </row>
    <row r="26" spans="1:6" x14ac:dyDescent="0.3">
      <c r="A26" s="18" t="s">
        <v>106</v>
      </c>
      <c r="B26" s="15">
        <v>9382.9273900000007</v>
      </c>
      <c r="C26" s="15" t="s">
        <v>370</v>
      </c>
      <c r="D26" s="15">
        <f>IF(739.95409="","-",739.95409/666821.53755*100)</f>
        <v>0.11096733508619107</v>
      </c>
      <c r="E26" s="15">
        <f>IF(9382.92739="","-",9382.92739/687466.43149*100)</f>
        <v>1.3648560802690606</v>
      </c>
    </row>
    <row r="27" spans="1:6" x14ac:dyDescent="0.3">
      <c r="A27" s="18" t="s">
        <v>107</v>
      </c>
      <c r="B27" s="15">
        <v>151180.25570000001</v>
      </c>
      <c r="C27" s="15" t="s">
        <v>18</v>
      </c>
      <c r="D27" s="15">
        <f>IF(76118.40222="","-",76118.40222/666821.53755*100)</f>
        <v>11.415108531087666</v>
      </c>
      <c r="E27" s="15">
        <f>IF(151180.2557="","-",151180.2557/687466.43149*100)</f>
        <v>21.990929123962484</v>
      </c>
      <c r="F27" s="3"/>
    </row>
    <row r="28" spans="1:6" x14ac:dyDescent="0.3">
      <c r="A28" s="18" t="s">
        <v>108</v>
      </c>
      <c r="B28" s="15">
        <v>3195.6808799999999</v>
      </c>
      <c r="C28" s="15" t="s">
        <v>195</v>
      </c>
      <c r="D28" s="15">
        <f>IF(1435.20963="","-",1435.20963/666821.53755*100)</f>
        <v>0.21523144487401691</v>
      </c>
      <c r="E28" s="15">
        <f>IF(3195.68088="","-",3195.68088/687466.43149*100)</f>
        <v>0.46484900696514736</v>
      </c>
    </row>
    <row r="29" spans="1:6" x14ac:dyDescent="0.3">
      <c r="A29" s="18" t="s">
        <v>109</v>
      </c>
      <c r="B29" s="15">
        <v>1.58449</v>
      </c>
      <c r="C29" s="15">
        <v>3.7204609502932007</v>
      </c>
      <c r="D29" s="15">
        <f>IF(42.58854="","-",42.58854/666821.53755*100)</f>
        <v>6.3867973065891859E-3</v>
      </c>
      <c r="E29" s="15">
        <f>IF(1.58449="","-",1.58449/687466.43149*100)</f>
        <v>2.3048252647999267E-4</v>
      </c>
    </row>
    <row r="30" spans="1:6" x14ac:dyDescent="0.3">
      <c r="A30" s="18" t="s">
        <v>110</v>
      </c>
      <c r="B30" s="15">
        <v>3376.5925000000002</v>
      </c>
      <c r="C30" s="15" t="s">
        <v>371</v>
      </c>
      <c r="D30" s="15">
        <f>IF(0.89507="","-",0.89507/666821.53755*100)</f>
        <v>1.3422931768050238E-4</v>
      </c>
      <c r="E30" s="15">
        <f>IF(3376.5925="","-",3376.5925/687466.43149*100)</f>
        <v>0.49116470933448281</v>
      </c>
    </row>
    <row r="31" spans="1:6" x14ac:dyDescent="0.3">
      <c r="A31" s="18" t="s">
        <v>111</v>
      </c>
      <c r="B31" s="15">
        <v>80.242360000000005</v>
      </c>
      <c r="C31" s="15" t="s">
        <v>323</v>
      </c>
      <c r="D31" s="15" t="s">
        <v>323</v>
      </c>
      <c r="E31" s="15">
        <f>IF(80.24236="","-",80.24236/687466.43149*100)</f>
        <v>1.1672185916930438E-2</v>
      </c>
    </row>
    <row r="32" spans="1:6" x14ac:dyDescent="0.3">
      <c r="A32" s="27" t="s">
        <v>285</v>
      </c>
      <c r="B32" s="17">
        <v>87705.57836</v>
      </c>
      <c r="C32" s="17">
        <v>50.49846506363167</v>
      </c>
      <c r="D32" s="17">
        <f>IF(173679.69155="","-",173679.69155/666821.53755*100)</f>
        <v>26.045903104468493</v>
      </c>
      <c r="E32" s="17">
        <f>IF(87705.57836="","-",87705.57836/687466.43149*100)</f>
        <v>12.757797958208492</v>
      </c>
    </row>
    <row r="33" spans="1:5" x14ac:dyDescent="0.3">
      <c r="A33" s="18" t="s">
        <v>119</v>
      </c>
      <c r="B33" s="17"/>
      <c r="C33" s="17"/>
      <c r="D33" s="17"/>
      <c r="E33" s="17"/>
    </row>
    <row r="34" spans="1:5" x14ac:dyDescent="0.3">
      <c r="A34" s="18" t="s">
        <v>105</v>
      </c>
      <c r="B34" s="15">
        <v>13580.05509</v>
      </c>
      <c r="C34" s="15">
        <v>82.458983023461414</v>
      </c>
      <c r="D34" s="15">
        <f>IF(16468.86075="","-",16468.86075/666821.53755*100)</f>
        <v>2.4697553727057175</v>
      </c>
      <c r="E34" s="15">
        <f>IF(13580.05509="","-",13580.05509/687466.43149*100)</f>
        <v>1.9753771919549408</v>
      </c>
    </row>
    <row r="35" spans="1:5" x14ac:dyDescent="0.3">
      <c r="A35" s="18" t="s">
        <v>106</v>
      </c>
      <c r="B35" s="15">
        <v>423.34467999999998</v>
      </c>
      <c r="C35" s="15">
        <v>0.84414375805725739</v>
      </c>
      <c r="D35" s="15">
        <f>IF(50150.78012="","-",50150.78012/666821.53755*100)</f>
        <v>7.5208698723591496</v>
      </c>
      <c r="E35" s="15">
        <f>IF(423.34468="","-",423.34468/687466.43149*100)</f>
        <v>6.1580414782210068E-2</v>
      </c>
    </row>
    <row r="36" spans="1:5" x14ac:dyDescent="0.3">
      <c r="A36" s="18" t="s">
        <v>107</v>
      </c>
      <c r="B36" s="15">
        <v>68075.505569999994</v>
      </c>
      <c r="C36" s="15">
        <v>65.930855506766591</v>
      </c>
      <c r="D36" s="15">
        <f>IF(103252.87765="","-",103252.87765/666821.53755*100)</f>
        <v>15.484334538648255</v>
      </c>
      <c r="E36" s="15">
        <f>IF(68075.50557="","-",68075.50557/687466.43149*100)</f>
        <v>9.9023752217915</v>
      </c>
    </row>
    <row r="37" spans="1:5" x14ac:dyDescent="0.3">
      <c r="A37" s="18" t="s">
        <v>108</v>
      </c>
      <c r="B37" s="15">
        <v>5374.4190699999999</v>
      </c>
      <c r="C37" s="15">
        <v>142.28369061404439</v>
      </c>
      <c r="D37" s="15">
        <f>IF(3777.25588="","-",3777.25588/666821.53755*100)</f>
        <v>0.56645679050472664</v>
      </c>
      <c r="E37" s="15">
        <f>IF(5374.41907="","-",5374.41907/687466.43149*100)</f>
        <v>0.78177185442372799</v>
      </c>
    </row>
    <row r="38" spans="1:5" x14ac:dyDescent="0.3">
      <c r="A38" s="18" t="s">
        <v>109</v>
      </c>
      <c r="B38" s="15">
        <v>60.253950000000003</v>
      </c>
      <c r="C38" s="15" t="s">
        <v>18</v>
      </c>
      <c r="D38" s="15">
        <f>IF(29.91715="","-",29.91715/666821.53755*100)</f>
        <v>4.4865302506454713E-3</v>
      </c>
      <c r="E38" s="15">
        <f>IF(60.25395="","-",60.25395/687466.43149*100)</f>
        <v>8.7646388594432006E-3</v>
      </c>
    </row>
    <row r="39" spans="1:5" x14ac:dyDescent="0.3">
      <c r="A39" s="37" t="s">
        <v>111</v>
      </c>
      <c r="B39" s="73">
        <v>192</v>
      </c>
      <c r="C39" s="19" t="s">
        <v>323</v>
      </c>
      <c r="D39" s="19" t="s">
        <v>323</v>
      </c>
      <c r="E39" s="19">
        <f>IF(192="","-",192/687466.43149*100)</f>
        <v>2.7928636396669339E-2</v>
      </c>
    </row>
    <row r="40" spans="1:5" x14ac:dyDescent="0.3">
      <c r="A40" s="22" t="s">
        <v>19</v>
      </c>
    </row>
  </sheetData>
  <mergeCells count="5">
    <mergeCell ref="A1:E1"/>
    <mergeCell ref="A3:A4"/>
    <mergeCell ref="B3:C3"/>
    <mergeCell ref="D3:E3"/>
    <mergeCell ref="A2:E2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F40"/>
  <sheetViews>
    <sheetView workbookViewId="0">
      <selection sqref="A1:E1"/>
    </sheetView>
  </sheetViews>
  <sheetFormatPr defaultRowHeight="15.6" x14ac:dyDescent="0.3"/>
  <cols>
    <col min="1" max="1" width="31.5" customWidth="1"/>
    <col min="2" max="2" width="13.8984375" customWidth="1"/>
    <col min="3" max="3" width="14.19921875" customWidth="1"/>
    <col min="4" max="4" width="11.3984375" customWidth="1"/>
    <col min="5" max="5" width="11.09765625" customWidth="1"/>
  </cols>
  <sheetData>
    <row r="1" spans="1:5" ht="16.2" x14ac:dyDescent="0.35">
      <c r="A1" s="78" t="s">
        <v>283</v>
      </c>
      <c r="B1" s="78"/>
      <c r="C1" s="78"/>
      <c r="D1" s="78"/>
      <c r="E1" s="78"/>
    </row>
    <row r="2" spans="1:5" ht="16.2" x14ac:dyDescent="0.35">
      <c r="A2" s="91"/>
      <c r="B2" s="91"/>
      <c r="C2" s="91"/>
      <c r="D2" s="91"/>
      <c r="E2" s="91"/>
    </row>
    <row r="3" spans="1:5" ht="18.75" customHeight="1" x14ac:dyDescent="0.3">
      <c r="A3" s="79"/>
      <c r="B3" s="81" t="s">
        <v>341</v>
      </c>
      <c r="C3" s="82"/>
      <c r="D3" s="83" t="s">
        <v>104</v>
      </c>
      <c r="E3" s="90"/>
    </row>
    <row r="4" spans="1:5" ht="41.25" customHeight="1" x14ac:dyDescent="0.3">
      <c r="A4" s="80"/>
      <c r="B4" s="45" t="s">
        <v>114</v>
      </c>
      <c r="C4" s="44" t="s">
        <v>343</v>
      </c>
      <c r="D4" s="45" t="s">
        <v>335</v>
      </c>
      <c r="E4" s="43" t="s">
        <v>334</v>
      </c>
    </row>
    <row r="5" spans="1:5" ht="15.75" customHeight="1" x14ac:dyDescent="0.3">
      <c r="A5" s="51" t="s">
        <v>120</v>
      </c>
      <c r="B5" s="58">
        <v>1485793.22823</v>
      </c>
      <c r="C5" s="58">
        <v>115.10964493511233</v>
      </c>
      <c r="D5" s="59">
        <v>100</v>
      </c>
      <c r="E5" s="59">
        <v>100</v>
      </c>
    </row>
    <row r="6" spans="1:5" ht="15.75" customHeight="1" x14ac:dyDescent="0.3">
      <c r="A6" s="18" t="s">
        <v>119</v>
      </c>
      <c r="B6" s="31"/>
      <c r="C6" s="17"/>
      <c r="D6" s="31"/>
      <c r="E6" s="31"/>
    </row>
    <row r="7" spans="1:5" x14ac:dyDescent="0.3">
      <c r="A7" s="18" t="s">
        <v>105</v>
      </c>
      <c r="B7" s="15">
        <v>131044.40253000001</v>
      </c>
      <c r="C7" s="15" t="s">
        <v>314</v>
      </c>
      <c r="D7" s="15">
        <f>IF(40804.53691="","-",40804.53691/1290763.45346*100)</f>
        <v>3.1612714785672007</v>
      </c>
      <c r="E7" s="15">
        <f>IF(131044.40253="","-",131044.40253/1485793.22823*100)</f>
        <v>8.8198276880095197</v>
      </c>
    </row>
    <row r="8" spans="1:5" x14ac:dyDescent="0.3">
      <c r="A8" s="18" t="s">
        <v>106</v>
      </c>
      <c r="B8" s="15">
        <v>96706.097219999996</v>
      </c>
      <c r="C8" s="15" t="s">
        <v>99</v>
      </c>
      <c r="D8" s="15">
        <f>IF(57745.02096="","-",57745.02096/1290763.45346*100)</f>
        <v>4.4737105629392913</v>
      </c>
      <c r="E8" s="15">
        <f>IF(96706.09722="","-",96706.09722/1485793.22823*100)</f>
        <v>6.5087183992085036</v>
      </c>
    </row>
    <row r="9" spans="1:5" x14ac:dyDescent="0.3">
      <c r="A9" s="18" t="s">
        <v>107</v>
      </c>
      <c r="B9" s="15">
        <v>1026620.26116</v>
      </c>
      <c r="C9" s="15">
        <v>108.70223678274971</v>
      </c>
      <c r="D9" s="15">
        <f>IF(944433.428="","-",944433.428/1290763.45346*100)</f>
        <v>73.168590687036158</v>
      </c>
      <c r="E9" s="15">
        <f>IF(1026620.26116="","-",1026620.26116/1485793.22823*100)</f>
        <v>69.09576929375261</v>
      </c>
    </row>
    <row r="10" spans="1:5" x14ac:dyDescent="0.3">
      <c r="A10" s="18" t="s">
        <v>108</v>
      </c>
      <c r="B10" s="15">
        <v>26186.991770000001</v>
      </c>
      <c r="C10" s="15">
        <v>116.69073948466149</v>
      </c>
      <c r="D10" s="15">
        <f>IF(22441.36243="","-",22441.36243/1290763.45346*100)</f>
        <v>1.7386115457362881</v>
      </c>
      <c r="E10" s="15">
        <f>IF(26186.99177="","-",26186.99177/1485793.22823*100)</f>
        <v>1.7624923355718962</v>
      </c>
    </row>
    <row r="11" spans="1:5" x14ac:dyDescent="0.3">
      <c r="A11" s="18" t="s">
        <v>109</v>
      </c>
      <c r="B11" s="15">
        <v>1138.3562400000001</v>
      </c>
      <c r="C11" s="15">
        <v>75.955276742653112</v>
      </c>
      <c r="D11" s="15">
        <f>IF(1498.7191="","-",1498.7191/1290763.45346*100)</f>
        <v>0.11611105783810019</v>
      </c>
      <c r="E11" s="15">
        <f>IF(1138.35624="","-",1138.35624/1485793.22823*100)</f>
        <v>7.6616060591156707E-2</v>
      </c>
    </row>
    <row r="12" spans="1:5" x14ac:dyDescent="0.3">
      <c r="A12" s="18" t="s">
        <v>110</v>
      </c>
      <c r="B12" s="15">
        <v>193824.20783999999</v>
      </c>
      <c r="C12" s="15">
        <v>89.285025689064042</v>
      </c>
      <c r="D12" s="15">
        <f>IF(217084.787="","-",217084.787/1290763.45346*100)</f>
        <v>16.81832456737801</v>
      </c>
      <c r="E12" s="15">
        <f>IF(193824.20784="","-",193824.20784/1485793.22823*100)</f>
        <v>13.045166996143834</v>
      </c>
    </row>
    <row r="13" spans="1:5" x14ac:dyDescent="0.3">
      <c r="A13" s="18" t="s">
        <v>111</v>
      </c>
      <c r="B13" s="15">
        <v>10272.911469999999</v>
      </c>
      <c r="C13" s="15">
        <v>152.06514446403514</v>
      </c>
      <c r="D13" s="15">
        <f>IF(6755.59906="","-",6755.59906/1290763.45346*100)</f>
        <v>0.52338010050494133</v>
      </c>
      <c r="E13" s="15">
        <f>IF(10272.91147="","-",10272.91147/1485793.22823*100)</f>
        <v>0.69140922672247895</v>
      </c>
    </row>
    <row r="14" spans="1:5" x14ac:dyDescent="0.3">
      <c r="A14" s="27" t="s">
        <v>198</v>
      </c>
      <c r="B14" s="30">
        <v>716213.00815000001</v>
      </c>
      <c r="C14" s="17">
        <v>132.96339778719579</v>
      </c>
      <c r="D14" s="17">
        <f>IF(538654.2613="","-",538654.2613/1290763.45346*100)</f>
        <v>41.731446598994722</v>
      </c>
      <c r="E14" s="17">
        <f>IF(716213.00815="","-",716213.00815/1485793.22823*100)</f>
        <v>48.204083484968649</v>
      </c>
    </row>
    <row r="15" spans="1:5" x14ac:dyDescent="0.3">
      <c r="A15" s="18" t="s">
        <v>119</v>
      </c>
      <c r="B15" s="24"/>
      <c r="C15" s="17"/>
      <c r="D15" s="17"/>
      <c r="E15" s="17"/>
    </row>
    <row r="16" spans="1:5" x14ac:dyDescent="0.3">
      <c r="A16" s="18" t="s">
        <v>105</v>
      </c>
      <c r="B16" s="15">
        <v>42969.50316</v>
      </c>
      <c r="C16" s="15" t="s">
        <v>372</v>
      </c>
      <c r="D16" s="15">
        <f>IF(12191.71405="","-",12191.71405/1290763.45346*100)</f>
        <v>0.9445351134879969</v>
      </c>
      <c r="E16" s="15">
        <f>IF(42969.50316="","-",42969.50316/1485793.22823*100)</f>
        <v>2.8920244313664583</v>
      </c>
    </row>
    <row r="17" spans="1:6" x14ac:dyDescent="0.3">
      <c r="A17" s="18" t="s">
        <v>106</v>
      </c>
      <c r="B17" s="15">
        <v>46044.493309999998</v>
      </c>
      <c r="C17" s="15" t="s">
        <v>195</v>
      </c>
      <c r="D17" s="15">
        <f>IF(20916.94167="","-",20916.94167/1290763.45346*100)</f>
        <v>1.620509289593719</v>
      </c>
      <c r="E17" s="15">
        <f>IF(46044.49331="","-",46044.49331/1485793.22823*100)</f>
        <v>3.0989839255662792</v>
      </c>
    </row>
    <row r="18" spans="1:6" x14ac:dyDescent="0.3">
      <c r="A18" s="18" t="s">
        <v>107</v>
      </c>
      <c r="B18" s="15">
        <v>553635.49054999999</v>
      </c>
      <c r="C18" s="15">
        <v>111.92148183544342</v>
      </c>
      <c r="D18" s="15">
        <f>IF(494664.1891="","-",494664.1891/1290763.45346*100)</f>
        <v>38.323380459371627</v>
      </c>
      <c r="E18" s="15">
        <f>IF(553635.49055="","-",553635.49055/1485793.22823*100)</f>
        <v>37.261947357879436</v>
      </c>
    </row>
    <row r="19" spans="1:6" x14ac:dyDescent="0.3">
      <c r="A19" s="18" t="s">
        <v>108</v>
      </c>
      <c r="B19" s="15">
        <v>7560.3488699999998</v>
      </c>
      <c r="C19" s="15" t="s">
        <v>101</v>
      </c>
      <c r="D19" s="15">
        <f>IF(4001.15292="","-",4001.15292/1290763.45346*100)</f>
        <v>0.30998343726533106</v>
      </c>
      <c r="E19" s="15">
        <f>IF(7560.34887="","-",7560.34887/1485793.22823*100)</f>
        <v>0.50884259844194557</v>
      </c>
    </row>
    <row r="20" spans="1:6" x14ac:dyDescent="0.3">
      <c r="A20" s="18" t="s">
        <v>109</v>
      </c>
      <c r="B20" s="15">
        <v>784.02572999999995</v>
      </c>
      <c r="C20" s="15">
        <v>71.822915895633884</v>
      </c>
      <c r="D20" s="15">
        <f>IF(1091.60944="","-",1091.60944/1290763.45346*100)</f>
        <v>8.4570835738635844E-2</v>
      </c>
      <c r="E20" s="15">
        <f>IF(784.02573="","-",784.02573/1485793.22823*100)</f>
        <v>5.2768158792458379E-2</v>
      </c>
    </row>
    <row r="21" spans="1:6" x14ac:dyDescent="0.3">
      <c r="A21" s="18" t="s">
        <v>110</v>
      </c>
      <c r="B21" s="15">
        <v>55875.954489999996</v>
      </c>
      <c r="C21" s="15" t="s">
        <v>323</v>
      </c>
      <c r="D21" s="72" t="s">
        <v>323</v>
      </c>
      <c r="E21" s="15">
        <f>IF(55875.95449="","-",55875.95449/1485793.22823*100)</f>
        <v>3.760681730698427</v>
      </c>
    </row>
    <row r="22" spans="1:6" x14ac:dyDescent="0.3">
      <c r="A22" s="18" t="s">
        <v>111</v>
      </c>
      <c r="B22" s="15">
        <v>9343.1920399999999</v>
      </c>
      <c r="C22" s="15" t="s">
        <v>100</v>
      </c>
      <c r="D22" s="15">
        <f>IF(5788.65412="","-",5788.65412/1290763.45346*100)</f>
        <v>0.44846746353741468</v>
      </c>
      <c r="E22" s="15">
        <f>IF(9343.19204="","-",9343.19204/1485793.22823*100)</f>
        <v>0.62883528222364993</v>
      </c>
      <c r="F22" s="17"/>
    </row>
    <row r="23" spans="1:6" x14ac:dyDescent="0.3">
      <c r="A23" s="27" t="s">
        <v>199</v>
      </c>
      <c r="B23" s="17">
        <v>351697.32909000001</v>
      </c>
      <c r="C23" s="32">
        <v>80.713682735728298</v>
      </c>
      <c r="D23" s="17">
        <f>IF(435734.45935="","-",435734.45935/1290763.45346*100)</f>
        <v>33.757886325490325</v>
      </c>
      <c r="E23" s="17">
        <f>IF(351697.32909="","-",351697.32909/1485793.22823*100)</f>
        <v>23.67067788490132</v>
      </c>
      <c r="F23" s="17"/>
    </row>
    <row r="24" spans="1:6" x14ac:dyDescent="0.3">
      <c r="A24" s="18" t="s">
        <v>119</v>
      </c>
      <c r="B24" s="17"/>
      <c r="C24" s="24"/>
      <c r="D24" s="17"/>
      <c r="E24" s="17"/>
      <c r="F24" s="15"/>
    </row>
    <row r="25" spans="1:6" x14ac:dyDescent="0.3">
      <c r="A25" s="18" t="s">
        <v>105</v>
      </c>
      <c r="B25" s="15">
        <v>35499.446029999999</v>
      </c>
      <c r="C25" s="24">
        <v>135.64931298368535</v>
      </c>
      <c r="D25" s="15">
        <f>IF(26170.01535="","-",26170.01535/1290763.45346*100)</f>
        <v>2.0274834463161375</v>
      </c>
      <c r="E25" s="15">
        <f>IF(35499.44603="","-",35499.44603/1485793.22823*100)</f>
        <v>2.3892588386803917</v>
      </c>
      <c r="F25" s="15"/>
    </row>
    <row r="26" spans="1:6" x14ac:dyDescent="0.3">
      <c r="A26" s="18" t="s">
        <v>106</v>
      </c>
      <c r="B26" s="15">
        <v>42616.113239999999</v>
      </c>
      <c r="C26" s="24">
        <v>115.71636116133712</v>
      </c>
      <c r="D26" s="15">
        <f>IF(36828.07929="","-",36828.07929/1290763.45346*100)</f>
        <v>2.8532012733455723</v>
      </c>
      <c r="E26" s="15">
        <f>IF(42616.11324="","-",42616.11324/1485793.22823*100)</f>
        <v>2.8682398351463645</v>
      </c>
      <c r="F26" s="15"/>
    </row>
    <row r="27" spans="1:6" x14ac:dyDescent="0.3">
      <c r="A27" s="18" t="s">
        <v>107</v>
      </c>
      <c r="B27" s="15">
        <v>132571.34492</v>
      </c>
      <c r="C27" s="24">
        <v>87.072105629400681</v>
      </c>
      <c r="D27" s="15">
        <f>IF(152254.66751="","-",152254.66751/1290763.45346*100)</f>
        <v>11.795706417149367</v>
      </c>
      <c r="E27" s="15">
        <f>IF(132571.34492="","-",132571.34492/1485793.22823*100)</f>
        <v>8.9225971959725499</v>
      </c>
      <c r="F27" s="15"/>
    </row>
    <row r="28" spans="1:6" x14ac:dyDescent="0.3">
      <c r="A28" s="18" t="s">
        <v>108</v>
      </c>
      <c r="B28" s="15">
        <v>3043.6290100000001</v>
      </c>
      <c r="C28" s="24">
        <v>103.70909720128697</v>
      </c>
      <c r="D28" s="15">
        <f>IF(2934.77534="","-",2934.77534/1290763.45346*100)</f>
        <v>0.22736740276718309</v>
      </c>
      <c r="E28" s="15">
        <f>IF(3043.62901="","-",3043.62901/1485793.22823*100)</f>
        <v>0.20484876039082661</v>
      </c>
      <c r="F28" s="15"/>
    </row>
    <row r="29" spans="1:6" x14ac:dyDescent="0.3">
      <c r="A29" s="18" t="s">
        <v>109</v>
      </c>
      <c r="B29" s="15">
        <v>18.542539999999999</v>
      </c>
      <c r="C29" s="24">
        <v>68.011525897691513</v>
      </c>
      <c r="D29" s="15">
        <f>IF(27.26382="","-",27.26382/1290763.45346*100)</f>
        <v>2.112224352720635E-3</v>
      </c>
      <c r="E29" s="15">
        <f>IF(18.54254="","-",18.54254/1485793.22823*100)</f>
        <v>1.247989265780233E-3</v>
      </c>
      <c r="F29" s="15"/>
    </row>
    <row r="30" spans="1:6" x14ac:dyDescent="0.3">
      <c r="A30" s="18" t="s">
        <v>110</v>
      </c>
      <c r="B30" s="15">
        <v>137948.25335000001</v>
      </c>
      <c r="C30" s="24">
        <v>63.545794828082549</v>
      </c>
      <c r="D30" s="15">
        <f>IF(217084.787="","-",217084.787/1290763.45346*100)</f>
        <v>16.81832456737801</v>
      </c>
      <c r="E30" s="15">
        <f>IF(137948.25335="","-",137948.25335/1485793.22823*100)</f>
        <v>9.284485265445408</v>
      </c>
    </row>
    <row r="31" spans="1:6" x14ac:dyDescent="0.3">
      <c r="A31" s="18" t="s">
        <v>111</v>
      </c>
      <c r="B31" s="15" t="s">
        <v>323</v>
      </c>
      <c r="C31" s="33" t="s">
        <v>323</v>
      </c>
      <c r="D31" s="15">
        <f>IF(434.87104="","-",434.87104/1290763.45346*100)</f>
        <v>3.3690994181334435E-2</v>
      </c>
      <c r="E31" s="15" t="s">
        <v>323</v>
      </c>
    </row>
    <row r="32" spans="1:6" x14ac:dyDescent="0.3">
      <c r="A32" s="27" t="s">
        <v>200</v>
      </c>
      <c r="B32" s="30">
        <v>417882.89098999999</v>
      </c>
      <c r="C32" s="17">
        <v>132.08478669532724</v>
      </c>
      <c r="D32" s="17">
        <f>IF(316374.73281="","-",316374.73281/1290763.45346*100)</f>
        <v>24.510667075514956</v>
      </c>
      <c r="E32" s="17">
        <f>IF(417882.89099="","-",417882.89099/1485793.22823*100)</f>
        <v>28.125238630130028</v>
      </c>
    </row>
    <row r="33" spans="1:5" x14ac:dyDescent="0.3">
      <c r="A33" s="18" t="s">
        <v>119</v>
      </c>
      <c r="B33" s="24"/>
      <c r="C33" s="17"/>
      <c r="D33" s="17"/>
      <c r="E33" s="17"/>
    </row>
    <row r="34" spans="1:5" x14ac:dyDescent="0.3">
      <c r="A34" s="18" t="s">
        <v>105</v>
      </c>
      <c r="B34" s="15">
        <v>52575.45334</v>
      </c>
      <c r="C34" s="15" t="s">
        <v>373</v>
      </c>
      <c r="D34" s="15">
        <f>IF(2442.80751="","-",2442.80751/1290763.45346*100)</f>
        <v>0.18925291876306607</v>
      </c>
      <c r="E34" s="15">
        <f>IF(52575.45334="","-",52575.45334/1485793.22823*100)</f>
        <v>3.5385444179626688</v>
      </c>
    </row>
    <row r="35" spans="1:5" x14ac:dyDescent="0.3">
      <c r="A35" s="18" t="s">
        <v>106</v>
      </c>
      <c r="B35" s="15">
        <v>8045.4906700000001</v>
      </c>
      <c r="C35" s="15" t="s">
        <v>323</v>
      </c>
      <c r="D35" s="15" t="s">
        <v>323</v>
      </c>
      <c r="E35" s="15">
        <f>IF(8045.49067="","-",8045.49067/1485793.22823*100)</f>
        <v>0.54149463849585955</v>
      </c>
    </row>
    <row r="36" spans="1:5" x14ac:dyDescent="0.3">
      <c r="A36" s="18" t="s">
        <v>107</v>
      </c>
      <c r="B36" s="15">
        <v>340413.42569</v>
      </c>
      <c r="C36" s="15">
        <v>114.41907671936026</v>
      </c>
      <c r="D36" s="15">
        <f>IF(297514.57139="","-",297514.57139/1290763.45346*100)</f>
        <v>23.049503810515176</v>
      </c>
      <c r="E36" s="15">
        <f>IF(340413.42569="","-",340413.42569/1485793.22823*100)</f>
        <v>22.911224739900632</v>
      </c>
    </row>
    <row r="37" spans="1:5" x14ac:dyDescent="0.3">
      <c r="A37" s="18" t="s">
        <v>108</v>
      </c>
      <c r="B37" s="15">
        <v>15583.01389</v>
      </c>
      <c r="C37" s="15">
        <v>100.50033890795591</v>
      </c>
      <c r="D37" s="15">
        <f>IF(15505.43417="","-",15505.43417/1290763.45346*100)</f>
        <v>1.2012607057037741</v>
      </c>
      <c r="E37" s="15">
        <f>IF(15583.01389="","-",15583.01389/1485793.22823*100)</f>
        <v>1.0488009767391238</v>
      </c>
    </row>
    <row r="38" spans="1:5" x14ac:dyDescent="0.3">
      <c r="A38" s="18" t="s">
        <v>109</v>
      </c>
      <c r="B38" s="15">
        <v>335.78796999999997</v>
      </c>
      <c r="C38" s="15">
        <v>88.401118201004905</v>
      </c>
      <c r="D38" s="15">
        <f>IF(379.84584="","-",379.84584/1290763.45346*100)</f>
        <v>2.9427997746743706E-2</v>
      </c>
      <c r="E38" s="15">
        <f>IF(335.78797="","-",335.78797/1485793.22823*100)</f>
        <v>2.2599912532918084E-2</v>
      </c>
    </row>
    <row r="39" spans="1:5" x14ac:dyDescent="0.3">
      <c r="A39" s="37" t="s">
        <v>111</v>
      </c>
      <c r="B39" s="19">
        <v>929.71942999999999</v>
      </c>
      <c r="C39" s="19" t="s">
        <v>99</v>
      </c>
      <c r="D39" s="19">
        <f>IF(532.0739="","-",532.0739/1290763.45346*100)</f>
        <v>4.1221642786192246E-2</v>
      </c>
      <c r="E39" s="19">
        <f>IF(929.71943="","-",929.71943/1485793.22823*100)</f>
        <v>6.2573944498829012E-2</v>
      </c>
    </row>
    <row r="40" spans="1:5" x14ac:dyDescent="0.3">
      <c r="A40" s="22" t="s">
        <v>19</v>
      </c>
    </row>
  </sheetData>
  <mergeCells count="5">
    <mergeCell ref="A1:E1"/>
    <mergeCell ref="A3:A4"/>
    <mergeCell ref="B3:C3"/>
    <mergeCell ref="D3:E3"/>
    <mergeCell ref="A2:E2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I80"/>
  <sheetViews>
    <sheetView zoomScaleNormal="100" workbookViewId="0">
      <selection activeCell="B1" sqref="B1:H1"/>
    </sheetView>
  </sheetViews>
  <sheetFormatPr defaultRowHeight="15.6" x14ac:dyDescent="0.3"/>
  <cols>
    <col min="1" max="1" width="4.8984375" customWidth="1"/>
    <col min="2" max="2" width="27.59765625" customWidth="1"/>
    <col min="3" max="3" width="11.09765625" customWidth="1"/>
    <col min="4" max="4" width="10.59765625" customWidth="1"/>
    <col min="5" max="6" width="7.8984375" customWidth="1"/>
    <col min="7" max="7" width="8.3984375" customWidth="1"/>
    <col min="8" max="8" width="8.69921875" customWidth="1"/>
  </cols>
  <sheetData>
    <row r="1" spans="1:9" ht="16.2" x14ac:dyDescent="0.35">
      <c r="B1" s="88" t="s">
        <v>127</v>
      </c>
      <c r="C1" s="88"/>
      <c r="D1" s="88"/>
      <c r="E1" s="88"/>
      <c r="F1" s="88"/>
      <c r="G1" s="88"/>
      <c r="H1" s="88"/>
    </row>
    <row r="2" spans="1:9" ht="16.2" x14ac:dyDescent="0.35">
      <c r="B2" s="88" t="s">
        <v>277</v>
      </c>
      <c r="C2" s="88"/>
      <c r="D2" s="88"/>
      <c r="E2" s="88"/>
      <c r="F2" s="88"/>
      <c r="G2" s="88"/>
      <c r="H2" s="88"/>
    </row>
    <row r="3" spans="1:9" x14ac:dyDescent="0.3">
      <c r="A3" s="98"/>
      <c r="B3" s="98"/>
      <c r="C3" s="98"/>
      <c r="D3" s="98"/>
      <c r="E3" s="98"/>
      <c r="F3" s="98"/>
      <c r="G3" s="98"/>
      <c r="H3" s="98"/>
    </row>
    <row r="4" spans="1:9" ht="57.75" customHeight="1" x14ac:dyDescent="0.3">
      <c r="A4" s="92" t="s">
        <v>203</v>
      </c>
      <c r="B4" s="94"/>
      <c r="C4" s="81" t="s">
        <v>339</v>
      </c>
      <c r="D4" s="82"/>
      <c r="E4" s="83" t="s">
        <v>0</v>
      </c>
      <c r="F4" s="84"/>
      <c r="G4" s="96" t="s">
        <v>102</v>
      </c>
      <c r="H4" s="97"/>
    </row>
    <row r="5" spans="1:9" ht="54" customHeight="1" x14ac:dyDescent="0.3">
      <c r="A5" s="93"/>
      <c r="B5" s="95"/>
      <c r="C5" s="45" t="s">
        <v>95</v>
      </c>
      <c r="D5" s="44" t="s">
        <v>336</v>
      </c>
      <c r="E5" s="45" t="s">
        <v>335</v>
      </c>
      <c r="F5" s="45" t="s">
        <v>334</v>
      </c>
      <c r="G5" s="45" t="s">
        <v>337</v>
      </c>
      <c r="H5" s="43" t="s">
        <v>338</v>
      </c>
    </row>
    <row r="6" spans="1:9" ht="16.5" customHeight="1" x14ac:dyDescent="0.3">
      <c r="A6" s="50"/>
      <c r="B6" s="60" t="s">
        <v>96</v>
      </c>
      <c r="C6" s="61">
        <v>687466.43148999999</v>
      </c>
      <c r="D6" s="74">
        <f>IF(666821.53755="","-",687466.43149/666821.53755*100)</f>
        <v>103.09601486716406</v>
      </c>
      <c r="E6" s="62">
        <v>100</v>
      </c>
      <c r="F6" s="62">
        <v>100</v>
      </c>
      <c r="G6" s="62">
        <f>IF(425472.26165="","-",(666821.53755-425472.26165)/425472.26165*100)</f>
        <v>56.725031842037602</v>
      </c>
      <c r="H6" s="62">
        <f>IF(666821.53755="","-",(687466.43149-666821.53755)/666821.53755*100)</f>
        <v>3.0960148671640608</v>
      </c>
    </row>
    <row r="7" spans="1:9" x14ac:dyDescent="0.3">
      <c r="A7" s="11" t="s">
        <v>204</v>
      </c>
      <c r="B7" s="12" t="s">
        <v>175</v>
      </c>
      <c r="C7" s="9">
        <v>161038.87646</v>
      </c>
      <c r="D7" s="9">
        <f>IF(221461.0995="","-",161038.87646/221461.0995*100)</f>
        <v>72.716552398404403</v>
      </c>
      <c r="E7" s="17">
        <f>IF(221461.0995="","-",221461.0995/666821.53755*100)</f>
        <v>33.211449695173393</v>
      </c>
      <c r="F7" s="17">
        <f>IF(161038.87646="","-",161038.87646/687466.43149*100)</f>
        <v>23.424980345726524</v>
      </c>
      <c r="G7" s="17">
        <f>IF(425472.26165="","-",(221461.0995-82735.49353)/425472.26165*100)</f>
        <v>32.605088151226603</v>
      </c>
      <c r="H7" s="17">
        <f>IF(666821.53755="","-",(161038.87646-221461.0995)/666821.53755*100)</f>
        <v>-9.061228475312916</v>
      </c>
    </row>
    <row r="8" spans="1:9" ht="13.5" customHeight="1" x14ac:dyDescent="0.3">
      <c r="A8" s="13" t="s">
        <v>205</v>
      </c>
      <c r="B8" s="14" t="s">
        <v>21</v>
      </c>
      <c r="C8" s="10">
        <v>1014.48</v>
      </c>
      <c r="D8" s="10" t="s">
        <v>195</v>
      </c>
      <c r="E8" s="15">
        <f>IF(460.67046="","-",460.67046/666821.53755*100)</f>
        <v>6.9084520228991211E-2</v>
      </c>
      <c r="F8" s="15">
        <f>IF(1014.48="","-",1014.48/687466.43149*100)</f>
        <v>0.14756793256090162</v>
      </c>
      <c r="G8" s="15">
        <f>IF(OR(425472.26165="",1874.67949="",460.67046=""),"-",(460.67046-1874.67949)/425472.26165*100)</f>
        <v>-0.33233871099291201</v>
      </c>
      <c r="H8" s="15">
        <f>IF(OR(666821.53755="",1014.48="",460.67046=""),"-",(1014.48-460.67046)/666821.53755*100)</f>
        <v>8.3052137463162534E-2</v>
      </c>
      <c r="I8" s="11"/>
    </row>
    <row r="9" spans="1:9" x14ac:dyDescent="0.3">
      <c r="A9" s="13" t="s">
        <v>206</v>
      </c>
      <c r="B9" s="14" t="s">
        <v>176</v>
      </c>
      <c r="C9" s="10">
        <v>525.09259999999995</v>
      </c>
      <c r="D9" s="10" t="s">
        <v>320</v>
      </c>
      <c r="E9" s="15">
        <f>IF(153.00864="","-",153.00864/666821.53755*100)</f>
        <v>2.2945965507079474E-2</v>
      </c>
      <c r="F9" s="15">
        <f>IF(525.0926="","-",525.0926/687466.43149*100)</f>
        <v>7.6380834895738187E-2</v>
      </c>
      <c r="G9" s="15">
        <f>IF(OR(425472.26165="",774.06046="",153.00864=""),"-",(153.00864-774.06046)/425472.26165*100)</f>
        <v>-0.14596764019152131</v>
      </c>
      <c r="H9" s="15">
        <f>IF(OR(666821.53755="",525.0926="",153.00864=""),"-",(525.0926-153.00864)/666821.53755*100)</f>
        <v>5.5799631392694796E-2</v>
      </c>
      <c r="I9" s="13"/>
    </row>
    <row r="10" spans="1:9" s="2" customFormat="1" x14ac:dyDescent="0.3">
      <c r="A10" s="13" t="s">
        <v>207</v>
      </c>
      <c r="B10" s="14" t="s">
        <v>177</v>
      </c>
      <c r="C10" s="10">
        <v>2292.75999</v>
      </c>
      <c r="D10" s="10">
        <f>IF(OR(1631.3354="",2292.75999=""),"-",2292.75999/1631.3354*100)</f>
        <v>140.54497867207442</v>
      </c>
      <c r="E10" s="15">
        <f>IF(1631.3354="","-",1631.3354/666821.53755*100)</f>
        <v>0.2446434777727434</v>
      </c>
      <c r="F10" s="15">
        <f>IF(2292.75999="","-",2292.75999/687466.43149*100)</f>
        <v>0.33350864638302719</v>
      </c>
      <c r="G10" s="15">
        <f>IF(OR(425472.26165="",1472.47427="",1631.3354=""),"-",(1631.3354-1472.47427)/425472.26165*100)</f>
        <v>3.7337599725991447E-2</v>
      </c>
      <c r="H10" s="15">
        <f>IF(OR(666821.53755="",2292.75999="",1631.3354=""),"-",(2292.75999-1631.3354)/666821.53755*100)</f>
        <v>9.9190645885579964E-2</v>
      </c>
      <c r="I10" s="13"/>
    </row>
    <row r="11" spans="1:9" s="2" customFormat="1" x14ac:dyDescent="0.3">
      <c r="A11" s="13" t="s">
        <v>208</v>
      </c>
      <c r="B11" s="14" t="s">
        <v>178</v>
      </c>
      <c r="C11" s="10">
        <v>143.02884</v>
      </c>
      <c r="D11" s="10" t="s">
        <v>375</v>
      </c>
      <c r="E11" s="15">
        <f>IF(0.03608="","-",0.03608/666821.53755*100)</f>
        <v>5.4107430501664968E-6</v>
      </c>
      <c r="F11" s="15">
        <f>IF(143.02884="","-",143.02884/687466.43149*100)</f>
        <v>2.0805210763528099E-2</v>
      </c>
      <c r="G11" s="15">
        <f>IF(OR(425472.26165="",1.03854="",0.03608=""),"-",(0.03608-1.03854)/425472.26165*100)</f>
        <v>-2.3561112917500581E-4</v>
      </c>
      <c r="H11" s="15">
        <f>IF(OR(666821.53755="",143.02884="",0.03608=""),"-",(143.02884-0.03608)/666821.53755*100)</f>
        <v>2.1443932438861578E-2</v>
      </c>
      <c r="I11" s="13"/>
    </row>
    <row r="12" spans="1:9" s="2" customFormat="1" ht="15.75" customHeight="1" x14ac:dyDescent="0.3">
      <c r="A12" s="13" t="s">
        <v>209</v>
      </c>
      <c r="B12" s="14" t="s">
        <v>179</v>
      </c>
      <c r="C12" s="10">
        <v>74532.266570000007</v>
      </c>
      <c r="D12" s="10">
        <f>IF(OR(132977.50478="",74532.26657=""),"-",74532.26657/132977.50478*100)</f>
        <v>56.048778094691521</v>
      </c>
      <c r="E12" s="15">
        <f>IF(132977.50478="","-",132977.50478/666821.53755*100)</f>
        <v>19.941993065877689</v>
      </c>
      <c r="F12" s="15">
        <f>IF(74532.26657="","-",74532.26657/687466.43149*100)</f>
        <v>10.841586316943559</v>
      </c>
      <c r="G12" s="15">
        <f>IF(OR(425472.26165="",22838.7273="",132977.50478=""),"-",(132977.50478-22838.7273)/425472.26165*100)</f>
        <v>25.886241573746076</v>
      </c>
      <c r="H12" s="15">
        <f>IF(OR(666821.53755="",74532.26657="",132977.50478=""),"-",(74532.26657-132977.50478)/666821.53755*100)</f>
        <v>-8.7647496247251322</v>
      </c>
      <c r="I12" s="13"/>
    </row>
    <row r="13" spans="1:9" s="2" customFormat="1" ht="15.75" customHeight="1" x14ac:dyDescent="0.3">
      <c r="A13" s="13" t="s">
        <v>210</v>
      </c>
      <c r="B13" s="14" t="s">
        <v>180</v>
      </c>
      <c r="C13" s="10">
        <v>60500.84029</v>
      </c>
      <c r="D13" s="10">
        <f>IF(OR(65972.88182="",60500.84029=""),"-",60500.84029/65972.88182*100)</f>
        <v>91.70561997741757</v>
      </c>
      <c r="E13" s="15">
        <f>IF(65972.88182="","-",65972.88182/666821.53755*100)</f>
        <v>9.8936339192633191</v>
      </c>
      <c r="F13" s="15">
        <f>IF(60500.84029="","-",60500.84029/687466.43149*100)</f>
        <v>8.8005519278769402</v>
      </c>
      <c r="G13" s="15">
        <f>IF(OR(425472.26165="",47870.22626="",65972.88182=""),"-",(65972.88182-47870.22626)/425472.26165*100)</f>
        <v>4.2547205051152108</v>
      </c>
      <c r="H13" s="15">
        <f>IF(OR(666821.53755="",60500.84029="",65972.88182=""),"-",(60500.84029-65972.88182)/666821.53755*100)</f>
        <v>-0.82061559530681594</v>
      </c>
      <c r="I13" s="13"/>
    </row>
    <row r="14" spans="1:9" s="2" customFormat="1" ht="14.25" customHeight="1" x14ac:dyDescent="0.3">
      <c r="A14" s="13" t="s">
        <v>211</v>
      </c>
      <c r="B14" s="14" t="s">
        <v>138</v>
      </c>
      <c r="C14" s="10">
        <v>5850.70262</v>
      </c>
      <c r="D14" s="10">
        <f>IF(OR(7445.52817="",5850.70262=""),"-",5850.70262/7445.52817*100)</f>
        <v>78.580088429106027</v>
      </c>
      <c r="E14" s="15">
        <f>IF(7445.52817="","-",7445.52817/666821.53755*100)</f>
        <v>1.1165698392640346</v>
      </c>
      <c r="F14" s="15">
        <f>IF(5850.70262="","-",5850.70262/687466.43149*100)</f>
        <v>0.85105284447406593</v>
      </c>
      <c r="G14" s="15">
        <f>IF(OR(425472.26165="",1525.29546="",7445.52817=""),"-",(7445.52817-1525.29546)/425472.26165*100)</f>
        <v>1.3914497474032923</v>
      </c>
      <c r="H14" s="15">
        <f>IF(OR(666821.53755="",5850.70262="",7445.52817=""),"-",(5850.70262-7445.52817)/666821.53755*100)</f>
        <v>-0.23916827219762909</v>
      </c>
      <c r="I14" s="13"/>
    </row>
    <row r="15" spans="1:9" s="2" customFormat="1" ht="26.4" x14ac:dyDescent="0.3">
      <c r="A15" s="13" t="s">
        <v>212</v>
      </c>
      <c r="B15" s="14" t="s">
        <v>181</v>
      </c>
      <c r="C15" s="10">
        <v>1854.4838199999999</v>
      </c>
      <c r="D15" s="10">
        <f>IF(OR(1765.02386="",1854.48382=""),"-",1854.48382/1765.02386*100)</f>
        <v>105.06848445663503</v>
      </c>
      <c r="E15" s="15">
        <f>IF(1765.02386="","-",1765.02386/666821.53755*100)</f>
        <v>0.26469208935346572</v>
      </c>
      <c r="F15" s="15">
        <f>IF(1854.48382="","-",1854.48382/687466.43149*100)</f>
        <v>0.26975627245982492</v>
      </c>
      <c r="G15" s="15">
        <f>IF(OR(425472.26165="",1566.22229="",1765.02386=""),"-",(1765.02386-1566.22229)/425472.26165*100)</f>
        <v>4.6724919088506248E-2</v>
      </c>
      <c r="H15" s="15">
        <f>IF(OR(666821.53755="",1854.48382="",1765.02386=""),"-",(1854.48382-1765.02386)/666821.53755*100)</f>
        <v>1.3415877406822957E-2</v>
      </c>
      <c r="I15" s="13"/>
    </row>
    <row r="16" spans="1:9" s="2" customFormat="1" ht="26.4" x14ac:dyDescent="0.3">
      <c r="A16" s="13" t="s">
        <v>213</v>
      </c>
      <c r="B16" s="14" t="s">
        <v>139</v>
      </c>
      <c r="C16" s="10">
        <v>11901.67871</v>
      </c>
      <c r="D16" s="10">
        <f>IF(OR(9889.47593="",11901.67871=""),"-",11901.67871/9889.47593*100)</f>
        <v>120.34691013197096</v>
      </c>
      <c r="E16" s="15">
        <f>IF(9889.47593="","-",9889.47593/666821.53755*100)</f>
        <v>1.4830768613646439</v>
      </c>
      <c r="F16" s="15">
        <f>IF(11901.67871="","-",11901.67871/687466.43149*100)</f>
        <v>1.7312377979248468</v>
      </c>
      <c r="G16" s="15">
        <f>IF(OR(425472.26165="",4149.99144="",9889.47593=""),"-",(9889.47593-4149.99144)/425472.26165*100)</f>
        <v>1.3489679603887759</v>
      </c>
      <c r="H16" s="15">
        <f>IF(OR(666821.53755="",11901.67871="",9889.47593=""),"-",(11901.67871-9889.47593)/666821.53755*100)</f>
        <v>0.30176031616991966</v>
      </c>
      <c r="I16" s="13"/>
    </row>
    <row r="17" spans="1:9" s="2" customFormat="1" ht="15" customHeight="1" x14ac:dyDescent="0.3">
      <c r="A17" s="13" t="s">
        <v>214</v>
      </c>
      <c r="B17" s="14" t="s">
        <v>182</v>
      </c>
      <c r="C17" s="10">
        <v>2423.5430200000001</v>
      </c>
      <c r="D17" s="10" t="s">
        <v>91</v>
      </c>
      <c r="E17" s="15">
        <f>IF(1165.63436="","-",1165.63436/666821.53755*100)</f>
        <v>0.17480454579837229</v>
      </c>
      <c r="F17" s="15">
        <f>IF(2423.54302="","-",2423.54302/687466.43149*100)</f>
        <v>0.35253256144409334</v>
      </c>
      <c r="G17" s="15">
        <f>IF(OR(425472.26165="",662.77802="",1165.63436=""),"-",(1165.63436-662.77802)/425472.26165*100)</f>
        <v>0.11818780807235263</v>
      </c>
      <c r="H17" s="15">
        <f>IF(OR(666821.53755="",2423.54302="",1165.63436=""),"-",(2423.54302-1165.63436)/666821.53755*100)</f>
        <v>0.18864247615962446</v>
      </c>
      <c r="I17" s="13"/>
    </row>
    <row r="18" spans="1:9" s="2" customFormat="1" x14ac:dyDescent="0.3">
      <c r="A18" s="11" t="s">
        <v>215</v>
      </c>
      <c r="B18" s="12" t="s">
        <v>183</v>
      </c>
      <c r="C18" s="9">
        <v>32362.979200000002</v>
      </c>
      <c r="D18" s="9">
        <f>IF(25468.85829="","-",32362.9792/25468.85829*100)</f>
        <v>127.06882590299261</v>
      </c>
      <c r="E18" s="17">
        <f>IF(25468.85829="","-",25468.85829/666821.53755*100)</f>
        <v>3.8194414630901572</v>
      </c>
      <c r="F18" s="17">
        <f>IF(32362.9792="","-",32362.9792/687466.43149*100)</f>
        <v>4.7075722853633994</v>
      </c>
      <c r="G18" s="17">
        <f>IF(425472.26165="","-",(25468.85829-29238.86714)/425472.26165*100)</f>
        <v>-0.88607629446388336</v>
      </c>
      <c r="H18" s="17">
        <f>IF(666821.53755="","-",(32362.9792-25468.85829)/666821.53755*100)</f>
        <v>1.0338779601105885</v>
      </c>
      <c r="I18" s="13"/>
    </row>
    <row r="19" spans="1:9" s="2" customFormat="1" x14ac:dyDescent="0.3">
      <c r="A19" s="13" t="s">
        <v>216</v>
      </c>
      <c r="B19" s="14" t="s">
        <v>184</v>
      </c>
      <c r="C19" s="10">
        <v>30494.346219999999</v>
      </c>
      <c r="D19" s="10">
        <f>IF(OR(23400.44576="",30494.34622=""),"-",30494.34622/23400.44576*100)</f>
        <v>130.31523643932499</v>
      </c>
      <c r="E19" s="15">
        <f>IF(23400.44576="","-",23400.44576/666821.53755*100)</f>
        <v>3.5092516426473965</v>
      </c>
      <c r="F19" s="15">
        <f>IF(30494.34622="","-",30494.34622/687466.43149*100)</f>
        <v>4.435757852773583</v>
      </c>
      <c r="G19" s="15">
        <f>IF(OR(425472.26165="",27436.31074="",23400.44576=""),"-",(23400.44576-27436.31074)/425472.26165*100)</f>
        <v>-0.94856124447425583</v>
      </c>
      <c r="H19" s="15">
        <f>IF(OR(666821.53755="",30494.34622="",23400.44576=""),"-",(30494.34622-23400.44576)/666821.53755*100)</f>
        <v>1.0638379327194545</v>
      </c>
      <c r="I19" s="11"/>
    </row>
    <row r="20" spans="1:9" s="2" customFormat="1" x14ac:dyDescent="0.3">
      <c r="A20" s="13" t="s">
        <v>217</v>
      </c>
      <c r="B20" s="14" t="s">
        <v>185</v>
      </c>
      <c r="C20" s="10">
        <v>1868.6329800000001</v>
      </c>
      <c r="D20" s="10">
        <f>IF(OR(2068.41253="",1868.63298=""),"-",1868.63298/2068.41253*100)</f>
        <v>90.341406895267653</v>
      </c>
      <c r="E20" s="15">
        <f>IF(2068.41253="","-",2068.41253/666821.53755*100)</f>
        <v>0.31018982044276056</v>
      </c>
      <c r="F20" s="15">
        <f>IF(1868.63298="","-",1868.63298/687466.43149*100)</f>
        <v>0.27181443258981602</v>
      </c>
      <c r="G20" s="15">
        <f>IF(OR(425472.26165="",1802.5564="",2068.41253=""),"-",(2068.41253-1802.5564)/425472.26165*100)</f>
        <v>6.2484950010371638E-2</v>
      </c>
      <c r="H20" s="15">
        <f>IF(OR(666821.53755="",1868.63298="",2068.41253=""),"-",(1868.63298-2068.41253)/666821.53755*100)</f>
        <v>-2.9959972608866133E-2</v>
      </c>
      <c r="I20" s="13"/>
    </row>
    <row r="21" spans="1:9" s="2" customFormat="1" ht="26.4" x14ac:dyDescent="0.3">
      <c r="A21" s="11" t="s">
        <v>218</v>
      </c>
      <c r="B21" s="12" t="s">
        <v>22</v>
      </c>
      <c r="C21" s="9">
        <v>41267.300889999999</v>
      </c>
      <c r="D21" s="9">
        <f>IF(83405.60009="","-",41267.30089/83405.60009*100)</f>
        <v>49.477853819731443</v>
      </c>
      <c r="E21" s="17">
        <f>IF(83405.60009="","-",83405.60009/666821.53755*100)</f>
        <v>12.507934341239846</v>
      </c>
      <c r="F21" s="17">
        <f>IF(41267.30089="","-",41267.30089/687466.43149*100)</f>
        <v>6.0028095918164519</v>
      </c>
      <c r="G21" s="17">
        <f>IF(425472.26165="","-",(83405.60009-51647.74563)/425472.26165*100)</f>
        <v>7.4641421597830284</v>
      </c>
      <c r="H21" s="17">
        <f>IF(666821.53755="","-",(41267.30089-83405.60009)/666821.53755*100)</f>
        <v>-6.319276872013206</v>
      </c>
      <c r="I21" s="13"/>
    </row>
    <row r="22" spans="1:9" s="2" customFormat="1" ht="15" customHeight="1" x14ac:dyDescent="0.3">
      <c r="A22" s="13" t="s">
        <v>219</v>
      </c>
      <c r="B22" s="14" t="s">
        <v>192</v>
      </c>
      <c r="C22" s="10">
        <v>106.0626</v>
      </c>
      <c r="D22" s="10">
        <f>IF(OR(240.81062="",106.0626=""),"-",106.0626/240.81062*100)</f>
        <v>44.043987761004892</v>
      </c>
      <c r="E22" s="15">
        <f>IF(240.81062="","-",240.81062/666821.53755*100)</f>
        <v>3.6113203674370431E-2</v>
      </c>
      <c r="F22" s="15">
        <f>IF(106.0626="","-",106.0626/687466.43149*100)</f>
        <v>1.5428040576486359E-2</v>
      </c>
      <c r="G22" s="15">
        <f>IF(OR(425472.26165="",247.37067="",240.81062=""),"-",(240.81062-247.37067)/425472.26165*100)</f>
        <v>-1.541827891331818E-3</v>
      </c>
      <c r="H22" s="15">
        <f>IF(OR(666821.53755="",106.0626="",240.81062=""),"-",(106.0626-240.81062)/666821.53755*100)</f>
        <v>-2.0207508667923948E-2</v>
      </c>
      <c r="I22" s="11"/>
    </row>
    <row r="23" spans="1:9" s="2" customFormat="1" ht="15" customHeight="1" x14ac:dyDescent="0.3">
      <c r="A23" s="13" t="s">
        <v>220</v>
      </c>
      <c r="B23" s="14" t="s">
        <v>186</v>
      </c>
      <c r="C23" s="10">
        <v>28588.559010000001</v>
      </c>
      <c r="D23" s="10">
        <f>IF(OR(67847.62462="",28588.55901=""),"-",28588.55901/67847.62462*100)</f>
        <v>42.136418437813248</v>
      </c>
      <c r="E23" s="15">
        <f>IF(67847.62462="","-",67847.62462/666821.53755*100)</f>
        <v>10.174780027244188</v>
      </c>
      <c r="F23" s="15">
        <f>IF(28588.55901="","-",28588.55901/687466.43149*100)</f>
        <v>4.1585389046615369</v>
      </c>
      <c r="G23" s="15">
        <f>IF(OR(425472.26165="",39646.22502="",67847.62462=""),"-",(67847.62462-39646.22502)/425472.26165*100)</f>
        <v>6.6282580891721929</v>
      </c>
      <c r="H23" s="15">
        <f>IF(OR(666821.53755="",28588.55901="",67847.62462=""),"-",(28588.55901-67847.62462)/666821.53755*100)</f>
        <v>-5.8874921398375291</v>
      </c>
      <c r="I23" s="13"/>
    </row>
    <row r="24" spans="1:9" s="2" customFormat="1" ht="15" customHeight="1" x14ac:dyDescent="0.3">
      <c r="A24" s="13" t="s">
        <v>273</v>
      </c>
      <c r="B24" s="14" t="s">
        <v>187</v>
      </c>
      <c r="C24" s="10" t="s">
        <v>323</v>
      </c>
      <c r="D24" s="10" t="str">
        <f>IF(OR(""="",""=""),"-",""/""*100)</f>
        <v>-</v>
      </c>
      <c r="E24" s="15" t="str">
        <f>IF(""="","-",""/666821.53755*100)</f>
        <v>-</v>
      </c>
      <c r="F24" s="15" t="str">
        <f>IF(""="","-",""/687466.43149*100)</f>
        <v>-</v>
      </c>
      <c r="G24" s="15" t="str">
        <f>IF(OR(425472.26165="",0.00454="",""=""),"-",(""-0.00454)/425472.26165*100)</f>
        <v>-</v>
      </c>
      <c r="H24" s="15" t="str">
        <f>IF(OR(666821.53755="",""="",""=""),"-",(""-"")/666821.53755*100)</f>
        <v>-</v>
      </c>
      <c r="I24" s="13"/>
    </row>
    <row r="25" spans="1:9" s="2" customFormat="1" x14ac:dyDescent="0.3">
      <c r="A25" s="13" t="s">
        <v>221</v>
      </c>
      <c r="B25" s="14" t="s">
        <v>188</v>
      </c>
      <c r="C25" s="10">
        <v>400.16133000000002</v>
      </c>
      <c r="D25" s="10">
        <f>IF(OR(609.32803="",400.16133=""),"-",400.16133/609.32803*100)</f>
        <v>65.672562281436484</v>
      </c>
      <c r="E25" s="15">
        <f>IF(609.32803="","-",609.32803/666821.53755*100)</f>
        <v>9.1377976818019471E-2</v>
      </c>
      <c r="F25" s="15">
        <f>IF(400.16133="","-",400.16133/687466.43149*100)</f>
        <v>5.8208126487383383E-2</v>
      </c>
      <c r="G25" s="15">
        <f>IF(OR(425472.26165="",253.95627="",609.32803=""),"-",(609.32803-253.95627)/425472.26165*100)</f>
        <v>8.3524072432325625E-2</v>
      </c>
      <c r="H25" s="15">
        <f>IF(OR(666821.53755="",400.16133="",609.32803=""),"-",(400.16133-609.32803)/666821.53755*100)</f>
        <v>-3.1367718080689042E-2</v>
      </c>
      <c r="I25" s="13"/>
    </row>
    <row r="26" spans="1:9" s="2" customFormat="1" ht="14.25" customHeight="1" x14ac:dyDescent="0.3">
      <c r="A26" s="13" t="s">
        <v>222</v>
      </c>
      <c r="B26" s="14" t="s">
        <v>140</v>
      </c>
      <c r="C26" s="10">
        <v>540.71838000000002</v>
      </c>
      <c r="D26" s="10">
        <f>IF(OR(800.45794="",540.71838=""),"-",540.71838/800.45794*100)</f>
        <v>67.551129544670403</v>
      </c>
      <c r="E26" s="15">
        <f>IF(800.45794="","-",800.45794/666821.53755*100)</f>
        <v>0.12004080476179574</v>
      </c>
      <c r="F26" s="15">
        <f>IF(540.71838="","-",540.71838/687466.43149*100)</f>
        <v>7.8653786604250417E-2</v>
      </c>
      <c r="G26" s="15">
        <f>IF(OR(425472.26165="",483.42643="",800.45794=""),"-",(800.45794-483.42643)/425472.26165*100)</f>
        <v>7.4512850443067186E-2</v>
      </c>
      <c r="H26" s="15">
        <f>IF(OR(666821.53755="",540.71838="",800.45794=""),"-",(540.71838-800.45794)/666821.53755*100)</f>
        <v>-3.8951885230690236E-2</v>
      </c>
      <c r="I26" s="13"/>
    </row>
    <row r="27" spans="1:9" s="2" customFormat="1" ht="40.5" customHeight="1" x14ac:dyDescent="0.3">
      <c r="A27" s="13" t="s">
        <v>223</v>
      </c>
      <c r="B27" s="14" t="s">
        <v>141</v>
      </c>
      <c r="C27" s="10">
        <v>4.5851300000000004</v>
      </c>
      <c r="D27" s="10">
        <f>IF(OR(11.64596="",4.58513=""),"-",4.58513/11.64596*100)</f>
        <v>39.370992172392832</v>
      </c>
      <c r="E27" s="15">
        <f>IF(11.64596="","-",11.64596/666821.53755*100)</f>
        <v>1.7464882797260813E-3</v>
      </c>
      <c r="F27" s="15">
        <f>IF(4.58513="","-",4.58513/687466.43149*100)</f>
        <v>6.669605656326067E-4</v>
      </c>
      <c r="G27" s="15">
        <f>IF(OR(425472.26165="",0.08462="",11.64596=""),"-",(11.64596-0.08462)/425472.26165*100)</f>
        <v>2.7172958244480196E-3</v>
      </c>
      <c r="H27" s="15">
        <f>IF(OR(666821.53755="",4.58513="",11.64596=""),"-",(4.58513-11.64596)/666821.53755*100)</f>
        <v>-1.0588785158233676E-3</v>
      </c>
      <c r="I27" s="13"/>
    </row>
    <row r="28" spans="1:9" s="2" customFormat="1" ht="39.6" x14ac:dyDescent="0.3">
      <c r="A28" s="13" t="s">
        <v>224</v>
      </c>
      <c r="B28" s="14" t="s">
        <v>142</v>
      </c>
      <c r="C28" s="10">
        <v>2906.5364500000001</v>
      </c>
      <c r="D28" s="10" t="s">
        <v>195</v>
      </c>
      <c r="E28" s="15">
        <f>IF(1312.18917="","-",1312.18917/666821.53755*100)</f>
        <v>0.19678266164305003</v>
      </c>
      <c r="F28" s="15">
        <f>IF(2906.53645="","-",2906.53645/687466.43149*100)</f>
        <v>0.42278958169643793</v>
      </c>
      <c r="G28" s="15">
        <f>IF(OR(425472.26165="",750.57396="",1312.18917=""),"-",(1312.18917-750.57396)/425472.26165*100)</f>
        <v>0.13199807851680664</v>
      </c>
      <c r="H28" s="15">
        <f>IF(OR(666821.53755="",2906.53645="",1312.18917=""),"-",(2906.53645-1312.18917)/666821.53755*100)</f>
        <v>0.2390965483595304</v>
      </c>
      <c r="I28" s="13"/>
    </row>
    <row r="29" spans="1:9" s="2" customFormat="1" ht="15" customHeight="1" x14ac:dyDescent="0.3">
      <c r="A29" s="13" t="s">
        <v>225</v>
      </c>
      <c r="B29" s="14" t="s">
        <v>143</v>
      </c>
      <c r="C29" s="10">
        <v>7359.1469200000001</v>
      </c>
      <c r="D29" s="10">
        <f>IF(OR(11869.40011="",7359.14692=""),"-",7359.14692/11869.40011*100)</f>
        <v>62.001001329459768</v>
      </c>
      <c r="E29" s="15">
        <f>IF(11869.40011="","-",11869.40011/666821.53755*100)</f>
        <v>1.7799965120517725</v>
      </c>
      <c r="F29" s="15">
        <f>IF(7359.14692="","-",7359.14692/687466.43149*100)</f>
        <v>1.0704736381164013</v>
      </c>
      <c r="G29" s="15">
        <f>IF(OR(425472.26165="",9836.73631="",11869.40011=""),"-",(11869.40011-9836.73631)/425472.26165*100)</f>
        <v>0.47774296545613604</v>
      </c>
      <c r="H29" s="15">
        <f>IF(OR(666821.53755="",7359.14692="",11869.40011=""),"-",(7359.14692-11869.40011)/666821.53755*100)</f>
        <v>-0.6763808509502155</v>
      </c>
      <c r="I29" s="13"/>
    </row>
    <row r="30" spans="1:9" s="2" customFormat="1" ht="26.4" x14ac:dyDescent="0.3">
      <c r="A30" s="13" t="s">
        <v>226</v>
      </c>
      <c r="B30" s="14" t="s">
        <v>144</v>
      </c>
      <c r="C30" s="10">
        <v>1361.53107</v>
      </c>
      <c r="D30" s="10" t="s">
        <v>101</v>
      </c>
      <c r="E30" s="15">
        <f>IF(714.14364="","-",714.14364/666821.53755*100)</f>
        <v>0.10709666676692363</v>
      </c>
      <c r="F30" s="15">
        <f>IF(1361.53107="","-",1361.53107/687466.43149*100)</f>
        <v>0.1980505531083237</v>
      </c>
      <c r="G30" s="15">
        <f>IF(OR(425472.26165="",429.36781="",714.14364=""),"-",(714.14364-429.36781)/425472.26165*100)</f>
        <v>6.6931702878967214E-2</v>
      </c>
      <c r="H30" s="15">
        <f>IF(OR(666821.53755="",1361.53107="",714.14364=""),"-",(1361.53107-714.14364)/666821.53755*100)</f>
        <v>9.70855609101344E-2</v>
      </c>
      <c r="I30" s="13"/>
    </row>
    <row r="31" spans="1:9" s="2" customFormat="1" ht="26.4" x14ac:dyDescent="0.3">
      <c r="A31" s="11" t="s">
        <v>227</v>
      </c>
      <c r="B31" s="12" t="s">
        <v>145</v>
      </c>
      <c r="C31" s="9">
        <v>87997.062460000001</v>
      </c>
      <c r="D31" s="9" t="s">
        <v>329</v>
      </c>
      <c r="E31" s="17">
        <f>IF(1152.94346="","-",1152.94346/666821.53755*100)</f>
        <v>0.17290135292211511</v>
      </c>
      <c r="F31" s="17">
        <f>IF(87997.06246="","-",87997.06246/687466.43149*100)</f>
        <v>12.800197715730944</v>
      </c>
      <c r="G31" s="17">
        <f>IF(425472.26165="","-",(1152.94346-9354.0377)/425472.26165*100)</f>
        <v>-1.9275273570586715</v>
      </c>
      <c r="H31" s="17">
        <f>IF(666821.53755="","-",(87997.06246-1152.94346)/666821.53755*100)</f>
        <v>13.023592387114252</v>
      </c>
      <c r="I31" s="13"/>
    </row>
    <row r="32" spans="1:9" s="2" customFormat="1" x14ac:dyDescent="0.3">
      <c r="A32" s="13" t="s">
        <v>228</v>
      </c>
      <c r="B32" s="14" t="s">
        <v>189</v>
      </c>
      <c r="C32" s="10">
        <v>37.990130000000001</v>
      </c>
      <c r="D32" s="10">
        <f>IF(OR(23.78332="",37.99013=""),"-",37.99013/23.78332*100)</f>
        <v>159.73434322878387</v>
      </c>
      <c r="E32" s="15">
        <f>IF(23.78332="","-",23.78332/666821.53755*100)</f>
        <v>3.5666694401298737E-3</v>
      </c>
      <c r="F32" s="15">
        <f>IF(37.99013="","-",37.99013/687466.43149*100)</f>
        <v>5.5261069137093732E-3</v>
      </c>
      <c r="G32" s="15">
        <f>IF(OR(425472.26165="",191.67455="",23.78332=""),"-",(23.78332-191.67455)/425472.26165*100)</f>
        <v>-3.9459970750833552E-2</v>
      </c>
      <c r="H32" s="15">
        <f>IF(OR(666821.53755="",37.99013="",23.78332=""),"-",(37.99013-23.78332)/666821.53755*100)</f>
        <v>2.1305265652033227E-3</v>
      </c>
      <c r="I32" s="11"/>
    </row>
    <row r="33" spans="1:9" s="2" customFormat="1" ht="26.4" x14ac:dyDescent="0.3">
      <c r="A33" s="13" t="s">
        <v>229</v>
      </c>
      <c r="B33" s="14" t="s">
        <v>146</v>
      </c>
      <c r="C33" s="10">
        <v>83107.872889999999</v>
      </c>
      <c r="D33" s="10" t="s">
        <v>376</v>
      </c>
      <c r="E33" s="15">
        <f>IF(1128.26507="","-",1128.26507/666821.53755*100)</f>
        <v>0.16920045416430474</v>
      </c>
      <c r="F33" s="15">
        <f>IF(83107.87289="","-",83107.87289/687466.43149*100)</f>
        <v>12.089008143986577</v>
      </c>
      <c r="G33" s="15">
        <f>IF(OR(425472.26165="",9161.41412="",1128.26507=""),"-",(1128.26507-9161.41412)/425472.26165*100)</f>
        <v>-1.8880547039299571</v>
      </c>
      <c r="H33" s="15">
        <f>IF(OR(666821.53755="",83107.87289="",1128.26507=""),"-",(83107.87289-1128.26507)/666821.53755*100)</f>
        <v>12.294085179252772</v>
      </c>
      <c r="I33" s="13"/>
    </row>
    <row r="34" spans="1:9" s="2" customFormat="1" ht="26.4" x14ac:dyDescent="0.3">
      <c r="A34" s="36" t="s">
        <v>274</v>
      </c>
      <c r="B34" s="14" t="s">
        <v>306</v>
      </c>
      <c r="C34" s="10">
        <v>1349.5442</v>
      </c>
      <c r="D34" s="10" t="str">
        <f>IF(OR(""="",1349.5442=""),"-",1349.5442/""*100)</f>
        <v>-</v>
      </c>
      <c r="E34" s="15" t="str">
        <f>IF(""="","-",""/666821.53755*100)</f>
        <v>-</v>
      </c>
      <c r="F34" s="15">
        <f>IF(1349.5442="","-",1349.5442/687466.43149*100)</f>
        <v>0.19630692324496876</v>
      </c>
      <c r="G34" s="15" t="str">
        <f>IF(OR(425472.26165="",""="",""=""),"-",(""-"")/425472.26165*100)</f>
        <v>-</v>
      </c>
      <c r="H34" s="15" t="str">
        <f>IF(OR(666821.53755="",1349.5442="",""=""),"-",(1349.5442-"")/666821.53755*100)</f>
        <v>-</v>
      </c>
      <c r="I34" s="13"/>
    </row>
    <row r="35" spans="1:9" s="2" customFormat="1" x14ac:dyDescent="0.3">
      <c r="A35" s="13" t="s">
        <v>279</v>
      </c>
      <c r="B35" s="14" t="s">
        <v>280</v>
      </c>
      <c r="C35" s="10">
        <v>3501.65524</v>
      </c>
      <c r="D35" s="10" t="s">
        <v>366</v>
      </c>
      <c r="E35" s="15">
        <f>IF(0.89507="","-",0.89507/666821.53755*100)</f>
        <v>1.3422931768050238E-4</v>
      </c>
      <c r="F35" s="15">
        <f>IF(3501.65524="","-",3501.65524/687466.43149*100)</f>
        <v>0.50935654158568688</v>
      </c>
      <c r="G35" s="15">
        <f>IF(OR(425472.26165="",0.94903="",0.89507=""),"-",(0.89507-0.94903)/425472.26165*100)</f>
        <v>-1.2682377880696799E-5</v>
      </c>
      <c r="H35" s="15">
        <f>IF(OR(666821.53755="",3501.65524="",0.89507=""),"-",(3501.65524-0.89507)/666821.53755*100)</f>
        <v>0.52499206652237207</v>
      </c>
      <c r="I35" s="13"/>
    </row>
    <row r="36" spans="1:9" s="2" customFormat="1" ht="26.4" x14ac:dyDescent="0.3">
      <c r="A36" s="11" t="s">
        <v>230</v>
      </c>
      <c r="B36" s="12" t="s">
        <v>147</v>
      </c>
      <c r="C36" s="9">
        <v>58481.267220000002</v>
      </c>
      <c r="D36" s="9">
        <f>IF(53704.78663="","-",58481.26722/53704.78663*100)</f>
        <v>108.89395692586517</v>
      </c>
      <c r="E36" s="17">
        <f>IF(53704.78663="","-",53704.78663/666821.53755*100)</f>
        <v>8.0538470348932112</v>
      </c>
      <c r="F36" s="17">
        <f>IF(58481.26722="","-",58481.26722/687466.43149*100)</f>
        <v>8.5067815010616528</v>
      </c>
      <c r="G36" s="17">
        <f>IF(425472.26165="","-",(53704.78663-7686.31558)/425472.26165*100)</f>
        <v>10.815856918977129</v>
      </c>
      <c r="H36" s="17">
        <f>IF(666821.53755="","-",(58481.26722-53704.78663)/666821.53755*100)</f>
        <v>0.71630568615847179</v>
      </c>
      <c r="I36" s="13"/>
    </row>
    <row r="37" spans="1:9" s="2" customFormat="1" ht="15.75" customHeight="1" x14ac:dyDescent="0.3">
      <c r="A37" s="13" t="s">
        <v>231</v>
      </c>
      <c r="B37" s="14" t="s">
        <v>193</v>
      </c>
      <c r="C37" s="10">
        <v>1.9330099999999999</v>
      </c>
      <c r="D37" s="10">
        <f>IF(OR(1.59594="",1.93301=""),"-",1.93301/1.59594*100)</f>
        <v>121.1204681880271</v>
      </c>
      <c r="E37" s="15">
        <f>IF(1.59594="","-",1.59594/666821.53755*100)</f>
        <v>2.3933540087258087E-4</v>
      </c>
      <c r="F37" s="15">
        <f>IF(1.93301="","-",1.93301/687466.43149*100)</f>
        <v>2.8117882000586349E-4</v>
      </c>
      <c r="G37" s="15">
        <f>IF(OR(425472.26165="",0.89174="",1.59594=""),"-",(1.59594-0.89174)/425472.26165*100)</f>
        <v>1.6551020206795187E-4</v>
      </c>
      <c r="H37" s="15">
        <f>IF(OR(666821.53755="",1.93301="",1.59594=""),"-",(1.93301-1.59594)/666821.53755*100)</f>
        <v>5.054875720398062E-5</v>
      </c>
      <c r="I37" s="11"/>
    </row>
    <row r="38" spans="1:9" s="2" customFormat="1" ht="26.4" x14ac:dyDescent="0.3">
      <c r="A38" s="13" t="s">
        <v>232</v>
      </c>
      <c r="B38" s="14" t="s">
        <v>148</v>
      </c>
      <c r="C38" s="10">
        <v>58479.283909999998</v>
      </c>
      <c r="D38" s="10">
        <f>IF(OR(53703.19069="",58479.2839099999=""),"-",58479.2839099999/53703.19069*100)</f>
        <v>108.89349991803978</v>
      </c>
      <c r="E38" s="15">
        <f>IF(53703.19069="","-",53703.19069/666821.53755*100)</f>
        <v>8.0536076994923391</v>
      </c>
      <c r="F38" s="15">
        <f>IF(58479.2839099999="","-",58479.2839099999/687466.43149*100)</f>
        <v>8.5064930055207419</v>
      </c>
      <c r="G38" s="15">
        <f>IF(OR(425472.26165="",7681.86151="",53703.19069=""),"-",(53703.19069-7681.86151)/425472.26165*100)</f>
        <v>10.816528673697148</v>
      </c>
      <c r="H38" s="15">
        <f>IF(OR(666821.53755="",58479.2839099999="",53703.19069=""),"-",(58479.2839099999-53703.19069)/666821.53755*100)</f>
        <v>0.71624759415359607</v>
      </c>
      <c r="I38" s="13"/>
    </row>
    <row r="39" spans="1:9" s="2" customFormat="1" ht="26.4" x14ac:dyDescent="0.3">
      <c r="A39" s="11" t="s">
        <v>234</v>
      </c>
      <c r="B39" s="12" t="s">
        <v>149</v>
      </c>
      <c r="C39" s="9">
        <v>22651.39702</v>
      </c>
      <c r="D39" s="9">
        <f>IF(29000.84205="","-",22651.39702/29000.84205*100)</f>
        <v>78.105997684298273</v>
      </c>
      <c r="E39" s="17">
        <f>IF(29000.84205="","-",29000.84205/666821.53755*100)</f>
        <v>4.3491159803496062</v>
      </c>
      <c r="F39" s="17">
        <f>IF(22651.39702="","-",22651.39702/687466.43149*100)</f>
        <v>3.2949095377509341</v>
      </c>
      <c r="G39" s="17">
        <f>IF(425472.26165="","-",(29000.84205-17625.00653)/425472.26165*100)</f>
        <v>2.6736961596236646</v>
      </c>
      <c r="H39" s="17">
        <f>IF(666821.53755="","-",(22651.39702-29000.84205)/666821.53755*100)</f>
        <v>-0.95219555345029649</v>
      </c>
      <c r="I39" s="13"/>
    </row>
    <row r="40" spans="1:9" s="2" customFormat="1" x14ac:dyDescent="0.3">
      <c r="A40" s="13" t="s">
        <v>235</v>
      </c>
      <c r="B40" s="14" t="s">
        <v>23</v>
      </c>
      <c r="C40" s="10">
        <v>4635.45201</v>
      </c>
      <c r="D40" s="10">
        <f>IF(OR(7627.06737="",4635.45201=""),"-",4635.45201/7627.06737*100)</f>
        <v>60.776334928322527</v>
      </c>
      <c r="E40" s="15">
        <f>IF(7627.06737="","-",7627.06737/666821.53755*100)</f>
        <v>1.1437943948275819</v>
      </c>
      <c r="F40" s="15">
        <f>IF(4635.45201="","-",4635.45201/687466.43149*100)</f>
        <v>0.67428048813281261</v>
      </c>
      <c r="G40" s="15">
        <f>IF(OR(425472.26165="",4165.42886="",7627.06737=""),"-",(7627.06737-4165.42886)/425472.26165*100)</f>
        <v>0.81359910434010785</v>
      </c>
      <c r="H40" s="15">
        <f>IF(OR(666821.53755="",4635.45201="",7627.06737=""),"-",(4635.45201-7627.06737)/666821.53755*100)</f>
        <v>-0.44863808253579102</v>
      </c>
      <c r="I40" s="13"/>
    </row>
    <row r="41" spans="1:9" s="2" customFormat="1" x14ac:dyDescent="0.3">
      <c r="A41" s="13" t="s">
        <v>236</v>
      </c>
      <c r="B41" s="14" t="s">
        <v>24</v>
      </c>
      <c r="C41" s="10">
        <v>1477.7289699999999</v>
      </c>
      <c r="D41" s="10" t="s">
        <v>303</v>
      </c>
      <c r="E41" s="15">
        <f>IF(472.73152="","-",472.73152/666821.53755*100)</f>
        <v>7.0893259047523388E-2</v>
      </c>
      <c r="F41" s="15">
        <f>IF(1477.72897="","-",1477.72897/687466.43149*100)</f>
        <v>0.21495289112476398</v>
      </c>
      <c r="G41" s="15">
        <f>IF(OR(425472.26165="",116.68014="",472.73152=""),"-",(472.73152-116.68014)/425472.26165*100)</f>
        <v>8.3683805524528726E-2</v>
      </c>
      <c r="H41" s="15">
        <f>IF(OR(666821.53755="",1477.72897="",472.73152=""),"-",(1477.72897-472.73152)/666821.53755*100)</f>
        <v>0.15071460554386223</v>
      </c>
      <c r="I41" s="13"/>
    </row>
    <row r="42" spans="1:9" s="2" customFormat="1" ht="16.5" customHeight="1" x14ac:dyDescent="0.3">
      <c r="A42" s="13" t="s">
        <v>237</v>
      </c>
      <c r="B42" s="14" t="s">
        <v>150</v>
      </c>
      <c r="C42" s="10">
        <v>714.85447999999997</v>
      </c>
      <c r="D42" s="10">
        <f>IF(OR(524.00116="",714.85448=""),"-",714.85448/524.00116*100)</f>
        <v>136.42230868343879</v>
      </c>
      <c r="E42" s="15">
        <f>IF(524.00116="","-",524.00116/666821.53755*100)</f>
        <v>7.8581918923203514E-2</v>
      </c>
      <c r="F42" s="15">
        <f>IF(714.85448="","-",714.85448/687466.43149*100)</f>
        <v>0.10398391066901111</v>
      </c>
      <c r="G42" s="15">
        <f>IF(OR(425472.26165="",183.5842="",524.00116=""),"-",(524.00116-183.5842)/425472.26165*100)</f>
        <v>8.0009201699741406E-2</v>
      </c>
      <c r="H42" s="15">
        <f>IF(OR(666821.53755="",714.85448="",524.00116=""),"-",(714.85448-524.00116)/666821.53755*100)</f>
        <v>2.8621349079578771E-2</v>
      </c>
      <c r="I42" s="13"/>
    </row>
    <row r="43" spans="1:9" s="2" customFormat="1" x14ac:dyDescent="0.3">
      <c r="A43" s="13" t="s">
        <v>238</v>
      </c>
      <c r="B43" s="14" t="s">
        <v>151</v>
      </c>
      <c r="C43" s="10">
        <v>8051.8749200000002</v>
      </c>
      <c r="D43" s="10">
        <f>IF(OR(15949.94942="",8051.87492=""),"-",8051.87492/15949.94942*100)</f>
        <v>50.482134506982021</v>
      </c>
      <c r="E43" s="15">
        <f>IF(15949.94942="","-",15949.94942/666821.53755*100)</f>
        <v>2.3919367509637515</v>
      </c>
      <c r="F43" s="15">
        <f>IF(8051.87492="","-",8051.87492/687466.43149*100)</f>
        <v>1.1712389945424011</v>
      </c>
      <c r="G43" s="15">
        <f>IF(OR(425472.26165="",10627.32254="",15949.94942=""),"-",(15949.94942-10627.32254)/425472.26165*100)</f>
        <v>1.250992687363125</v>
      </c>
      <c r="H43" s="15">
        <f>IF(OR(666821.53755="",8051.87492="",15949.94942=""),"-",(8051.87492-15949.94942)/666821.53755*100)</f>
        <v>-1.1844360230202946</v>
      </c>
      <c r="I43" s="13"/>
    </row>
    <row r="44" spans="1:9" ht="39.6" x14ac:dyDescent="0.3">
      <c r="A44" s="13" t="s">
        <v>239</v>
      </c>
      <c r="B44" s="14" t="s">
        <v>152</v>
      </c>
      <c r="C44" s="10">
        <v>3405.2898300000002</v>
      </c>
      <c r="D44" s="10">
        <f>IF(OR(2382.16033="",3405.28983=""),"-",3405.28983/2382.16033*100)</f>
        <v>142.94964898521334</v>
      </c>
      <c r="E44" s="15">
        <f>IF(2382.16033="","-",2382.16033/666821.53755*100)</f>
        <v>0.35724106014217927</v>
      </c>
      <c r="F44" s="15">
        <f>IF(3405.28983="","-",3405.28983/687466.43149*100)</f>
        <v>0.49533907024659346</v>
      </c>
      <c r="G44" s="15">
        <f>IF(OR(425472.26165="",1404.95957="",2382.16033=""),"-",(2382.16033-1404.95957)/425472.26165*100)</f>
        <v>0.2296743755304689</v>
      </c>
      <c r="H44" s="15">
        <f>IF(OR(666821.53755="",3405.28983="",2382.16033=""),"-",(3405.28983-2382.16033)/666821.53755*100)</f>
        <v>0.15343378136212091</v>
      </c>
      <c r="I44" s="13"/>
    </row>
    <row r="45" spans="1:9" x14ac:dyDescent="0.3">
      <c r="A45" s="13" t="s">
        <v>240</v>
      </c>
      <c r="B45" s="14" t="s">
        <v>153</v>
      </c>
      <c r="C45" s="10">
        <v>265.37205999999998</v>
      </c>
      <c r="D45" s="10" t="s">
        <v>327</v>
      </c>
      <c r="E45" s="15">
        <f>IF(50.34406="","-",50.34406/666821.53755*100)</f>
        <v>7.5498551209025799E-3</v>
      </c>
      <c r="F45" s="15">
        <f>IF(265.37206="","-",265.37206/687466.43149*100)</f>
        <v>3.8601457154037074E-2</v>
      </c>
      <c r="G45" s="15">
        <f>IF(OR(425472.26165="",46.68694="",50.34406=""),"-",(50.34406-46.68694)/425472.26165*100)</f>
        <v>8.5954369523821091E-4</v>
      </c>
      <c r="H45" s="15">
        <f>IF(OR(666821.53755="",265.37206="",50.34406=""),"-",(265.37206-50.34406)/666821.53755*100)</f>
        <v>3.2246708885565446E-2</v>
      </c>
      <c r="I45" s="13"/>
    </row>
    <row r="46" spans="1:9" x14ac:dyDescent="0.3">
      <c r="A46" s="13" t="s">
        <v>241</v>
      </c>
      <c r="B46" s="14" t="s">
        <v>25</v>
      </c>
      <c r="C46" s="10">
        <v>1831.2492199999999</v>
      </c>
      <c r="D46" s="10" t="s">
        <v>328</v>
      </c>
      <c r="E46" s="15">
        <f>IF(434.979="","-",434.979/666821.53755*100)</f>
        <v>6.5231696264367298E-2</v>
      </c>
      <c r="F46" s="15">
        <f>IF(1831.24922="","-",1831.24922/687466.43149*100)</f>
        <v>0.26637652925554339</v>
      </c>
      <c r="G46" s="15">
        <f>IF(OR(425472.26165="",236.70523="",434.979=""),"-",(434.979-236.70523)/425472.26165*100)</f>
        <v>4.6600868698487105E-2</v>
      </c>
      <c r="H46" s="15">
        <f>IF(OR(666821.53755="",1831.24922="",434.979=""),"-",(1831.24922-434.979)/666821.53755*100)</f>
        <v>0.20939188993956331</v>
      </c>
      <c r="I46" s="13"/>
    </row>
    <row r="47" spans="1:9" x14ac:dyDescent="0.3">
      <c r="A47" s="13" t="s">
        <v>242</v>
      </c>
      <c r="B47" s="14" t="s">
        <v>26</v>
      </c>
      <c r="C47" s="10">
        <v>1254.6289899999999</v>
      </c>
      <c r="D47" s="10">
        <f>IF(OR(897.22286="",1254.62899=""),"-",1254.62899/897.22286*100)</f>
        <v>139.83471063142551</v>
      </c>
      <c r="E47" s="15">
        <f>IF(897.22286="","-",897.22286/666821.53755*100)</f>
        <v>0.13455217167947636</v>
      </c>
      <c r="F47" s="15">
        <f>IF(1254.62899="","-",1254.62899/687466.43149*100)</f>
        <v>0.18250040038765877</v>
      </c>
      <c r="G47" s="15">
        <f>IF(OR(425472.26165="",459.99763="",897.22286=""),"-",(897.22286-459.99763)/425472.26165*100)</f>
        <v>0.10276233480049238</v>
      </c>
      <c r="H47" s="15">
        <f>IF(OR(666821.53755="",1254.62899="",897.22286=""),"-",(1254.62899-897.22286)/666821.53755*100)</f>
        <v>5.359846823681827E-2</v>
      </c>
      <c r="I47" s="13"/>
    </row>
    <row r="48" spans="1:9" x14ac:dyDescent="0.3">
      <c r="A48" s="13" t="s">
        <v>243</v>
      </c>
      <c r="B48" s="14" t="s">
        <v>154</v>
      </c>
      <c r="C48" s="10">
        <v>1014.94654</v>
      </c>
      <c r="D48" s="10">
        <f>IF(OR(662.38633="",1014.94654=""),"-",1014.94654/662.38633*100)</f>
        <v>153.22576780834228</v>
      </c>
      <c r="E48" s="15">
        <f>IF(662.38633="","-",662.38633/666821.53755*100)</f>
        <v>9.9334873380620609E-2</v>
      </c>
      <c r="F48" s="15">
        <f>IF(1014.94654="","-",1014.94654/687466.43149*100)</f>
        <v>0.14763579623811254</v>
      </c>
      <c r="G48" s="15">
        <f>IF(OR(425472.26165="",383.64142="",662.38633=""),"-",(662.38633-383.64142)/425472.26165*100)</f>
        <v>6.5514237971475542E-2</v>
      </c>
      <c r="H48" s="15">
        <f>IF(OR(666821.53755="",1014.94654="",662.38633=""),"-",(1014.94654-662.38633)/666821.53755*100)</f>
        <v>5.2871749058279946E-2</v>
      </c>
      <c r="I48" s="11"/>
    </row>
    <row r="49" spans="1:9" ht="26.4" x14ac:dyDescent="0.3">
      <c r="A49" s="11" t="s">
        <v>244</v>
      </c>
      <c r="B49" s="12" t="s">
        <v>307</v>
      </c>
      <c r="C49" s="9">
        <v>48429.791640000003</v>
      </c>
      <c r="D49" s="9">
        <f>IF(45809.41641="","-",48429.79164/45809.41641*100)</f>
        <v>105.72016723930146</v>
      </c>
      <c r="E49" s="17">
        <f>IF(45809.41641="","-",45809.41641/666821.53755*100)</f>
        <v>6.8698165596615999</v>
      </c>
      <c r="F49" s="17">
        <f>IF(48429.79164="","-",48429.79164/687466.43149*100)</f>
        <v>7.0446772993750848</v>
      </c>
      <c r="G49" s="17">
        <f>IF(425472.26165="","-",(45809.41641-30623.68799)/425472.26165*100)</f>
        <v>3.5691465199421186</v>
      </c>
      <c r="H49" s="17">
        <f>IF(666821.53755="","-",(48429.79164-45809.41641)/666821.53755*100)</f>
        <v>0.39296499624586922</v>
      </c>
      <c r="I49" s="13"/>
    </row>
    <row r="50" spans="1:9" x14ac:dyDescent="0.3">
      <c r="A50" s="13" t="s">
        <v>245</v>
      </c>
      <c r="B50" s="14" t="s">
        <v>155</v>
      </c>
      <c r="C50" s="10">
        <v>179.708</v>
      </c>
      <c r="D50" s="10">
        <f>IF(OR(259.7683="",179.708=""),"-",179.708/259.7683*100)</f>
        <v>69.180111661045629</v>
      </c>
      <c r="E50" s="15">
        <f>IF(259.7683="","-",259.7683/666821.53755*100)</f>
        <v>3.8956195229450263E-2</v>
      </c>
      <c r="F50" s="15">
        <f>IF(179.708="","-",179.708/687466.43149*100)</f>
        <v>2.6140621820690903E-2</v>
      </c>
      <c r="G50" s="15">
        <f>IF(OR(425472.26165="",222.9804="",259.7683=""),"-",(259.7683-222.9804)/425472.26165*100)</f>
        <v>8.6463685922402844E-3</v>
      </c>
      <c r="H50" s="15">
        <f>IF(OR(666821.53755="",179.708="",259.7683=""),"-",(179.708-259.7683)/666821.53755*100)</f>
        <v>-1.2006255870821641E-2</v>
      </c>
      <c r="I50" s="13"/>
    </row>
    <row r="51" spans="1:9" x14ac:dyDescent="0.3">
      <c r="A51" s="13" t="s">
        <v>246</v>
      </c>
      <c r="B51" s="14" t="s">
        <v>27</v>
      </c>
      <c r="C51" s="10">
        <v>802.97008000000005</v>
      </c>
      <c r="D51" s="10" t="s">
        <v>383</v>
      </c>
      <c r="E51" s="15">
        <f>IF(76.70713="","-",76.70713/666821.53755*100)</f>
        <v>1.1503397188074223E-2</v>
      </c>
      <c r="F51" s="15">
        <f>IF(802.97008="","-",802.97008/687466.43149*100)</f>
        <v>0.11680135105064837</v>
      </c>
      <c r="G51" s="15">
        <f>IF(OR(425472.26165="",62.50941="",76.70713=""),"-",(76.70713-62.50941)/425472.26165*100)</f>
        <v>3.336931988219544E-3</v>
      </c>
      <c r="H51" s="15">
        <f>IF(OR(666821.53755="",802.97008="",76.70713=""),"-",(802.97008-76.70713)/666821.53755*100)</f>
        <v>0.10891414105615072</v>
      </c>
      <c r="I51" s="13"/>
    </row>
    <row r="52" spans="1:9" ht="16.5" customHeight="1" x14ac:dyDescent="0.3">
      <c r="A52" s="13" t="s">
        <v>247</v>
      </c>
      <c r="B52" s="14" t="s">
        <v>156</v>
      </c>
      <c r="C52" s="10">
        <v>4598.0128699999996</v>
      </c>
      <c r="D52" s="10">
        <f>IF(OR(4953.8348="",4598.01287=""),"-",4598.01287/4953.8348*100)</f>
        <v>92.817242714674293</v>
      </c>
      <c r="E52" s="15">
        <f>IF(4953.8348="","-",4953.8348/666821.53755*100)</f>
        <v>0.74290263901809683</v>
      </c>
      <c r="F52" s="15">
        <f>IF(4598.01287="","-",4598.01287/687466.43149*100)</f>
        <v>0.66883452913247921</v>
      </c>
      <c r="G52" s="15">
        <f>IF(OR(425472.26165="",3587.86161="",4953.8348=""),"-",(4953.8348-3587.86161)/425472.26165*100)</f>
        <v>0.32104870590216528</v>
      </c>
      <c r="H52" s="15">
        <f>IF(OR(666821.53755="",4598.01287="",4953.8348=""),"-",(4598.01287-4953.8348)/666821.53755*100)</f>
        <v>-5.3360893426949281E-2</v>
      </c>
      <c r="I52" s="13"/>
    </row>
    <row r="53" spans="1:9" ht="26.4" x14ac:dyDescent="0.3">
      <c r="A53" s="13" t="s">
        <v>248</v>
      </c>
      <c r="B53" s="14" t="s">
        <v>157</v>
      </c>
      <c r="C53" s="10">
        <v>3182.8265799999999</v>
      </c>
      <c r="D53" s="10">
        <f>IF(OR(2763.08112="",3182.82658=""),"-",3182.82658/2763.08112*100)</f>
        <v>115.19121016613512</v>
      </c>
      <c r="E53" s="15">
        <f>IF(2763.08112="","-",2763.08112/666821.53755*100)</f>
        <v>0.41436590817866575</v>
      </c>
      <c r="F53" s="15">
        <f>IF(3182.82658="","-",3182.82658/687466.43149*100)</f>
        <v>0.46297919930455517</v>
      </c>
      <c r="G53" s="15">
        <f>IF(OR(425472.26165="",1248.65406="",2763.08112=""),"-",(2763.08112-1248.65406)/425472.26165*100)</f>
        <v>0.35594025662847811</v>
      </c>
      <c r="H53" s="15">
        <f>IF(OR(666821.53755="",3182.82658="",2763.08112=""),"-",(3182.82658-2763.08112)/666821.53755*100)</f>
        <v>6.2947195968235573E-2</v>
      </c>
      <c r="I53" s="13"/>
    </row>
    <row r="54" spans="1:9" ht="15.75" customHeight="1" x14ac:dyDescent="0.3">
      <c r="A54" s="13" t="s">
        <v>249</v>
      </c>
      <c r="B54" s="14" t="s">
        <v>158</v>
      </c>
      <c r="C54" s="10">
        <v>12785.594279999999</v>
      </c>
      <c r="D54" s="10">
        <f>IF(OR(15857.2399399999="",12785.59428=""),"-",12785.59428/15857.2399399999*100)</f>
        <v>80.629380197169937</v>
      </c>
      <c r="E54" s="15">
        <f>IF(15857.2399399999="","-",15857.2399399999/666821.53755*100)</f>
        <v>2.3780335587632222</v>
      </c>
      <c r="F54" s="15">
        <f>IF(12785.59428="","-",12785.59428/687466.43149*100)</f>
        <v>1.8598136133409129</v>
      </c>
      <c r="G54" s="15">
        <f>IF(OR(425472.26165="",12172.45849="",15857.2399399999=""),"-",(15857.2399399999-12172.45849)/425472.26165*100)</f>
        <v>0.86604504738103383</v>
      </c>
      <c r="H54" s="15">
        <f>IF(OR(666821.53755="",12785.59428="",15857.2399399999=""),"-",(12785.59428-15857.2399399999)/666821.53755*100)</f>
        <v>-0.46063983945173342</v>
      </c>
      <c r="I54" s="13"/>
    </row>
    <row r="55" spans="1:9" x14ac:dyDescent="0.3">
      <c r="A55" s="13" t="s">
        <v>250</v>
      </c>
      <c r="B55" s="14" t="s">
        <v>28</v>
      </c>
      <c r="C55" s="10">
        <v>19906.854429999999</v>
      </c>
      <c r="D55" s="10">
        <f>IF(OR(12778.60769="",19906.85443=""),"-",19906.85443/12778.60769*100)</f>
        <v>155.78265577069294</v>
      </c>
      <c r="E55" s="15">
        <f>IF(12778.60769="","-",12778.60769/666821.53755*100)</f>
        <v>1.916345974209303</v>
      </c>
      <c r="F55" s="15">
        <f>IF(19906.85443="","-",19906.85443/687466.43149*100)</f>
        <v>2.8956838498796675</v>
      </c>
      <c r="G55" s="15">
        <f>IF(OR(425472.26165="",7345.56337="",12778.60769=""),"-",(12778.60769-7345.56337)/425472.26165*100)</f>
        <v>1.2769444238104779</v>
      </c>
      <c r="H55" s="15">
        <f>IF(OR(666821.53755="",19906.85443="",12778.60769=""),"-",(19906.85443-12778.60769)/666821.53755*100)</f>
        <v>1.0689886781687079</v>
      </c>
      <c r="I55" s="13"/>
    </row>
    <row r="56" spans="1:9" x14ac:dyDescent="0.3">
      <c r="A56" s="13" t="s">
        <v>251</v>
      </c>
      <c r="B56" s="14" t="s">
        <v>159</v>
      </c>
      <c r="C56" s="10">
        <v>1511.17731</v>
      </c>
      <c r="D56" s="10">
        <f>IF(OR(2225.63901="",1511.17731=""),"-",1511.17731/2225.63901*100)</f>
        <v>67.8985811809616</v>
      </c>
      <c r="E56" s="15">
        <f>IF(2225.63901="","-",2225.63901/666821.53755*100)</f>
        <v>0.33376831500933873</v>
      </c>
      <c r="F56" s="15">
        <f>IF(1511.17731="","-",1511.17731/687466.43149*100)</f>
        <v>0.21981834178066073</v>
      </c>
      <c r="G56" s="15">
        <f>IF(OR(425472.26165="",611.58663="",2225.63901=""),"-",(2225.63901-611.58663)/425472.26165*100)</f>
        <v>0.37935548929573792</v>
      </c>
      <c r="H56" s="15">
        <f>IF(OR(666821.53755="",1511.17731="",2225.63901=""),"-",(1511.17731-2225.63901)/666821.53755*100)</f>
        <v>-0.10714436468639522</v>
      </c>
      <c r="I56" s="13"/>
    </row>
    <row r="57" spans="1:9" x14ac:dyDescent="0.3">
      <c r="A57" s="13" t="s">
        <v>252</v>
      </c>
      <c r="B57" s="14" t="s">
        <v>29</v>
      </c>
      <c r="C57" s="10">
        <v>216.84759</v>
      </c>
      <c r="D57" s="10">
        <f>IF(OR(639.16895="",216.84759=""),"-",216.84759/639.16895*100)</f>
        <v>33.926490014885736</v>
      </c>
      <c r="E57" s="15">
        <f>IF(639.16895="","-",639.16895/666821.53755*100)</f>
        <v>9.5853075224354684E-2</v>
      </c>
      <c r="F57" s="15">
        <f>IF(216.84759="","-",216.84759/687466.43149*100)</f>
        <v>3.1543007784395984E-2</v>
      </c>
      <c r="G57" s="15">
        <f>IF(OR(425472.26165="",119.47394="",639.16895=""),"-",(639.16895-119.47394)/425472.26165*100)</f>
        <v>0.12214545032491661</v>
      </c>
      <c r="H57" s="15">
        <f>IF(OR(666821.53755="",216.84759="",639.16895=""),"-",(216.84759-639.16895)/666821.53755*100)</f>
        <v>-6.3333491229403086E-2</v>
      </c>
      <c r="I57" s="13"/>
    </row>
    <row r="58" spans="1:9" x14ac:dyDescent="0.3">
      <c r="A58" s="13" t="s">
        <v>253</v>
      </c>
      <c r="B58" s="14" t="s">
        <v>30</v>
      </c>
      <c r="C58" s="10">
        <v>5245.8005000000003</v>
      </c>
      <c r="D58" s="10">
        <f>IF(OR(6255.36947="",5245.8005=""),"-",5245.8005/6255.36947*100)</f>
        <v>83.860761944729717</v>
      </c>
      <c r="E58" s="15">
        <f>IF(6255.36947="","-",6255.36947/666821.53755*100)</f>
        <v>0.93808749684108039</v>
      </c>
      <c r="F58" s="15">
        <f>IF(5245.8005="","-",5245.8005/687466.43149*100)</f>
        <v>0.76306278528107396</v>
      </c>
      <c r="G58" s="15">
        <f>IF(OR(425472.26165="",5252.60008="",6255.36947=""),"-",(6255.36947-5252.60008)/425472.26165*100)</f>
        <v>0.2356838460188253</v>
      </c>
      <c r="H58" s="15">
        <f>IF(OR(666821.53755="",5245.8005="",6255.36947=""),"-",(5245.8005-6255.36947)/666821.53755*100)</f>
        <v>-0.15140017428190811</v>
      </c>
      <c r="I58" s="11"/>
    </row>
    <row r="59" spans="1:9" ht="15" customHeight="1" x14ac:dyDescent="0.3">
      <c r="A59" s="11" t="s">
        <v>254</v>
      </c>
      <c r="B59" s="12" t="s">
        <v>160</v>
      </c>
      <c r="C59" s="9">
        <v>133392.00854000001</v>
      </c>
      <c r="D59" s="9">
        <f>IF(111195.99905="","-",133392.00854/111195.99905*100)</f>
        <v>119.9611583866605</v>
      </c>
      <c r="E59" s="17">
        <f>IF(111195.99905="","-",111195.99905/666821.53755*100)</f>
        <v>16.675526027331149</v>
      </c>
      <c r="F59" s="17">
        <f>IF(133392.00854="","-",133392.00854/687466.43149*100)</f>
        <v>19.403421378828494</v>
      </c>
      <c r="G59" s="17">
        <f>IF(425472.26165="","-",(111195.99905-107509.77485)/425472.26165*100)</f>
        <v>0.86638414116696083</v>
      </c>
      <c r="H59" s="17">
        <f>IF(666821.53755="","-",(133392.00854-111195.99905)/666821.53755*100)</f>
        <v>3.328628162124367</v>
      </c>
      <c r="I59" s="13"/>
    </row>
    <row r="60" spans="1:9" ht="26.4" x14ac:dyDescent="0.3">
      <c r="A60" s="13" t="s">
        <v>255</v>
      </c>
      <c r="B60" s="14" t="s">
        <v>161</v>
      </c>
      <c r="C60" s="10">
        <v>1097.4267400000001</v>
      </c>
      <c r="D60" s="10" t="s">
        <v>311</v>
      </c>
      <c r="E60" s="15">
        <f>IF(371.44254="","-",371.44254/666821.53755*100)</f>
        <v>5.5703440738392201E-2</v>
      </c>
      <c r="F60" s="15">
        <f>IF(1097.42674="","-",1097.42674/687466.43149*100)</f>
        <v>0.15963350204917801</v>
      </c>
      <c r="G60" s="15">
        <f>IF(OR(425472.26165="",228.26973="",371.44254=""),"-",(371.44254-228.26973)/425472.26165*100)</f>
        <v>3.3650327625300312E-2</v>
      </c>
      <c r="H60" s="15">
        <f>IF(OR(666821.53755="",1097.42674="",371.44254=""),"-",(1097.42674-371.44254)/666821.53755*100)</f>
        <v>0.10887233826720301</v>
      </c>
      <c r="I60" s="13"/>
    </row>
    <row r="61" spans="1:9" ht="26.4" x14ac:dyDescent="0.3">
      <c r="A61" s="13" t="s">
        <v>256</v>
      </c>
      <c r="B61" s="14" t="s">
        <v>162</v>
      </c>
      <c r="C61" s="10">
        <v>4765.6389600000002</v>
      </c>
      <c r="D61" s="10" t="s">
        <v>314</v>
      </c>
      <c r="E61" s="15">
        <f>IF(1496.24305="","-",1496.24305/666821.53755*100)</f>
        <v>0.22438433160053831</v>
      </c>
      <c r="F61" s="15">
        <f>IF(4765.63896="","-",4765.63896/687466.43149*100)</f>
        <v>0.69321769641479902</v>
      </c>
      <c r="G61" s="15">
        <f>IF(OR(425472.26165="",2473.1538="",1496.24305=""),"-",(1496.24305-2473.1538)/425472.26165*100)</f>
        <v>-0.22960621362518382</v>
      </c>
      <c r="H61" s="15">
        <f>IF(OR(666821.53755="",4765.63896="",1496.24305=""),"-",(4765.63896-1496.24305)/666821.53755*100)</f>
        <v>0.49029548775707504</v>
      </c>
      <c r="I61" s="13"/>
    </row>
    <row r="62" spans="1:9" ht="26.25" customHeight="1" x14ac:dyDescent="0.3">
      <c r="A62" s="13" t="s">
        <v>257</v>
      </c>
      <c r="B62" s="14" t="s">
        <v>163</v>
      </c>
      <c r="C62" s="10">
        <v>896.58681000000001</v>
      </c>
      <c r="D62" s="10" t="s">
        <v>91</v>
      </c>
      <c r="E62" s="15">
        <f>IF(433.34568="","-",433.34568/666821.53755*100)</f>
        <v>6.4986755165733781E-2</v>
      </c>
      <c r="F62" s="15">
        <f>IF(896.58681="","-",896.58681/687466.43149*100)</f>
        <v>0.13041899486739403</v>
      </c>
      <c r="G62" s="15">
        <f>IF(OR(425472.26165="",1133.18414="",433.34568=""),"-",(433.34568-1133.18414)/425472.26165*100)</f>
        <v>-0.16448509646339718</v>
      </c>
      <c r="H62" s="15">
        <f>IF(OR(666821.53755="",896.58681="",433.34568=""),"-",(896.58681-433.34568)/666821.53755*100)</f>
        <v>6.9470031172360711E-2</v>
      </c>
      <c r="I62" s="13"/>
    </row>
    <row r="63" spans="1:9" ht="39.6" x14ac:dyDescent="0.3">
      <c r="A63" s="13" t="s">
        <v>258</v>
      </c>
      <c r="B63" s="14" t="s">
        <v>164</v>
      </c>
      <c r="C63" s="10">
        <v>5714.6018899999999</v>
      </c>
      <c r="D63" s="10" t="s">
        <v>101</v>
      </c>
      <c r="E63" s="15">
        <f>IF(2996.64424="","-",2996.64424/666821.53755*100)</f>
        <v>0.44939223934039535</v>
      </c>
      <c r="F63" s="15">
        <f>IF(5714.60189="","-",5714.60189/687466.43149*100)</f>
        <v>0.83125540800796549</v>
      </c>
      <c r="G63" s="15">
        <f>IF(OR(425472.26165="",3491.86648="",2996.64424=""),"-",(2996.64424-3491.86648)/425472.26165*100)</f>
        <v>-0.11639354304308971</v>
      </c>
      <c r="H63" s="15">
        <f>IF(OR(666821.53755="",5714.60189="",2996.64424=""),"-",(5714.60189-2996.64424)/666821.53755*100)</f>
        <v>0.40759895968360205</v>
      </c>
      <c r="I63" s="13"/>
    </row>
    <row r="64" spans="1:9" ht="26.4" x14ac:dyDescent="0.3">
      <c r="A64" s="13" t="s">
        <v>259</v>
      </c>
      <c r="B64" s="14" t="s">
        <v>165</v>
      </c>
      <c r="C64" s="10">
        <v>3159.9316399999998</v>
      </c>
      <c r="D64" s="10" t="s">
        <v>384</v>
      </c>
      <c r="E64" s="15">
        <f>IF(450.14197="","-",450.14197/666821.53755*100)</f>
        <v>6.7505613519006538E-2</v>
      </c>
      <c r="F64" s="15">
        <f>IF(3159.93164="","-",3159.93164/687466.43149*100)</f>
        <v>0.45964886360359902</v>
      </c>
      <c r="G64" s="15">
        <f>IF(OR(425472.26165="",411.83173="",450.14197=""),"-",(450.14197-411.83173)/425472.26165*100)</f>
        <v>9.0041686504852836E-3</v>
      </c>
      <c r="H64" s="15">
        <f>IF(OR(666821.53755="",3159.93164="",450.14197=""),"-",(3159.93164-450.14197)/666821.53755*100)</f>
        <v>0.40637404723851056</v>
      </c>
      <c r="I64" s="13"/>
    </row>
    <row r="65" spans="1:9" ht="39.6" x14ac:dyDescent="0.3">
      <c r="A65" s="13" t="s">
        <v>260</v>
      </c>
      <c r="B65" s="14" t="s">
        <v>166</v>
      </c>
      <c r="C65" s="10">
        <v>432.15841</v>
      </c>
      <c r="D65" s="10" t="s">
        <v>101</v>
      </c>
      <c r="E65" s="15">
        <f>IF(229.23763="","-",229.23763/666821.53755*100)</f>
        <v>3.4377658352526021E-2</v>
      </c>
      <c r="F65" s="15">
        <f>IF(432.15841="","-",432.15841/687466.43149*100)</f>
        <v>6.2862474472149737E-2</v>
      </c>
      <c r="G65" s="15">
        <f>IF(OR(425472.26165="",632.38667="",229.23763=""),"-",(229.23763-632.38667)/425472.26165*100)</f>
        <v>-9.4753307404005713E-2</v>
      </c>
      <c r="H65" s="15">
        <f>IF(OR(666821.53755="",432.15841="",229.23763=""),"-",(432.15841-229.23763)/666821.53755*100)</f>
        <v>3.043104767514869E-2</v>
      </c>
      <c r="I65" s="13"/>
    </row>
    <row r="66" spans="1:9" ht="39.75" customHeight="1" x14ac:dyDescent="0.3">
      <c r="A66" s="13" t="s">
        <v>261</v>
      </c>
      <c r="B66" s="14" t="s">
        <v>167</v>
      </c>
      <c r="C66" s="10">
        <v>98373.648459999997</v>
      </c>
      <c r="D66" s="10">
        <f>IF(OR(91632.65301="",98373.64846=""),"-",98373.64846/91632.65301*100)</f>
        <v>107.35654292282071</v>
      </c>
      <c r="E66" s="15">
        <f>IF(91632.65301="","-",91632.65301/666821.53755*100)</f>
        <v>13.741705666357415</v>
      </c>
      <c r="F66" s="15">
        <f>IF(98373.64846="","-",98373.64846/687466.43149*100)</f>
        <v>14.309593014859951</v>
      </c>
      <c r="G66" s="15">
        <f>IF(OR(425472.26165="",92499.5748="",91632.65301=""),"-",(91632.65301-92499.5748)/425472.26165*100)</f>
        <v>-0.20375518409544421</v>
      </c>
      <c r="H66" s="15">
        <f>IF(OR(666821.53755="",98373.64846="",91632.65301=""),"-",(98373.64846-91632.65301)/666821.53755*100)</f>
        <v>1.0109144756732673</v>
      </c>
      <c r="I66" s="13"/>
    </row>
    <row r="67" spans="1:9" ht="26.4" x14ac:dyDescent="0.3">
      <c r="A67" s="13" t="s">
        <v>262</v>
      </c>
      <c r="B67" s="14" t="s">
        <v>168</v>
      </c>
      <c r="C67" s="10">
        <v>15493.60482</v>
      </c>
      <c r="D67" s="10">
        <f>IF(OR(13531.91808="",15493.60482=""),"-",15493.60482/13531.91808*100)</f>
        <v>114.49673821850392</v>
      </c>
      <c r="E67" s="15">
        <f>IF(13531.91808="","-",13531.91808/666821.53755*100)</f>
        <v>2.0293162889906418</v>
      </c>
      <c r="F67" s="15">
        <f>IF(15493.60482="","-",15493.60482/687466.43149*100)</f>
        <v>2.253725289018039</v>
      </c>
      <c r="G67" s="15">
        <f>IF(OR(425472.26165="",6457.40275="",13531.91808=""),"-",(13531.91808-6457.40275)/425472.26165*100)</f>
        <v>1.6627441945485988</v>
      </c>
      <c r="H67" s="15">
        <f>IF(OR(666821.53755="",15493.60482="",13531.91808=""),"-",(15493.60482-13531.91808)/666821.53755*100)</f>
        <v>0.29418467004043169</v>
      </c>
      <c r="I67" s="13"/>
    </row>
    <row r="68" spans="1:9" x14ac:dyDescent="0.3">
      <c r="A68" s="13" t="s">
        <v>263</v>
      </c>
      <c r="B68" s="14" t="s">
        <v>31</v>
      </c>
      <c r="C68" s="10">
        <v>3458.4108099999999</v>
      </c>
      <c r="D68" s="10" t="s">
        <v>385</v>
      </c>
      <c r="E68" s="15">
        <f>IF(54.37285="","-",54.37285/666821.53755*100)</f>
        <v>8.1540332664979329E-3</v>
      </c>
      <c r="F68" s="15">
        <f>IF(3458.41081="","-",3458.41081/687466.43149*100)</f>
        <v>0.50306613553542012</v>
      </c>
      <c r="G68" s="15">
        <f>IF(OR(425472.26165="",182.10475="",54.37285=""),"-",(54.37285-182.10475)/425472.26165*100)</f>
        <v>-3.0021205026304211E-2</v>
      </c>
      <c r="H68" s="15">
        <f>IF(OR(666821.53755="",3458.41081="",54.37285=""),"-",(3458.41081-54.37285)/666821.53755*100)</f>
        <v>0.51048710461676661</v>
      </c>
      <c r="I68" s="11"/>
    </row>
    <row r="69" spans="1:9" x14ac:dyDescent="0.3">
      <c r="A69" s="11" t="s">
        <v>264</v>
      </c>
      <c r="B69" s="12" t="s">
        <v>32</v>
      </c>
      <c r="C69" s="9">
        <v>98943.849440000005</v>
      </c>
      <c r="D69" s="9">
        <f>IF(95568.84607="","-",98943.84944/95568.84607*100)</f>
        <v>103.53148908748776</v>
      </c>
      <c r="E69" s="17">
        <f>IF(95568.84607="","-",95568.84607/666821.53755*100)</f>
        <v>14.331997496831603</v>
      </c>
      <c r="F69" s="17">
        <f>IF(98943.84944="","-",98943.84944/687466.43149*100)</f>
        <v>14.392535389044559</v>
      </c>
      <c r="G69" s="17">
        <f>IF(425472.26165="","-",(95568.84607-89051.3327)/425472.26165*100)</f>
        <v>1.5318303817797192</v>
      </c>
      <c r="H69" s="17">
        <f>IF(666821.53755="","-",(98943.84944-95568.84607)/666821.53755*100)</f>
        <v>0.50613292761962403</v>
      </c>
      <c r="I69" s="13"/>
    </row>
    <row r="70" spans="1:9" ht="39.6" x14ac:dyDescent="0.3">
      <c r="A70" s="13" t="s">
        <v>265</v>
      </c>
      <c r="B70" s="14" t="s">
        <v>194</v>
      </c>
      <c r="C70" s="10">
        <v>2510.4252999999999</v>
      </c>
      <c r="D70" s="10">
        <f>IF(OR(2253.9549="",2510.4253=""),"-",2510.4253/2253.9549*100)</f>
        <v>111.37868375272282</v>
      </c>
      <c r="E70" s="15">
        <f>IF(2253.9549="","-",2253.9549/666821.53755*100)</f>
        <v>0.33801471204444905</v>
      </c>
      <c r="F70" s="15">
        <f>IF(2510.4253="","-",2510.4253/687466.43149*100)</f>
        <v>0.36517060106614341</v>
      </c>
      <c r="G70" s="15">
        <f>IF(OR(425472.26165="",2285.94231="",2253.9549=""),"-",(2253.9549-2285.94231)/425472.26165*100)</f>
        <v>-7.5180952751070429E-3</v>
      </c>
      <c r="H70" s="15">
        <f>IF(OR(666821.53755="",2510.4253="",2253.9549=""),"-",(2510.4253-2253.9549)/666821.53755*100)</f>
        <v>3.8461625121214517E-2</v>
      </c>
      <c r="I70" s="13"/>
    </row>
    <row r="71" spans="1:9" x14ac:dyDescent="0.3">
      <c r="A71" s="13" t="s">
        <v>266</v>
      </c>
      <c r="B71" s="14" t="s">
        <v>169</v>
      </c>
      <c r="C71" s="10">
        <v>24778.14604</v>
      </c>
      <c r="D71" s="10">
        <f>IF(OR(25518.92817="",24778.14604=""),"-",24778.14604/25518.92817*100)</f>
        <v>97.097126787359116</v>
      </c>
      <c r="E71" s="15">
        <f>IF(25518.92817="","-",25518.92817/666821.53755*100)</f>
        <v>3.8269502007629028</v>
      </c>
      <c r="F71" s="15">
        <f>IF(24778.14604="","-",24778.14604/687466.43149*100)</f>
        <v>3.6042699548683963</v>
      </c>
      <c r="G71" s="15">
        <f>IF(OR(425472.26165="",27910.69097="",25518.92817=""),"-",(25518.92817-27910.69097)/425472.26165*100)</f>
        <v>-0.56214306209402232</v>
      </c>
      <c r="H71" s="15">
        <f>IF(OR(666821.53755="",24778.14604="",25518.92817=""),"-",(24778.14604-25518.92817)/666821.53755*100)</f>
        <v>-0.11109151223905299</v>
      </c>
      <c r="I71" s="13"/>
    </row>
    <row r="72" spans="1:9" x14ac:dyDescent="0.3">
      <c r="A72" s="13" t="s">
        <v>267</v>
      </c>
      <c r="B72" s="14" t="s">
        <v>170</v>
      </c>
      <c r="C72" s="10">
        <v>1914.2783199999999</v>
      </c>
      <c r="D72" s="10">
        <f>IF(OR(2215.22572="",1914.27832=""),"-",1914.27832/2215.22572*100)</f>
        <v>86.414594355648774</v>
      </c>
      <c r="E72" s="15">
        <f>IF(2215.22572="","-",2215.22572/666821.53755*100)</f>
        <v>0.33220668428603306</v>
      </c>
      <c r="F72" s="15">
        <f>IF(1914.27832="","-",1914.27832/687466.43149*100)</f>
        <v>0.27845407896514074</v>
      </c>
      <c r="G72" s="15">
        <f>IF(OR(425472.26165="",2338.76402="",2215.22572=""),"-",(2215.22572-2338.76402)/425472.26165*100)</f>
        <v>-2.9035570855057213E-2</v>
      </c>
      <c r="H72" s="15">
        <f>IF(OR(666821.53755="",1914.27832="",2215.22572=""),"-",(1914.27832-2215.22572)/666821.53755*100)</f>
        <v>-4.5131625637906785E-2</v>
      </c>
      <c r="I72" s="13"/>
    </row>
    <row r="73" spans="1:9" x14ac:dyDescent="0.3">
      <c r="A73" s="13" t="s">
        <v>268</v>
      </c>
      <c r="B73" s="14" t="s">
        <v>171</v>
      </c>
      <c r="C73" s="10">
        <v>46920.945299999999</v>
      </c>
      <c r="D73" s="10">
        <f>IF(OR(45152.14299="",46920.9453=""),"-",46920.9453/45152.14299*100)</f>
        <v>103.9174271537715</v>
      </c>
      <c r="E73" s="15">
        <f>IF(45152.14299="","-",45152.14299/666821.53755*100)</f>
        <v>6.7712484446581591</v>
      </c>
      <c r="F73" s="15">
        <f>IF(46920.9453="","-",46920.9453/687466.43149*100)</f>
        <v>6.8251980243318284</v>
      </c>
      <c r="G73" s="15">
        <f>IF(OR(425472.26165="",38487.88998="",45152.14299=""),"-",(45152.14299-38487.88998)/425472.26165*100)</f>
        <v>1.5663190319753717</v>
      </c>
      <c r="H73" s="15">
        <f>IF(OR(666821.53755="",46920.9453="",45152.14299=""),"-",(46920.9453-45152.14299)/666821.53755*100)</f>
        <v>0.26525872522036975</v>
      </c>
      <c r="I73" s="13"/>
    </row>
    <row r="74" spans="1:9" x14ac:dyDescent="0.3">
      <c r="A74" s="13" t="s">
        <v>269</v>
      </c>
      <c r="B74" s="14" t="s">
        <v>172</v>
      </c>
      <c r="C74" s="10">
        <v>5113.68091</v>
      </c>
      <c r="D74" s="10">
        <f>IF(OR(5451.74196="",5113.68091=""),"-",5113.68091/5451.74196*100)</f>
        <v>93.799026944408055</v>
      </c>
      <c r="E74" s="15">
        <f>IF(5451.74196="","-",5451.74196/666821.53755*100)</f>
        <v>0.81757136700030697</v>
      </c>
      <c r="F74" s="15">
        <f>IF(5113.68091="","-",5113.68091/687466.43149*100)</f>
        <v>0.74384445199989158</v>
      </c>
      <c r="G74" s="15">
        <f>IF(OR(425472.26165="",5385.51882="",5451.74196=""),"-",(5451.74196-5385.51882)/425472.26165*100)</f>
        <v>1.5564619828137288E-2</v>
      </c>
      <c r="H74" s="15">
        <f>IF(OR(666821.53755="",5113.68091="",5451.74196=""),"-",(5113.68091-5451.74196)/666821.53755*100)</f>
        <v>-5.069738017792378E-2</v>
      </c>
      <c r="I74" s="13"/>
    </row>
    <row r="75" spans="1:9" ht="26.4" x14ac:dyDescent="0.3">
      <c r="A75" s="13" t="s">
        <v>270</v>
      </c>
      <c r="B75" s="14" t="s">
        <v>374</v>
      </c>
      <c r="C75" s="10">
        <v>2736.5722700000001</v>
      </c>
      <c r="D75" s="10">
        <f>IF(OR(2569.07884="",2736.57227=""),"-",2736.57227/2569.07884*100)</f>
        <v>106.51959088962796</v>
      </c>
      <c r="E75" s="15">
        <f>IF(2569.07884="","-",2569.07884/666821.53755*100)</f>
        <v>0.385272324802101</v>
      </c>
      <c r="F75" s="15">
        <f>IF(2736.57227="","-",2736.57227/687466.43149*100)</f>
        <v>0.39806631198978137</v>
      </c>
      <c r="G75" s="15">
        <f>IF(OR(425472.26165="",3776.52259="",2569.07884=""),"-",(2569.07884-3776.52259)/425472.26165*100)</f>
        <v>-0.28378906425473671</v>
      </c>
      <c r="H75" s="15">
        <f>IF(OR(666821.53755="",2736.57227="",2569.07884=""),"-",(2736.57227-2569.07884)/666821.53755*100)</f>
        <v>2.5118179388055668E-2</v>
      </c>
      <c r="I75" s="13"/>
    </row>
    <row r="76" spans="1:9" ht="26.4" x14ac:dyDescent="0.3">
      <c r="A76" s="13" t="s">
        <v>271</v>
      </c>
      <c r="B76" s="14" t="s">
        <v>173</v>
      </c>
      <c r="C76" s="10">
        <v>979.87296000000003</v>
      </c>
      <c r="D76" s="10" t="s">
        <v>18</v>
      </c>
      <c r="E76" s="15">
        <f>IF(494.16416="","-",494.16416/666821.53755*100)</f>
        <v>7.4107408380303899E-2</v>
      </c>
      <c r="F76" s="15">
        <f>IF(979.87296="","-",979.87296/687466.43149*100)</f>
        <v>0.14253393549358395</v>
      </c>
      <c r="G76" s="15">
        <f>IF(OR(425472.26165="",461.12779="",494.16416=""),"-",(494.16416-461.12779)/425472.26165*100)</f>
        <v>7.7646354363698098E-3</v>
      </c>
      <c r="H76" s="15">
        <f>IF(OR(666821.53755="",979.87296="",494.16416=""),"-",(979.87296-494.16416)/666821.53755*100)</f>
        <v>7.2839398946915448E-2</v>
      </c>
      <c r="I76" s="13"/>
    </row>
    <row r="77" spans="1:9" x14ac:dyDescent="0.3">
      <c r="A77" s="13" t="s">
        <v>272</v>
      </c>
      <c r="B77" s="14" t="s">
        <v>33</v>
      </c>
      <c r="C77" s="10">
        <v>13989.92834</v>
      </c>
      <c r="D77" s="10">
        <f>IF(OR(11913.60933="",13989.92834=""),"-",13989.92834/11913.60933*100)</f>
        <v>117.42812738345853</v>
      </c>
      <c r="E77" s="15">
        <f>IF(11913.60933="","-",11913.60933/666821.53755*100)</f>
        <v>1.7866263548973453</v>
      </c>
      <c r="F77" s="15">
        <f>IF(13989.92834="","-",13989.92834/687466.43149*100)</f>
        <v>2.034998030329791</v>
      </c>
      <c r="G77" s="15">
        <f>IF(OR(425472.26165="",8404.87622="",11913.60933=""),"-",(11913.60933-8404.87622)/425472.26165*100)</f>
        <v>0.82466788701876337</v>
      </c>
      <c r="H77" s="15">
        <f>IF(OR(666821.53755="",13989.92834="",11913.60933=""),"-",(13989.92834-11913.60933)/666821.53755*100)</f>
        <v>0.31137551699795135</v>
      </c>
      <c r="I77" s="13"/>
    </row>
    <row r="78" spans="1:9" ht="26.4" x14ac:dyDescent="0.3">
      <c r="A78" s="66" t="s">
        <v>275</v>
      </c>
      <c r="B78" s="63" t="s">
        <v>174</v>
      </c>
      <c r="C78" s="64">
        <v>2901.8986199999999</v>
      </c>
      <c r="D78" s="64" t="s">
        <v>386</v>
      </c>
      <c r="E78" s="65">
        <f>IF(53.146="","-",53.146/666821.53755*100)</f>
        <v>7.9700485073211924E-3</v>
      </c>
      <c r="F78" s="65">
        <f>IF(2901.89862="","-",2901.89862/687466.43149*100)</f>
        <v>0.42211495530196108</v>
      </c>
      <c r="G78" s="65" t="s">
        <v>323</v>
      </c>
      <c r="H78" s="65">
        <f>IF(666821.53755="","-",(2901.89862-53.146)/666821.53755*100)</f>
        <v>0.42721364856731148</v>
      </c>
      <c r="I78" s="13"/>
    </row>
    <row r="79" spans="1:9" x14ac:dyDescent="0.3">
      <c r="A79" s="20" t="s">
        <v>278</v>
      </c>
      <c r="B79" s="21"/>
    </row>
    <row r="80" spans="1:9" x14ac:dyDescent="0.3">
      <c r="A80" s="21" t="s">
        <v>331</v>
      </c>
      <c r="B80" s="21"/>
    </row>
  </sheetData>
  <mergeCells count="8">
    <mergeCell ref="B1:H1"/>
    <mergeCell ref="B2:H2"/>
    <mergeCell ref="A4:A5"/>
    <mergeCell ref="B4:B5"/>
    <mergeCell ref="C4:D4"/>
    <mergeCell ref="E4:F4"/>
    <mergeCell ref="G4:H4"/>
    <mergeCell ref="A3:H3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J80"/>
  <sheetViews>
    <sheetView zoomScaleNormal="100" workbookViewId="0">
      <selection activeCell="B1" sqref="B1:H1"/>
    </sheetView>
  </sheetViews>
  <sheetFormatPr defaultRowHeight="15.6" x14ac:dyDescent="0.3"/>
  <cols>
    <col min="1" max="1" width="5.19921875" customWidth="1"/>
    <col min="2" max="2" width="26.69921875" customWidth="1"/>
    <col min="3" max="3" width="11.59765625" customWidth="1"/>
    <col min="4" max="4" width="10.19921875" customWidth="1"/>
    <col min="5" max="5" width="7.8984375" customWidth="1"/>
    <col min="6" max="6" width="8.09765625" customWidth="1"/>
    <col min="7" max="8" width="8.5" customWidth="1"/>
  </cols>
  <sheetData>
    <row r="1" spans="1:10" ht="16.2" x14ac:dyDescent="0.35">
      <c r="B1" s="88" t="s">
        <v>128</v>
      </c>
      <c r="C1" s="88"/>
      <c r="D1" s="88"/>
      <c r="E1" s="88"/>
      <c r="F1" s="88"/>
      <c r="G1" s="88"/>
      <c r="H1" s="88"/>
    </row>
    <row r="2" spans="1:10" ht="16.2" x14ac:dyDescent="0.35">
      <c r="B2" s="88" t="s">
        <v>277</v>
      </c>
      <c r="C2" s="88"/>
      <c r="D2" s="88"/>
      <c r="E2" s="88"/>
      <c r="F2" s="88"/>
      <c r="G2" s="88"/>
      <c r="H2" s="88"/>
    </row>
    <row r="3" spans="1:10" x14ac:dyDescent="0.3">
      <c r="A3" s="98"/>
      <c r="B3" s="98"/>
      <c r="C3" s="98"/>
      <c r="D3" s="98"/>
      <c r="E3" s="98"/>
      <c r="F3" s="98"/>
      <c r="G3" s="98"/>
      <c r="H3" s="98"/>
    </row>
    <row r="4" spans="1:10" ht="62.25" customHeight="1" x14ac:dyDescent="0.3">
      <c r="A4" s="92" t="s">
        <v>203</v>
      </c>
      <c r="B4" s="94"/>
      <c r="C4" s="81" t="s">
        <v>339</v>
      </c>
      <c r="D4" s="82"/>
      <c r="E4" s="83" t="s">
        <v>0</v>
      </c>
      <c r="F4" s="84"/>
      <c r="G4" s="96" t="s">
        <v>112</v>
      </c>
      <c r="H4" s="97"/>
    </row>
    <row r="5" spans="1:10" ht="57" customHeight="1" x14ac:dyDescent="0.3">
      <c r="A5" s="93"/>
      <c r="B5" s="95"/>
      <c r="C5" s="45" t="s">
        <v>95</v>
      </c>
      <c r="D5" s="44" t="s">
        <v>336</v>
      </c>
      <c r="E5" s="45" t="s">
        <v>335</v>
      </c>
      <c r="F5" s="45" t="s">
        <v>334</v>
      </c>
      <c r="G5" s="45" t="s">
        <v>337</v>
      </c>
      <c r="H5" s="43" t="s">
        <v>338</v>
      </c>
    </row>
    <row r="6" spans="1:10" x14ac:dyDescent="0.3">
      <c r="A6" s="75"/>
      <c r="B6" s="60" t="s">
        <v>116</v>
      </c>
      <c r="C6" s="61">
        <v>1485793.22823</v>
      </c>
      <c r="D6" s="61">
        <f>IF(1290763.45346="","-",1485793.22823/1290763.45346*100)</f>
        <v>115.10964493511233</v>
      </c>
      <c r="E6" s="57">
        <v>100</v>
      </c>
      <c r="F6" s="57">
        <v>100</v>
      </c>
      <c r="G6" s="57">
        <f>IF(920807.43432="","-",(1290763.45346-920807.43432)/920807.43432*100)</f>
        <v>40.177349286195323</v>
      </c>
      <c r="H6" s="57">
        <f>IF(1290763.45346="","-",(1485793.22823-1290763.45346)/1290763.45346*100)</f>
        <v>15.109644935112341</v>
      </c>
      <c r="I6" s="8"/>
      <c r="J6" s="8"/>
    </row>
    <row r="7" spans="1:10" ht="13.5" customHeight="1" x14ac:dyDescent="0.3">
      <c r="A7" s="11" t="s">
        <v>204</v>
      </c>
      <c r="B7" s="12" t="s">
        <v>175</v>
      </c>
      <c r="C7" s="9">
        <v>159762.14433000001</v>
      </c>
      <c r="D7" s="9">
        <f>IF(149033.98388="","-",159762.14433/149033.98388*100)</f>
        <v>107.19846586040278</v>
      </c>
      <c r="E7" s="17">
        <f>IF(149033.98388="","-",149033.98388/1290763.45346*100)</f>
        <v>11.546188690150924</v>
      </c>
      <c r="F7" s="17">
        <f>IF(159762.14433="","-",159762.14433/1485793.22823*100)</f>
        <v>10.752649917534079</v>
      </c>
      <c r="G7" s="17">
        <f>IF(920807.43432="","-",(149033.98388-115213.27541)/920807.43432*100)</f>
        <v>3.67294042266025</v>
      </c>
      <c r="H7" s="17">
        <f>IF(1290763.45346="","-",(159762.14433-149033.98388)/1290763.45346*100)</f>
        <v>0.83114845103820223</v>
      </c>
    </row>
    <row r="8" spans="1:10" x14ac:dyDescent="0.3">
      <c r="A8" s="13" t="s">
        <v>205</v>
      </c>
      <c r="B8" s="14" t="s">
        <v>21</v>
      </c>
      <c r="C8" s="10">
        <v>1193.83404</v>
      </c>
      <c r="D8" s="10">
        <f>IF(OR(991.7361="",1193.83404=""),"-",1193.83404/991.7361*100)</f>
        <v>120.37819738537299</v>
      </c>
      <c r="E8" s="15">
        <f>IF(991.7361="","-",991.7361/1290763.45346*100)</f>
        <v>7.6833295623730896E-2</v>
      </c>
      <c r="F8" s="15">
        <f>IF(1193.83404="","-",1193.83404/1485793.22823*100)</f>
        <v>8.0349944885816579E-2</v>
      </c>
      <c r="G8" s="15">
        <f>IF(OR(920807.43432="",276.26526="",991.7361=""),"-",(991.7361-276.26526)/920807.43432*100)</f>
        <v>7.7700376140898836E-2</v>
      </c>
      <c r="H8" s="15">
        <f>IF(OR(1290763.45346="",1193.83404="",991.7361=""),"-",(1193.83404-991.7361)/1290763.45346*100)</f>
        <v>1.5657240639891025E-2</v>
      </c>
    </row>
    <row r="9" spans="1:10" x14ac:dyDescent="0.3">
      <c r="A9" s="13" t="s">
        <v>206</v>
      </c>
      <c r="B9" s="14" t="s">
        <v>176</v>
      </c>
      <c r="C9" s="10">
        <v>11271.27413</v>
      </c>
      <c r="D9" s="10">
        <f>IF(OR(21400.89976="",11271.27413=""),"-",11271.27413/21400.89976*100)</f>
        <v>52.667290891511563</v>
      </c>
      <c r="E9" s="15">
        <f>IF(21400.89976="","-",21400.89976/1290763.45346*100)</f>
        <v>1.6580032307726942</v>
      </c>
      <c r="F9" s="15">
        <f>IF(11271.27413="","-",11271.27413/1485793.22823*100)</f>
        <v>0.75860314314578448</v>
      </c>
      <c r="G9" s="15">
        <f>IF(OR(920807.43432="",6359.36916="",21400.89976=""),"-",(21400.89976-6359.36916)/920807.43432*100)</f>
        <v>1.6335153300654988</v>
      </c>
      <c r="H9" s="15">
        <f>IF(OR(1290763.45346="",11271.27413="",21400.89976=""),"-",(11271.27413-21400.89976)/1290763.45346*100)</f>
        <v>-0.78477784623097957</v>
      </c>
    </row>
    <row r="10" spans="1:10" s="2" customFormat="1" x14ac:dyDescent="0.3">
      <c r="A10" s="13" t="s">
        <v>207</v>
      </c>
      <c r="B10" s="14" t="s">
        <v>177</v>
      </c>
      <c r="C10" s="10">
        <v>20861.307379999998</v>
      </c>
      <c r="D10" s="10">
        <f>IF(OR(18869.40418="",20861.30738=""),"-",20861.30738/18869.40418*100)</f>
        <v>110.55625912190301</v>
      </c>
      <c r="E10" s="15">
        <f>IF(18869.40418="","-",18869.40418/1290763.45346*100)</f>
        <v>1.461879334235795</v>
      </c>
      <c r="F10" s="15">
        <f>IF(20861.30738="","-",20861.30738/1485793.22823*100)</f>
        <v>1.4040518548366057</v>
      </c>
      <c r="G10" s="15">
        <f>IF(OR(920807.43432="",13871.1945="",18869.40418=""),"-",(18869.40418-13871.1945)/920807.43432*100)</f>
        <v>0.54280726824182213</v>
      </c>
      <c r="H10" s="15">
        <f>IF(OR(1290763.45346="",20861.30738="",18869.40418=""),"-",(20861.30738-18869.40418)/1290763.45346*100)</f>
        <v>0.154319770571481</v>
      </c>
    </row>
    <row r="11" spans="1:10" s="2" customFormat="1" x14ac:dyDescent="0.3">
      <c r="A11" s="13" t="s">
        <v>208</v>
      </c>
      <c r="B11" s="14" t="s">
        <v>178</v>
      </c>
      <c r="C11" s="10">
        <v>13543.681619999999</v>
      </c>
      <c r="D11" s="10">
        <f>IF(OR(12832.81946="",13543.68162=""),"-",13543.68162/12832.81946*100)</f>
        <v>105.53940747172328</v>
      </c>
      <c r="E11" s="15">
        <f>IF(12832.81946="","-",12832.81946/1290763.45346*100)</f>
        <v>0.99420381213928455</v>
      </c>
      <c r="F11" s="15">
        <f>IF(13543.68162="","-",13543.68162/1485793.22823*100)</f>
        <v>0.91154552078113549</v>
      </c>
      <c r="G11" s="15">
        <f>IF(OR(920807.43432="",9849.38432="",12832.81946=""),"-",(12832.81946-9849.38432)/920807.43432*100)</f>
        <v>0.32400206914089652</v>
      </c>
      <c r="H11" s="15">
        <f>IF(OR(1290763.45346="",13543.68162="",12832.81946=""),"-",(13543.68162-12832.81946)/1290763.45346*100)</f>
        <v>5.5073000253801185E-2</v>
      </c>
    </row>
    <row r="12" spans="1:10" s="2" customFormat="1" ht="26.4" x14ac:dyDescent="0.3">
      <c r="A12" s="13" t="s">
        <v>209</v>
      </c>
      <c r="B12" s="14" t="s">
        <v>179</v>
      </c>
      <c r="C12" s="10">
        <v>31880.687170000001</v>
      </c>
      <c r="D12" s="10">
        <f>IF(OR(26566.87131="",31880.68717=""),"-",31880.68717/26566.87131*100)</f>
        <v>120.00166221304289</v>
      </c>
      <c r="E12" s="15">
        <f>IF(26566.87131="","-",26566.87131/1290763.45346*100)</f>
        <v>2.0582292780900535</v>
      </c>
      <c r="F12" s="15">
        <f>IF(31880.68717="","-",31880.68717/1485793.22823*100)</f>
        <v>2.1457014720668042</v>
      </c>
      <c r="G12" s="15">
        <f>IF(OR(920807.43432="",20861.05803="",26566.87131=""),"-",(26566.87131-20861.05803)/920807.43432*100)</f>
        <v>0.61965325944763261</v>
      </c>
      <c r="H12" s="15">
        <f>IF(OR(1290763.45346="",31880.68717="",26566.87131=""),"-",(31880.68717-26566.87131)/1290763.45346*100)</f>
        <v>0.41168006777352362</v>
      </c>
    </row>
    <row r="13" spans="1:10" s="2" customFormat="1" x14ac:dyDescent="0.3">
      <c r="A13" s="13" t="s">
        <v>210</v>
      </c>
      <c r="B13" s="14" t="s">
        <v>180</v>
      </c>
      <c r="C13" s="10">
        <v>38439.742259999999</v>
      </c>
      <c r="D13" s="10">
        <f>IF(OR(34127.97841="",38439.74226=""),"-",38439.74226/34127.97841*100)</f>
        <v>112.63410272416425</v>
      </c>
      <c r="E13" s="15">
        <f>IF(34127.97841="","-",34127.97841/1290763.45346*100)</f>
        <v>2.6440149291891624</v>
      </c>
      <c r="F13" s="15">
        <f>IF(38439.74226="","-",38439.74226/1485793.22823*100)</f>
        <v>2.5871528776445296</v>
      </c>
      <c r="G13" s="15">
        <f>IF(OR(920807.43432="",31179.87947="",34127.97841=""),"-",(34127.97841-31179.87947)/920807.43432*100)</f>
        <v>0.32016454582353826</v>
      </c>
      <c r="H13" s="15">
        <f>IF(OR(1290763.45346="",38439.74226="",34127.97841=""),"-",(38439.74226-34127.97841)/1290763.45346*100)</f>
        <v>0.33404756219599724</v>
      </c>
    </row>
    <row r="14" spans="1:10" s="2" customFormat="1" ht="26.4" x14ac:dyDescent="0.3">
      <c r="A14" s="13" t="s">
        <v>211</v>
      </c>
      <c r="B14" s="14" t="s">
        <v>138</v>
      </c>
      <c r="C14" s="10">
        <v>6270.0979399999997</v>
      </c>
      <c r="D14" s="10" t="s">
        <v>101</v>
      </c>
      <c r="E14" s="15">
        <f>IF(3305.0958="","-",3305.0958/1290763.45346*100)</f>
        <v>0.25605743570910788</v>
      </c>
      <c r="F14" s="15">
        <f>IF(6270.09794="","-",6270.09794/1485793.22823*100)</f>
        <v>0.42200339999324532</v>
      </c>
      <c r="G14" s="15">
        <f>IF(OR(920807.43432="",4920.90474="",3305.0958=""),"-",(3305.0958-4920.90474)/920807.43432*100)</f>
        <v>-0.1754773994839916</v>
      </c>
      <c r="H14" s="15">
        <f>IF(OR(1290763.45346="",6270.09794="",3305.0958=""),"-",(6270.09794-3305.0958)/1290763.45346*100)</f>
        <v>0.22970917963721871</v>
      </c>
    </row>
    <row r="15" spans="1:10" s="2" customFormat="1" ht="26.4" x14ac:dyDescent="0.3">
      <c r="A15" s="13" t="s">
        <v>212</v>
      </c>
      <c r="B15" s="14" t="s">
        <v>181</v>
      </c>
      <c r="C15" s="10">
        <v>11577.952300000001</v>
      </c>
      <c r="D15" s="10">
        <f>IF(OR(9228.27345="",11577.9523=""),"-",11577.9523/9228.27345*100)</f>
        <v>125.46173845769601</v>
      </c>
      <c r="E15" s="15">
        <f>IF(9228.27345="","-",9228.27345/1290763.45346*100)</f>
        <v>0.7149469118654419</v>
      </c>
      <c r="F15" s="15">
        <f>IF(11577.9523="","-",11577.9523/1485793.22823*100)</f>
        <v>0.7792438463185497</v>
      </c>
      <c r="G15" s="15">
        <f>IF(OR(920807.43432="",8130.57954="",9228.27345=""),"-",(9228.27345-8130.57954)/920807.43432*100)</f>
        <v>0.11920993131540347</v>
      </c>
      <c r="H15" s="15">
        <f>IF(OR(1290763.45346="",11577.9523="",9228.27345=""),"-",(11577.9523-9228.27345)/1290763.45346*100)</f>
        <v>0.1820379128105532</v>
      </c>
    </row>
    <row r="16" spans="1:10" s="2" customFormat="1" ht="26.4" x14ac:dyDescent="0.3">
      <c r="A16" s="13" t="s">
        <v>213</v>
      </c>
      <c r="B16" s="14" t="s">
        <v>139</v>
      </c>
      <c r="C16" s="10">
        <v>7501.5199700000003</v>
      </c>
      <c r="D16" s="10">
        <f>IF(OR(6056.34447="",7501.51997=""),"-",7501.51997/6056.34447*100)</f>
        <v>123.86217473524917</v>
      </c>
      <c r="E16" s="15">
        <f>IF(6056.34447="","-",6056.34447/1290763.45346*100)</f>
        <v>0.46920637966355949</v>
      </c>
      <c r="F16" s="15">
        <f>IF(7501.51997="","-",7501.51997/1485793.22823*100)</f>
        <v>0.50488317132367289</v>
      </c>
      <c r="G16" s="15">
        <f>IF(OR(920807.43432="",6610.84044="",6056.34447=""),"-",(6056.34447-6610.84044)/920807.43432*100)</f>
        <v>-6.0218450604657137E-2</v>
      </c>
      <c r="H16" s="15">
        <f>IF(OR(1290763.45346="",7501.51997="",6056.34447=""),"-",(7501.51997-6056.34447)/1290763.45346*100)</f>
        <v>0.1119628461842552</v>
      </c>
    </row>
    <row r="17" spans="1:8" s="2" customFormat="1" ht="16.5" customHeight="1" x14ac:dyDescent="0.3">
      <c r="A17" s="13" t="s">
        <v>214</v>
      </c>
      <c r="B17" s="14" t="s">
        <v>182</v>
      </c>
      <c r="C17" s="10">
        <v>17222.04752</v>
      </c>
      <c r="D17" s="10">
        <f>IF(OR(15654.56094="",17222.04752=""),"-",17222.04752/15654.56094*100)</f>
        <v>110.01297057137396</v>
      </c>
      <c r="E17" s="15">
        <f>IF(15654.56094="","-",15654.56094/1290763.45346*100)</f>
        <v>1.2128140828620948</v>
      </c>
      <c r="F17" s="15">
        <f>IF(17222.04752="","-",17222.04752/1485793.22823*100)</f>
        <v>1.1591146865379331</v>
      </c>
      <c r="G17" s="15">
        <f>IF(OR(920807.43432="",13153.79995="",15654.56094=""),"-",(15654.56094-13153.79995)/920807.43432*100)</f>
        <v>0.27158349257320741</v>
      </c>
      <c r="H17" s="15">
        <f>IF(OR(1290763.45346="",17222.04752="",15654.56094=""),"-",(17222.04752-15654.56094)/1290763.45346*100)</f>
        <v>0.12143871720246037</v>
      </c>
    </row>
    <row r="18" spans="1:8" s="2" customFormat="1" x14ac:dyDescent="0.3">
      <c r="A18" s="11" t="s">
        <v>215</v>
      </c>
      <c r="B18" s="12" t="s">
        <v>183</v>
      </c>
      <c r="C18" s="9">
        <v>16361.274820000001</v>
      </c>
      <c r="D18" s="9">
        <f>IF(14010.09335="","-",16361.27482/14010.09335*100)</f>
        <v>116.78205427517727</v>
      </c>
      <c r="E18" s="17">
        <f>IF(14010.09335="","-",14010.09335/1290763.45346*100)</f>
        <v>1.0854113751396328</v>
      </c>
      <c r="F18" s="17">
        <f>IF(16361.27482="","-",16361.27482/1485793.22823*100)</f>
        <v>1.1011811407628307</v>
      </c>
      <c r="G18" s="17">
        <f>IF(920807.43432="","-",(14010.09335-14628.78941)/920807.43432*100)</f>
        <v>-6.7190602175893191E-2</v>
      </c>
      <c r="H18" s="17">
        <f>IF(1290763.45346="","-",(16361.27482-14010.09335)/1290763.45346*100)</f>
        <v>0.18215432608488114</v>
      </c>
    </row>
    <row r="19" spans="1:8" s="2" customFormat="1" x14ac:dyDescent="0.3">
      <c r="A19" s="13" t="s">
        <v>216</v>
      </c>
      <c r="B19" s="14" t="s">
        <v>184</v>
      </c>
      <c r="C19" s="10">
        <v>10679.070959999999</v>
      </c>
      <c r="D19" s="10">
        <f>IF(OR(9347.76793="",10679.07096=""),"-",10679.07096/9347.76793*100)</f>
        <v>114.24193497281227</v>
      </c>
      <c r="E19" s="15">
        <f>IF(9347.76793="","-",9347.76793/1290763.45346*100)</f>
        <v>0.72420457094152468</v>
      </c>
      <c r="F19" s="15">
        <f>IF(10679.07096="","-",10679.07096/1485793.22823*100)</f>
        <v>0.71874543221076548</v>
      </c>
      <c r="G19" s="15">
        <f>IF(OR(920807.43432="",9009.63177="",9347.76793=""),"-",(9347.76793-9009.63177)/920807.43432*100)</f>
        <v>3.672170178010211E-2</v>
      </c>
      <c r="H19" s="15">
        <f>IF(OR(1290763.45346="",10679.07096="",9347.76793=""),"-",(10679.07096-9347.76793)/1290763.45346*100)</f>
        <v>0.10314074406362601</v>
      </c>
    </row>
    <row r="20" spans="1:8" s="2" customFormat="1" x14ac:dyDescent="0.3">
      <c r="A20" s="13" t="s">
        <v>217</v>
      </c>
      <c r="B20" s="14" t="s">
        <v>185</v>
      </c>
      <c r="C20" s="10">
        <v>5682.2038599999996</v>
      </c>
      <c r="D20" s="10">
        <f>IF(OR(4662.32542="",5682.20386=""),"-",5682.20386/4662.32542*100)</f>
        <v>121.87488748908477</v>
      </c>
      <c r="E20" s="15">
        <f>IF(4662.32542="","-",4662.32542/1290763.45346*100)</f>
        <v>0.36120680419810808</v>
      </c>
      <c r="F20" s="15">
        <f>IF(5682.20386="","-",5682.20386/1485793.22823*100)</f>
        <v>0.38243570855206493</v>
      </c>
      <c r="G20" s="15">
        <f>IF(OR(920807.43432="",5619.15764="",4662.32542=""),"-",(4662.32542-5619.15764)/920807.43432*100)</f>
        <v>-0.10391230395599531</v>
      </c>
      <c r="H20" s="15">
        <f>IF(OR(1290763.45346="",5682.20386="",4662.32542=""),"-",(5682.20386-4662.32542)/1290763.45346*100)</f>
        <v>7.9013582021254913E-2</v>
      </c>
    </row>
    <row r="21" spans="1:8" s="2" customFormat="1" ht="26.4" x14ac:dyDescent="0.3">
      <c r="A21" s="11" t="s">
        <v>218</v>
      </c>
      <c r="B21" s="12" t="s">
        <v>22</v>
      </c>
      <c r="C21" s="9">
        <v>53392.39905</v>
      </c>
      <c r="D21" s="9" t="s">
        <v>99</v>
      </c>
      <c r="E21" s="17">
        <f>IF(30721.73227="","-",30721.73227/1290763.45346*100)</f>
        <v>2.3801210196684615</v>
      </c>
      <c r="F21" s="17">
        <f>IF(53392.39905="","-",53392.39905/1485793.22823*100)</f>
        <v>3.5935282269125324</v>
      </c>
      <c r="G21" s="17">
        <f>IF(920807.43432="","-",(30721.73227-29379.15977)/920807.43432*100)</f>
        <v>0.14580382933066435</v>
      </c>
      <c r="H21" s="17">
        <f>IF(1290763.45346="","-",(53392.39905-30721.73227)/1290763.45346*100)</f>
        <v>1.7563765629735928</v>
      </c>
    </row>
    <row r="22" spans="1:8" s="2" customFormat="1" x14ac:dyDescent="0.3">
      <c r="A22" s="13" t="s">
        <v>220</v>
      </c>
      <c r="B22" s="14" t="s">
        <v>186</v>
      </c>
      <c r="C22" s="10">
        <v>34158.982479999999</v>
      </c>
      <c r="D22" s="10" t="s">
        <v>303</v>
      </c>
      <c r="E22" s="15">
        <f>IF(11157.71184="","-",11157.71184/1290763.45346*100)</f>
        <v>0.86442731316034827</v>
      </c>
      <c r="F22" s="15">
        <f>IF(34158.98248="","-",34158.98248/1485793.22823*100)</f>
        <v>2.299040124223275</v>
      </c>
      <c r="G22" s="15">
        <f>IF(OR(920807.43432="",14344.20101="",11157.71184=""),"-",(11157.71184-14344.20101)/920807.43432*100)</f>
        <v>-0.34605380573986855</v>
      </c>
      <c r="H22" s="15">
        <f>IF(OR(1290763.45346="",34158.98248="",11157.71184=""),"-",(34158.98248-11157.71184)/1290763.45346*100)</f>
        <v>1.7819896107488291</v>
      </c>
    </row>
    <row r="23" spans="1:8" s="2" customFormat="1" ht="26.4" x14ac:dyDescent="0.3">
      <c r="A23" s="13" t="s">
        <v>273</v>
      </c>
      <c r="B23" s="14" t="s">
        <v>187</v>
      </c>
      <c r="C23" s="10">
        <v>719.45484999999996</v>
      </c>
      <c r="D23" s="10" t="s">
        <v>196</v>
      </c>
      <c r="E23" s="15">
        <f>IF(396.28355="","-",396.28355/1290763.45346*100)</f>
        <v>3.0701485151111818E-2</v>
      </c>
      <c r="F23" s="15">
        <f>IF(719.45485="","-",719.45485/1485793.22823*100)</f>
        <v>4.8422272785364227E-2</v>
      </c>
      <c r="G23" s="15">
        <f>IF(OR(920807.43432="",218.46451="",396.28355=""),"-",(396.28355-218.46451)/920807.43432*100)</f>
        <v>1.9311208117179922E-2</v>
      </c>
      <c r="H23" s="15">
        <f>IF(OR(1290763.45346="",719.45485="",396.28355=""),"-",(719.45485-396.28355)/1290763.45346*100)</f>
        <v>2.503722112163248E-2</v>
      </c>
    </row>
    <row r="24" spans="1:8" s="2" customFormat="1" x14ac:dyDescent="0.3">
      <c r="A24" s="13" t="s">
        <v>221</v>
      </c>
      <c r="B24" s="14" t="s">
        <v>188</v>
      </c>
      <c r="C24" s="10">
        <v>6121.7013800000004</v>
      </c>
      <c r="D24" s="10">
        <f>IF(OR(7911.1049="",6121.70138=""),"-",6121.70138/7911.1049*100)</f>
        <v>77.38111752253468</v>
      </c>
      <c r="E24" s="15">
        <f>IF(7911.1049="","-",7911.1049/1290763.45346*100)</f>
        <v>0.61290121584970647</v>
      </c>
      <c r="F24" s="15">
        <f>IF(6121.70138="","-",6121.70138/1485793.22823*100)</f>
        <v>0.41201570068351151</v>
      </c>
      <c r="G24" s="15">
        <f>IF(OR(920807.43432="",3908.63446="",7911.1049=""),"-",(7911.1049-3908.63446)/920807.43432*100)</f>
        <v>0.43466964870410219</v>
      </c>
      <c r="H24" s="15">
        <f>IF(OR(1290763.45346="",6121.70138="",7911.1049=""),"-",(6121.70138-7911.1049)/1290763.45346*100)</f>
        <v>-0.1386314057160011</v>
      </c>
    </row>
    <row r="25" spans="1:8" s="2" customFormat="1" x14ac:dyDescent="0.3">
      <c r="A25" s="13" t="s">
        <v>222</v>
      </c>
      <c r="B25" s="14" t="s">
        <v>140</v>
      </c>
      <c r="C25" s="10">
        <v>11.03402</v>
      </c>
      <c r="D25" s="10">
        <f>IF(OR(65.99788="",11.03402=""),"-",11.03402/65.99788*100)</f>
        <v>16.718749147699896</v>
      </c>
      <c r="E25" s="15">
        <f>IF(65.99788="","-",65.99788/1290763.45346*100)</f>
        <v>5.1130886781065215E-3</v>
      </c>
      <c r="F25" s="15">
        <f>IF(11.03402="","-",11.03402/1485793.22823*100)</f>
        <v>7.4263496362442292E-4</v>
      </c>
      <c r="G25" s="15">
        <f>IF(OR(920807.43432="",57.58005="",65.99788=""),"-",(65.99788-57.58005)/920807.43432*100)</f>
        <v>9.1417919602445588E-4</v>
      </c>
      <c r="H25" s="15">
        <f>IF(OR(1290763.45346="",11.03402="",65.99788=""),"-",(11.03402-65.99788)/1290763.45346*100)</f>
        <v>-4.2582442083144469E-3</v>
      </c>
    </row>
    <row r="26" spans="1:8" s="2" customFormat="1" ht="52.8" x14ac:dyDescent="0.3">
      <c r="A26" s="13" t="s">
        <v>223</v>
      </c>
      <c r="B26" s="14" t="s">
        <v>141</v>
      </c>
      <c r="C26" s="10">
        <v>1225.0636400000001</v>
      </c>
      <c r="D26" s="10">
        <f>IF(OR(1048.92665="",1225.06364=""),"-",1225.06364/1048.92665*100)</f>
        <v>116.7921169702381</v>
      </c>
      <c r="E26" s="15">
        <f>IF(1048.92665="","-",1048.92665/1290763.45346*100)</f>
        <v>8.126404936460388E-2</v>
      </c>
      <c r="F26" s="15">
        <f>IF(1225.06364="","-",1225.06364/1485793.22823*100)</f>
        <v>8.2451825511373297E-2</v>
      </c>
      <c r="G26" s="15">
        <f>IF(OR(920807.43432="",1193.09528="",1048.92665=""),"-",(1048.92665-1193.09528)/920807.43432*100)</f>
        <v>-1.5656762166181455E-2</v>
      </c>
      <c r="H26" s="15">
        <f>IF(OR(1290763.45346="",1225.06364="",1048.92665=""),"-",(1225.06364-1048.92665)/1290763.45346*100)</f>
        <v>1.364595422405631E-2</v>
      </c>
    </row>
    <row r="27" spans="1:8" s="2" customFormat="1" ht="39.6" x14ac:dyDescent="0.3">
      <c r="A27" s="13" t="s">
        <v>224</v>
      </c>
      <c r="B27" s="14" t="s">
        <v>142</v>
      </c>
      <c r="C27" s="10">
        <v>2637.3747100000001</v>
      </c>
      <c r="D27" s="10">
        <f>IF(OR(2813.87692="",2637.37471=""),"-",2637.37471/2813.87692*100)</f>
        <v>93.727436735221531</v>
      </c>
      <c r="E27" s="15">
        <f>IF(2813.87692="","-",2813.87692/1290763.45346*100)</f>
        <v>0.21800097550462608</v>
      </c>
      <c r="F27" s="15">
        <f>IF(2637.37471="","-",2637.37471/1485793.22823*100)</f>
        <v>0.17750617379928829</v>
      </c>
      <c r="G27" s="15">
        <f>IF(OR(920807.43432="",1928.03096="",2813.87692=""),"-",(2813.87692-1928.03096)/920807.43432*100)</f>
        <v>9.620317201871656E-2</v>
      </c>
      <c r="H27" s="15">
        <f>IF(OR(1290763.45346="",2637.37471="",2813.87692=""),"-",(2637.37471-2813.87692)/1290763.45346*100)</f>
        <v>-1.3674249106361905E-2</v>
      </c>
    </row>
    <row r="28" spans="1:8" s="2" customFormat="1" ht="26.4" x14ac:dyDescent="0.3">
      <c r="A28" s="13" t="s">
        <v>225</v>
      </c>
      <c r="B28" s="14" t="s">
        <v>143</v>
      </c>
      <c r="C28" s="10">
        <v>372.50772000000001</v>
      </c>
      <c r="D28" s="10" t="s">
        <v>303</v>
      </c>
      <c r="E28" s="15">
        <f>IF(119.14673="","-",119.14673/1290763.45346*100)</f>
        <v>9.2307176563310011E-3</v>
      </c>
      <c r="F28" s="15">
        <f>IF(372.50772="","-",372.50772/1485793.22823*100)</f>
        <v>2.5071302851727362E-2</v>
      </c>
      <c r="G28" s="15">
        <f>IF(OR(920807.43432="",143.5172="",119.14673=""),"-",(119.14673-143.5172)/920807.43432*100)</f>
        <v>-2.6466413162701233E-3</v>
      </c>
      <c r="H28" s="15">
        <f>IF(OR(1290763.45346="",372.50772="",119.14673=""),"-",(372.50772-119.14673)/1290763.45346*100)</f>
        <v>1.962877003689906E-2</v>
      </c>
    </row>
    <row r="29" spans="1:8" s="2" customFormat="1" ht="26.4" x14ac:dyDescent="0.3">
      <c r="A29" s="13" t="s">
        <v>226</v>
      </c>
      <c r="B29" s="14" t="s">
        <v>144</v>
      </c>
      <c r="C29" s="10">
        <v>8146.2802499999998</v>
      </c>
      <c r="D29" s="10">
        <f>IF(OR(7208.6838="",8146.28025=""),"-",8146.28025/7208.6838*100)</f>
        <v>113.00648601066396</v>
      </c>
      <c r="E29" s="15">
        <f>IF(7208.6838="","-",7208.6838/1290763.45346*100)</f>
        <v>0.55848217430362757</v>
      </c>
      <c r="F29" s="15">
        <f>IF(8146.28025="","-",8146.28025/1485793.22823*100)</f>
        <v>0.54827819209436857</v>
      </c>
      <c r="G29" s="15">
        <f>IF(OR(920807.43432="",7585.6363="",7208.6838=""),"-",(7208.6838-7585.6363)/920807.43432*100)</f>
        <v>-4.0937169483038882E-2</v>
      </c>
      <c r="H29" s="15">
        <f>IF(OR(1290763.45346="",8146.28025="",7208.6838=""),"-",(8146.28025-7208.6838)/1290763.45346*100)</f>
        <v>7.2638905872853307E-2</v>
      </c>
    </row>
    <row r="30" spans="1:8" s="2" customFormat="1" ht="26.4" x14ac:dyDescent="0.3">
      <c r="A30" s="11" t="s">
        <v>227</v>
      </c>
      <c r="B30" s="12" t="s">
        <v>145</v>
      </c>
      <c r="C30" s="9">
        <v>481045.02074000001</v>
      </c>
      <c r="D30" s="9">
        <f>IF(348323.75022="","-",481045.02074/348323.75022*100)</f>
        <v>138.10284840932431</v>
      </c>
      <c r="E30" s="17">
        <f>IF(348323.75022="","-",348323.75022/1290763.45346*100)</f>
        <v>26.985870206217015</v>
      </c>
      <c r="F30" s="17">
        <f>IF(481045.02074="","-",481045.02074/1485793.22823*100)</f>
        <v>32.376309946779116</v>
      </c>
      <c r="G30" s="17">
        <f>IF(920807.43432="","-",(348323.75022-125651.12205)/920807.43432*100)</f>
        <v>24.182323021147173</v>
      </c>
      <c r="H30" s="17">
        <f>IF(1290763.45346="","-",(481045.02074-348323.75022)/1290763.45346*100)</f>
        <v>10.28238521661188</v>
      </c>
    </row>
    <row r="31" spans="1:8" s="2" customFormat="1" x14ac:dyDescent="0.3">
      <c r="A31" s="13" t="s">
        <v>228</v>
      </c>
      <c r="B31" s="14" t="s">
        <v>189</v>
      </c>
      <c r="C31" s="10">
        <v>4549.1583000000001</v>
      </c>
      <c r="D31" s="10">
        <f>IF(OR(3426.71948="",4549.1583=""),"-",4549.1583/3426.71948*100)</f>
        <v>132.75549185018204</v>
      </c>
      <c r="E31" s="15">
        <f>IF(3426.71948="","-",3426.71948/1290763.45346*100)</f>
        <v>0.26548005142339526</v>
      </c>
      <c r="F31" s="15">
        <f>IF(4549.1583="","-",4549.1583/1485793.22823*100)</f>
        <v>0.30617707858443627</v>
      </c>
      <c r="G31" s="15">
        <f>IF(OR(920807.43432="",1033.81838="",3426.71948=""),"-",(3426.71948-1033.81838)/920807.43432*100)</f>
        <v>0.25986987189858163</v>
      </c>
      <c r="H31" s="15">
        <f>IF(OR(1290763.45346="",4549.1583="",3426.71948=""),"-",(4549.1583-3426.71948)/1290763.45346*100)</f>
        <v>8.6959296607849262E-2</v>
      </c>
    </row>
    <row r="32" spans="1:8" s="2" customFormat="1" ht="26.4" x14ac:dyDescent="0.3">
      <c r="A32" s="13" t="s">
        <v>229</v>
      </c>
      <c r="B32" s="14" t="s">
        <v>146</v>
      </c>
      <c r="C32" s="10">
        <v>274809.55128000001</v>
      </c>
      <c r="D32" s="10" t="s">
        <v>195</v>
      </c>
      <c r="E32" s="15">
        <f>IF(122298.75684="","-",122298.75684/1290763.45346*100)</f>
        <v>9.4749162995100225</v>
      </c>
      <c r="F32" s="15">
        <f>IF(274809.55128="","-",274809.55128/1485793.22823*100)</f>
        <v>18.495813957058878</v>
      </c>
      <c r="G32" s="15">
        <f>IF(OR(920807.43432="",70467.04213="",122298.75684=""),"-",(122298.75684-70467.04213)/920807.43432*100)</f>
        <v>5.62894181542711</v>
      </c>
      <c r="H32" s="15">
        <f>IF(OR(1290763.45346="",274809.55128="",122298.75684=""),"-",(274809.55128-122298.75684)/1290763.45346*100)</f>
        <v>11.815549474319404</v>
      </c>
    </row>
    <row r="33" spans="1:8" s="2" customFormat="1" ht="26.4" x14ac:dyDescent="0.3">
      <c r="A33" s="13" t="s">
        <v>274</v>
      </c>
      <c r="B33" s="14" t="s">
        <v>190</v>
      </c>
      <c r="C33" s="10">
        <v>190832.64019000001</v>
      </c>
      <c r="D33" s="10">
        <f>IF(OR(222597.2389="",190832.64019=""),"-",190832.64019/222597.2389*100)</f>
        <v>85.730012255780949</v>
      </c>
      <c r="E33" s="15">
        <f>IF(222597.2389="","-",222597.2389/1290763.45346*100)</f>
        <v>17.24539367018096</v>
      </c>
      <c r="F33" s="15">
        <f>IF(190832.64019="","-",190832.64019/1485793.22823*100)</f>
        <v>12.843822179573106</v>
      </c>
      <c r="G33" s="15">
        <f>IF(OR(920807.43432="",54149.84519="",222597.2389=""),"-",(222597.2389-54149.84519)/920807.43432*100)</f>
        <v>18.29344414822144</v>
      </c>
      <c r="H33" s="15">
        <f>IF(OR(1290763.45346="",190832.64019="",222597.2389=""),"-",(190832.64019-222597.2389)/1290763.45346*100)</f>
        <v>-2.4609155631771502</v>
      </c>
    </row>
    <row r="34" spans="1:8" s="2" customFormat="1" x14ac:dyDescent="0.3">
      <c r="A34" s="13" t="s">
        <v>279</v>
      </c>
      <c r="B34" s="14" t="s">
        <v>281</v>
      </c>
      <c r="C34" s="10">
        <v>10853.670969999999</v>
      </c>
      <c r="D34" s="10" t="s">
        <v>387</v>
      </c>
      <c r="E34" s="15">
        <f>IF(1.035="","-",1.035/1290763.45346*100)</f>
        <v>8.0185102640270407E-5</v>
      </c>
      <c r="F34" s="15">
        <f>IF(10853.67097="","-",10853.67097/1485793.22823*100)</f>
        <v>0.73049673156269468</v>
      </c>
      <c r="G34" s="15">
        <f>IF(OR(920807.43432="",0.41635="",1.035=""),"-",(1.035-0.41635)/920807.43432*100)</f>
        <v>6.7185600044254859E-5</v>
      </c>
      <c r="H34" s="15">
        <f>IF(OR(1290763.45346="",10853.67097="",1.035=""),"-",(10853.67097-1.035)/1290763.45346*100)</f>
        <v>0.84079200886177841</v>
      </c>
    </row>
    <row r="35" spans="1:8" s="2" customFormat="1" ht="26.4" x14ac:dyDescent="0.3">
      <c r="A35" s="11" t="s">
        <v>230</v>
      </c>
      <c r="B35" s="12" t="s">
        <v>147</v>
      </c>
      <c r="C35" s="9">
        <v>4547.53269</v>
      </c>
      <c r="D35" s="9" t="s">
        <v>311</v>
      </c>
      <c r="E35" s="17">
        <f>IF(1531.5468="","-",1531.5468/1290763.45346*100)</f>
        <v>0.11865433561002678</v>
      </c>
      <c r="F35" s="17">
        <f>IF(4547.53269="","-",4547.53269/1485793.22823*100)</f>
        <v>0.30606766834019011</v>
      </c>
      <c r="G35" s="17">
        <f>IF(920807.43432="","-",(1531.5468-1656.28713)/920807.43432*100)</f>
        <v>-1.3546842189878536E-2</v>
      </c>
      <c r="H35" s="17">
        <f>IF(1290763.45346="","-",(4547.53269-1531.5468)/1290763.45346*100)</f>
        <v>0.23365907067754327</v>
      </c>
    </row>
    <row r="36" spans="1:8" s="2" customFormat="1" x14ac:dyDescent="0.3">
      <c r="A36" s="13" t="s">
        <v>231</v>
      </c>
      <c r="B36" s="14" t="s">
        <v>193</v>
      </c>
      <c r="C36" s="10">
        <v>467.74122999999997</v>
      </c>
      <c r="D36" s="10" t="s">
        <v>18</v>
      </c>
      <c r="E36" s="15">
        <f>IF(233.35606="","-",233.35606/1290763.45346*100)</f>
        <v>1.8078917509979808E-2</v>
      </c>
      <c r="F36" s="15">
        <f>IF(467.74123="","-",467.74123/1485793.22823*100)</f>
        <v>3.148091006964758E-2</v>
      </c>
      <c r="G36" s="15">
        <f>IF(OR(920807.43432="",180.50403="",233.35606=""),"-",(233.35606-180.50403)/920807.43432*100)</f>
        <v>5.7397484023388994E-3</v>
      </c>
      <c r="H36" s="15">
        <f>IF(OR(1290763.45346="",467.74123="",233.35606=""),"-",(467.74123-233.35606)/1290763.45346*100)</f>
        <v>1.8158646293533552E-2</v>
      </c>
    </row>
    <row r="37" spans="1:8" s="2" customFormat="1" ht="26.4" x14ac:dyDescent="0.3">
      <c r="A37" s="13" t="s">
        <v>232</v>
      </c>
      <c r="B37" s="14" t="s">
        <v>148</v>
      </c>
      <c r="C37" s="10">
        <v>3911.2573000000002</v>
      </c>
      <c r="D37" s="10" t="s">
        <v>388</v>
      </c>
      <c r="E37" s="15">
        <f>IF(1029.46913="","-",1029.46913/1290763.45346*100)</f>
        <v>7.9756606622260751E-2</v>
      </c>
      <c r="F37" s="15">
        <f>IF(3911.2573="","-",3911.2573/1485793.22823*100)</f>
        <v>0.26324371559153048</v>
      </c>
      <c r="G37" s="15">
        <f>IF(OR(920807.43432="",1174.05991="",1029.46913=""),"-",(1029.46913-1174.05991)/920807.43432*100)</f>
        <v>-1.5702607799509972E-2</v>
      </c>
      <c r="H37" s="15">
        <f>IF(OR(1290763.45346="",3911.2573="",1029.46913=""),"-",(3911.2573-1029.46913)/1290763.45346*100)</f>
        <v>0.22326229970914693</v>
      </c>
    </row>
    <row r="38" spans="1:8" s="2" customFormat="1" ht="66" x14ac:dyDescent="0.3">
      <c r="A38" s="13" t="s">
        <v>233</v>
      </c>
      <c r="B38" s="14" t="s">
        <v>191</v>
      </c>
      <c r="C38" s="10">
        <v>168.53416000000001</v>
      </c>
      <c r="D38" s="10">
        <f>IF(OR(268.72161="",168.53416=""),"-",168.53416/268.72161*100)</f>
        <v>62.71701036622995</v>
      </c>
      <c r="E38" s="15">
        <f>IF(268.72161="","-",268.72161/1290763.45346*100)</f>
        <v>2.0818811477786199E-2</v>
      </c>
      <c r="F38" s="15">
        <f>IF(168.53416="","-",168.53416/1485793.22823*100)</f>
        <v>1.1343042679012063E-2</v>
      </c>
      <c r="G38" s="15">
        <f>IF(OR(920807.43432="",301.72319="",268.72161=""),"-",(268.72161-301.72319)/920807.43432*100)</f>
        <v>-3.5839827927074759E-3</v>
      </c>
      <c r="H38" s="15">
        <f>IF(OR(1290763.45346="",168.53416="",268.72161=""),"-",(168.53416-268.72161)/1290763.45346*100)</f>
        <v>-7.7618753251371582E-3</v>
      </c>
    </row>
    <row r="39" spans="1:8" s="2" customFormat="1" ht="39.6" x14ac:dyDescent="0.3">
      <c r="A39" s="11" t="s">
        <v>234</v>
      </c>
      <c r="B39" s="12" t="s">
        <v>149</v>
      </c>
      <c r="C39" s="9">
        <v>182262.93007999999</v>
      </c>
      <c r="D39" s="9">
        <f>IF(173947.79221="","-",182262.93008/173947.79221*100)</f>
        <v>104.78024915657535</v>
      </c>
      <c r="E39" s="17">
        <f>IF(173947.79221="","-",173947.79221/1290763.45346*100)</f>
        <v>13.476349345321045</v>
      </c>
      <c r="F39" s="17">
        <f>IF(182262.93008="","-",182262.93008/1485793.22823*100)</f>
        <v>12.267045415002107</v>
      </c>
      <c r="G39" s="17">
        <f>IF(920807.43432="","-",(173947.79221-134814.96857)/920807.43432*100)</f>
        <v>4.2498379336933692</v>
      </c>
      <c r="H39" s="17">
        <f>IF(1290763.45346="","-",(182262.93008-173947.79221)/1290763.45346*100)</f>
        <v>0.64420307591685755</v>
      </c>
    </row>
    <row r="40" spans="1:8" s="2" customFormat="1" x14ac:dyDescent="0.3">
      <c r="A40" s="13" t="s">
        <v>235</v>
      </c>
      <c r="B40" s="14" t="s">
        <v>23</v>
      </c>
      <c r="C40" s="10">
        <v>2367.79511</v>
      </c>
      <c r="D40" s="10">
        <f>IF(OR(2802.43527="",2367.79511=""),"-",2367.79511/2802.43527*100)</f>
        <v>84.490626254500427</v>
      </c>
      <c r="E40" s="15">
        <f>IF(2802.43527="","-",2802.43527/1290763.45346*100)</f>
        <v>0.21711455050015838</v>
      </c>
      <c r="F40" s="15">
        <f>IF(2367.79511="","-",2367.79511/1485793.22823*100)</f>
        <v>0.15936235709061036</v>
      </c>
      <c r="G40" s="15">
        <f>IF(OR(920807.43432="",1762.40486="",2802.43527=""),"-",(2802.43527-1762.40486)/920807.43432*100)</f>
        <v>0.11294765563747255</v>
      </c>
      <c r="H40" s="15">
        <f>IF(OR(1290763.45346="",2367.79511="",2802.43527=""),"-",(2367.79511-2802.43527)/1290763.45346*100)</f>
        <v>-3.3673107092930962E-2</v>
      </c>
    </row>
    <row r="41" spans="1:8" s="2" customFormat="1" x14ac:dyDescent="0.3">
      <c r="A41" s="13" t="s">
        <v>236</v>
      </c>
      <c r="B41" s="14" t="s">
        <v>24</v>
      </c>
      <c r="C41" s="10">
        <v>6440.2724399999997</v>
      </c>
      <c r="D41" s="10" t="s">
        <v>91</v>
      </c>
      <c r="E41" s="15">
        <f>IF(3095.01808="","-",3095.01808/1290763.45346*100)</f>
        <v>0.23978197335100737</v>
      </c>
      <c r="F41" s="15">
        <f>IF(6440.27244="","-",6440.27244/1485793.22823*100)</f>
        <v>0.4334568443061344</v>
      </c>
      <c r="G41" s="15">
        <f>IF(OR(920807.43432="",2329.52459="",3095.01808=""),"-",(3095.01808-2329.52459)/920807.43432*100)</f>
        <v>8.3132852914605676E-2</v>
      </c>
      <c r="H41" s="15">
        <f>IF(OR(1290763.45346="",6440.27244="",3095.01808=""),"-",(6440.27244-3095.01808)/1290763.45346*100)</f>
        <v>0.2591686610767267</v>
      </c>
    </row>
    <row r="42" spans="1:8" s="2" customFormat="1" x14ac:dyDescent="0.3">
      <c r="A42" s="13" t="s">
        <v>237</v>
      </c>
      <c r="B42" s="14" t="s">
        <v>150</v>
      </c>
      <c r="C42" s="10">
        <v>5107.1945900000001</v>
      </c>
      <c r="D42" s="10">
        <f>IF(OR(6251.17097="",5107.19459=""),"-",5107.19459/6251.17097*100)</f>
        <v>81.699806556402663</v>
      </c>
      <c r="E42" s="15">
        <f>IF(6251.17097="","-",6251.17097/1290763.45346*100)</f>
        <v>0.48430027618485866</v>
      </c>
      <c r="F42" s="15">
        <f>IF(5107.19459="","-",5107.19459/1485793.22823*100)</f>
        <v>0.34373521785962863</v>
      </c>
      <c r="G42" s="15">
        <f>IF(OR(920807.43432="",4066.27014="",6251.17097=""),"-",(6251.17097-4066.27014)/920807.43432*100)</f>
        <v>0.23728097195626041</v>
      </c>
      <c r="H42" s="15">
        <f>IF(OR(1290763.45346="",5107.19459="",6251.17097=""),"-",(5107.19459-6251.17097)/1290763.45346*100)</f>
        <v>-8.8627887389705298E-2</v>
      </c>
    </row>
    <row r="43" spans="1:8" s="2" customFormat="1" x14ac:dyDescent="0.3">
      <c r="A43" s="13" t="s">
        <v>238</v>
      </c>
      <c r="B43" s="14" t="s">
        <v>151</v>
      </c>
      <c r="C43" s="10">
        <v>49994.90713</v>
      </c>
      <c r="D43" s="10">
        <f>IF(OR(51034.47865="",49994.90713=""),"-",49994.90713/51034.47865*100)</f>
        <v>97.963001587359216</v>
      </c>
      <c r="E43" s="15">
        <f>IF(51034.47865="","-",51034.47865/1290763.45346*100)</f>
        <v>3.9538211678675736</v>
      </c>
      <c r="F43" s="15">
        <f>IF(49994.90713="","-",49994.90713/1485793.22823*100)</f>
        <v>3.3648630361277174</v>
      </c>
      <c r="G43" s="15">
        <f>IF(OR(920807.43432="",42674.27699="",51034.47865=""),"-",(51034.47865-42674.27699)/920807.43432*100)</f>
        <v>0.90792073873446288</v>
      </c>
      <c r="H43" s="15">
        <f>IF(OR(1290763.45346="",49994.90713="",51034.47865=""),"-",(49994.90713-51034.47865)/1290763.45346*100)</f>
        <v>-8.0539274428117619E-2</v>
      </c>
    </row>
    <row r="44" spans="1:8" s="2" customFormat="1" ht="39.6" x14ac:dyDescent="0.3">
      <c r="A44" s="13" t="s">
        <v>239</v>
      </c>
      <c r="B44" s="14" t="s">
        <v>152</v>
      </c>
      <c r="C44" s="10">
        <v>25939.41042</v>
      </c>
      <c r="D44" s="10">
        <f>IF(OR(21321.54083="",25939.41042=""),"-",25939.41042/21321.54083*100)</f>
        <v>121.65823580396464</v>
      </c>
      <c r="E44" s="15">
        <f>IF(21321.54083="","-",21321.54083/1290763.45346*100)</f>
        <v>1.6518550143983253</v>
      </c>
      <c r="F44" s="15">
        <f>IF(25939.41042="","-",25939.41042/1485793.22823*100)</f>
        <v>1.7458290916362011</v>
      </c>
      <c r="G44" s="15">
        <f>IF(OR(920807.43432="",19515.27547="",21321.54083=""),"-",(21321.54083-19515.27547)/920807.43432*100)</f>
        <v>0.19616103135981916</v>
      </c>
      <c r="H44" s="15">
        <f>IF(OR(1290763.45346="",25939.41042="",21321.54083=""),"-",(25939.41042-21321.54083)/1290763.45346*100)</f>
        <v>0.35776265415800323</v>
      </c>
    </row>
    <row r="45" spans="1:8" s="2" customFormat="1" x14ac:dyDescent="0.3">
      <c r="A45" s="13" t="s">
        <v>240</v>
      </c>
      <c r="B45" s="14" t="s">
        <v>153</v>
      </c>
      <c r="C45" s="10">
        <v>39434.644769999999</v>
      </c>
      <c r="D45" s="10">
        <f>IF(OR(31175.21552="",39434.64477=""),"-",39434.64477/31175.21552*100)</f>
        <v>126.49357546446241</v>
      </c>
      <c r="E45" s="15">
        <f>IF(31175.21552="","-",31175.21552/1290763.45346*100)</f>
        <v>2.4152539674432378</v>
      </c>
      <c r="F45" s="15">
        <f>IF(39434.64477="","-",39434.64477/1485793.22823*100)</f>
        <v>2.6541139117303567</v>
      </c>
      <c r="G45" s="15">
        <f>IF(OR(920807.43432="",12955.00745="",31175.21552=""),"-",(31175.21552-12955.00745)/920807.43432*100)</f>
        <v>1.9787207825331363</v>
      </c>
      <c r="H45" s="15">
        <f>IF(OR(1290763.45346="",39434.64477="",31175.21552=""),"-",(39434.64477-31175.21552)/1290763.45346*100)</f>
        <v>0.63988713252299656</v>
      </c>
    </row>
    <row r="46" spans="1:8" s="2" customFormat="1" x14ac:dyDescent="0.3">
      <c r="A46" s="13" t="s">
        <v>241</v>
      </c>
      <c r="B46" s="14" t="s">
        <v>25</v>
      </c>
      <c r="C46" s="10">
        <v>8021.07377</v>
      </c>
      <c r="D46" s="10">
        <f>IF(OR(10880.24121="",8021.07377=""),"-",8021.07377/10880.24121*100)</f>
        <v>73.721470095974098</v>
      </c>
      <c r="E46" s="15">
        <f>IF(10880.24121="","-",10880.24121/1290763.45346*100)</f>
        <v>0.84293068422681161</v>
      </c>
      <c r="F46" s="15">
        <f>IF(8021.07377="","-",8021.07377/1485793.22823*100)</f>
        <v>0.53985128062236276</v>
      </c>
      <c r="G46" s="15">
        <f>IF(OR(920807.43432="",6770.21163="",10880.24121=""),"-",(10880.24121-6770.21163)/920807.43432*100)</f>
        <v>0.4463506078266174</v>
      </c>
      <c r="H46" s="15">
        <f>IF(OR(1290763.45346="",8021.07377="",10880.24121=""),"-",(8021.07377-10880.24121)/1290763.45346*100)</f>
        <v>-0.22150979192475284</v>
      </c>
    </row>
    <row r="47" spans="1:8" s="2" customFormat="1" x14ac:dyDescent="0.3">
      <c r="A47" s="13" t="s">
        <v>242</v>
      </c>
      <c r="B47" s="14" t="s">
        <v>26</v>
      </c>
      <c r="C47" s="10">
        <v>19487.86694</v>
      </c>
      <c r="D47" s="10">
        <f>IF(OR(20405.77046="",19487.86694=""),"-",19487.86694/20405.77046*100)</f>
        <v>95.501745343067043</v>
      </c>
      <c r="E47" s="15">
        <f>IF(20405.77046="","-",20405.77046/1290763.45346*100)</f>
        <v>1.5809070519699497</v>
      </c>
      <c r="F47" s="15">
        <f>IF(19487.86694="","-",19487.86694/1485793.22823*100)</f>
        <v>1.3116136599448336</v>
      </c>
      <c r="G47" s="15">
        <f>IF(OR(920807.43432="",18759.77172="",20405.77046=""),"-",(20405.77046-18759.77172)/920807.43432*100)</f>
        <v>0.17875602201404248</v>
      </c>
      <c r="H47" s="15">
        <f>IF(OR(1290763.45346="",19487.86694="",20405.77046=""),"-",(19487.86694-20405.77046)/1290763.45346*100)</f>
        <v>-7.1113225087019796E-2</v>
      </c>
    </row>
    <row r="48" spans="1:8" s="2" customFormat="1" x14ac:dyDescent="0.3">
      <c r="A48" s="13" t="s">
        <v>243</v>
      </c>
      <c r="B48" s="14" t="s">
        <v>154</v>
      </c>
      <c r="C48" s="10">
        <v>25469.764910000002</v>
      </c>
      <c r="D48" s="10">
        <f>IF(OR(26981.92122="",25469.76491=""),"-",25469.76491/26981.92122*100)</f>
        <v>94.39566850088076</v>
      </c>
      <c r="E48" s="15">
        <f>IF(26981.92122="","-",26981.92122/1290763.45346*100)</f>
        <v>2.0903846593791209</v>
      </c>
      <c r="F48" s="15">
        <f>IF(25469.76491="","-",25469.76491/1485793.22823*100)</f>
        <v>1.7142200156842615</v>
      </c>
      <c r="G48" s="15">
        <f>IF(OR(920807.43432="",25982.22572="",26981.92122=""),"-",(26981.92122-25982.22572)/920807.43432*100)</f>
        <v>0.1085672707169506</v>
      </c>
      <c r="H48" s="15">
        <f>IF(OR(1290763.45346="",25469.76491="",26981.92122=""),"-",(25469.76491-26981.92122)/1290763.45346*100)</f>
        <v>-0.11715208591834053</v>
      </c>
    </row>
    <row r="49" spans="1:8" s="2" customFormat="1" ht="26.4" x14ac:dyDescent="0.3">
      <c r="A49" s="11" t="s">
        <v>244</v>
      </c>
      <c r="B49" s="12" t="s">
        <v>307</v>
      </c>
      <c r="C49" s="9">
        <v>173669.70155999999</v>
      </c>
      <c r="D49" s="9">
        <f>IF(184419.69197="","-",173669.70156/184419.69197*100)</f>
        <v>94.170909681516676</v>
      </c>
      <c r="E49" s="17">
        <f>IF(184419.69197="","-",184419.69197/1290763.45346*100)</f>
        <v>14.287644376329956</v>
      </c>
      <c r="F49" s="17">
        <f>IF(173669.70156="","-",173669.70156/1485793.22823*100)</f>
        <v>11.688685764632924</v>
      </c>
      <c r="G49" s="17">
        <f>IF(920807.43432="","-",(184419.69197-159615.76838)/920807.43432*100)</f>
        <v>2.6937145233104332</v>
      </c>
      <c r="H49" s="17">
        <f>IF(1290763.45346="","-",(173669.70156-184419.69197)/1290763.45346*100)</f>
        <v>-0.83283969507997568</v>
      </c>
    </row>
    <row r="50" spans="1:8" s="2" customFormat="1" x14ac:dyDescent="0.3">
      <c r="A50" s="13" t="s">
        <v>245</v>
      </c>
      <c r="B50" s="14" t="s">
        <v>155</v>
      </c>
      <c r="C50" s="10">
        <v>7903.8396700000003</v>
      </c>
      <c r="D50" s="10">
        <f>IF(OR(8386.0132="",7903.83967=""),"-",7903.83967/8386.0132*100)</f>
        <v>94.25026507232306</v>
      </c>
      <c r="E50" s="15">
        <f>IF(8386.0132="","-",8386.0132/1290763.45346*100)</f>
        <v>0.64969403785957724</v>
      </c>
      <c r="F50" s="15">
        <f>IF(7903.83967="","-",7903.83967/1485793.22823*100)</f>
        <v>0.53196094313982767</v>
      </c>
      <c r="G50" s="15">
        <f>IF(OR(920807.43432="",9677.86223="",8386.0132=""),"-",(8386.0132-9677.86223)/920807.43432*100)</f>
        <v>-0.14029524326701476</v>
      </c>
      <c r="H50" s="15">
        <f>IF(OR(1290763.45346="",7903.83967="",8386.0132=""),"-",(7903.83967-8386.0132)/1290763.45346*100)</f>
        <v>-3.73556850178468E-2</v>
      </c>
    </row>
    <row r="51" spans="1:8" s="2" customFormat="1" x14ac:dyDescent="0.3">
      <c r="A51" s="13" t="s">
        <v>246</v>
      </c>
      <c r="B51" s="14" t="s">
        <v>27</v>
      </c>
      <c r="C51" s="10">
        <v>11295.76692</v>
      </c>
      <c r="D51" s="10">
        <f>IF(OR(13085.88209="",11295.76692=""),"-",11295.76692/13085.88209*100)</f>
        <v>86.320256000411504</v>
      </c>
      <c r="E51" s="15">
        <f>IF(13085.88209="","-",13085.88209/1290763.45346*100)</f>
        <v>1.013809467174035</v>
      </c>
      <c r="F51" s="15">
        <f>IF(11295.76692="","-",11295.76692/1485793.22823*100)</f>
        <v>0.7602516087286556</v>
      </c>
      <c r="G51" s="15">
        <f>IF(OR(920807.43432="",8540.1133="",13085.88209=""),"-",(13085.88209-8540.1133)/920807.43432*100)</f>
        <v>0.49367203397493942</v>
      </c>
      <c r="H51" s="15">
        <f>IF(OR(1290763.45346="",11295.76692="",13085.88209=""),"-",(11295.76692-13085.88209)/1290763.45346*100)</f>
        <v>-0.13868653975300005</v>
      </c>
    </row>
    <row r="52" spans="1:8" s="2" customFormat="1" x14ac:dyDescent="0.3">
      <c r="A52" s="13" t="s">
        <v>247</v>
      </c>
      <c r="B52" s="14" t="s">
        <v>156</v>
      </c>
      <c r="C52" s="10">
        <v>14163.686439999999</v>
      </c>
      <c r="D52" s="10">
        <f>IF(OR(15389.36305="",14163.68644=""),"-",14163.68644/15389.36305*100)</f>
        <v>92.035559847293342</v>
      </c>
      <c r="E52" s="15">
        <f>IF(15389.36305="","-",15389.36305/1290763.45346*100)</f>
        <v>1.1922682664083428</v>
      </c>
      <c r="F52" s="15">
        <f>IF(14163.68644="","-",14163.68644/1485793.22823*100)</f>
        <v>0.95327439719677254</v>
      </c>
      <c r="G52" s="15">
        <f>IF(OR(920807.43432="",13309.98354="",15389.36305=""),"-",(15389.36305-13309.98354)/920807.43432*100)</f>
        <v>0.22582132077762659</v>
      </c>
      <c r="H52" s="15">
        <f>IF(OR(1290763.45346="",14163.68644="",15389.36305=""),"-",(14163.68644-15389.36305)/1290763.45346*100)</f>
        <v>-9.4957492537805527E-2</v>
      </c>
    </row>
    <row r="53" spans="1:8" s="2" customFormat="1" ht="26.4" x14ac:dyDescent="0.3">
      <c r="A53" s="13" t="s">
        <v>248</v>
      </c>
      <c r="B53" s="14" t="s">
        <v>157</v>
      </c>
      <c r="C53" s="10">
        <v>18369.873589999999</v>
      </c>
      <c r="D53" s="10">
        <f>IF(OR(19797.71984="",18369.87359=""),"-",18369.87359/19797.71984*100)</f>
        <v>92.787824751842734</v>
      </c>
      <c r="E53" s="15">
        <f>IF(19797.71984="","-",19797.71984/1290763.45346*100)</f>
        <v>1.5337992245543168</v>
      </c>
      <c r="F53" s="15">
        <f>IF(18369.87359="","-",18369.87359/1485793.22823*100)</f>
        <v>1.2363681056672815</v>
      </c>
      <c r="G53" s="15">
        <f>IF(OR(920807.43432="",14275.35664="",19797.71984=""),"-",(19797.71984-14275.35664)/920807.43432*100)</f>
        <v>0.59973051847460035</v>
      </c>
      <c r="H53" s="15">
        <f>IF(OR(1290763.45346="",18369.87359="",19797.71984=""),"-",(18369.87359-19797.71984)/1290763.45346*100)</f>
        <v>-0.11062028802973468</v>
      </c>
    </row>
    <row r="54" spans="1:8" s="2" customFormat="1" ht="27.75" customHeight="1" x14ac:dyDescent="0.3">
      <c r="A54" s="13" t="s">
        <v>249</v>
      </c>
      <c r="B54" s="14" t="s">
        <v>158</v>
      </c>
      <c r="C54" s="10">
        <v>47310.462189999998</v>
      </c>
      <c r="D54" s="10">
        <f>IF(OR(48209.46496="",47310.46219=""),"-",47310.46219/48209.46496*100)</f>
        <v>98.135215209822562</v>
      </c>
      <c r="E54" s="15">
        <f>IF(48209.46496="","-",48209.46496/1290763.45346*100)</f>
        <v>3.7349573874880382</v>
      </c>
      <c r="F54" s="15">
        <f>IF(47310.46219="","-",47310.46219/1485793.22823*100)</f>
        <v>3.1841888421015443</v>
      </c>
      <c r="G54" s="15">
        <f>IF(OR(920807.43432="",42307.4063="",48209.46496=""),"-",(48209.46496-42307.4063)/920807.43432*100)</f>
        <v>0.64096557434492929</v>
      </c>
      <c r="H54" s="15">
        <f>IF(OR(1290763.45346="",47310.46219="",48209.46496=""),"-",(47310.46219-48209.46496)/1290763.45346*100)</f>
        <v>-6.9648917281485354E-2</v>
      </c>
    </row>
    <row r="55" spans="1:8" s="2" customFormat="1" x14ac:dyDescent="0.3">
      <c r="A55" s="13" t="s">
        <v>250</v>
      </c>
      <c r="B55" s="14" t="s">
        <v>28</v>
      </c>
      <c r="C55" s="10">
        <v>24644.867490000001</v>
      </c>
      <c r="D55" s="10">
        <f>IF(OR(22563.14416="",24644.86749=""),"-",24644.86749/22563.14416*100)</f>
        <v>109.2262111842129</v>
      </c>
      <c r="E55" s="15">
        <f>IF(22563.14416="","-",22563.14416/1290763.45346*100)</f>
        <v>1.748046406141853</v>
      </c>
      <c r="F55" s="15">
        <f>IF(24644.86749="","-",24644.86749/1485793.22823*100)</f>
        <v>1.6587010239210074</v>
      </c>
      <c r="G55" s="15">
        <f>IF(OR(920807.43432="",18059.6039="",22563.14416=""),"-",(22563.14416-18059.6039)/920807.43432*100)</f>
        <v>0.48908600127949514</v>
      </c>
      <c r="H55" s="15">
        <f>IF(OR(1290763.45346="",24644.86749="",22563.14416=""),"-",(24644.86749-22563.14416)/1290763.45346*100)</f>
        <v>0.16127845302869137</v>
      </c>
    </row>
    <row r="56" spans="1:8" s="2" customFormat="1" x14ac:dyDescent="0.3">
      <c r="A56" s="13" t="s">
        <v>251</v>
      </c>
      <c r="B56" s="14" t="s">
        <v>159</v>
      </c>
      <c r="C56" s="10">
        <v>18269.238600000001</v>
      </c>
      <c r="D56" s="10">
        <f>IF(OR(23195.58638="",18269.2386=""),"-",18269.2386/23195.58638*100)</f>
        <v>78.761701906153746</v>
      </c>
      <c r="E56" s="15">
        <f>IF(23195.58638="","-",23195.58638/1290763.45346*100)</f>
        <v>1.7970439368903948</v>
      </c>
      <c r="F56" s="15">
        <f>IF(18269.2386="","-",18269.2386/1485793.22823*100)</f>
        <v>1.2295949566120874</v>
      </c>
      <c r="G56" s="15">
        <f>IF(OR(920807.43432="",17882.27478="",23195.58638=""),"-",(23195.58638-17882.27478)/920807.43432*100)</f>
        <v>0.57702744373733117</v>
      </c>
      <c r="H56" s="15">
        <f>IF(OR(1290763.45346="",18269.2386="",23195.58638=""),"-",(18269.2386-23195.58638)/1290763.45346*100)</f>
        <v>-0.38166154819417225</v>
      </c>
    </row>
    <row r="57" spans="1:8" s="2" customFormat="1" x14ac:dyDescent="0.3">
      <c r="A57" s="13" t="s">
        <v>252</v>
      </c>
      <c r="B57" s="14" t="s">
        <v>29</v>
      </c>
      <c r="C57" s="10">
        <v>5086.2045200000002</v>
      </c>
      <c r="D57" s="10">
        <f>IF(OR(4961.9813="",5086.20452=""),"-",5086.20452/4961.9813*100)</f>
        <v>102.50350036587199</v>
      </c>
      <c r="E57" s="15">
        <f>IF(4961.9813="","-",4961.9813/1290763.45346*100)</f>
        <v>0.38442220274357725</v>
      </c>
      <c r="F57" s="15">
        <f>IF(5086.20452="","-",5086.20452/1485793.22823*100)</f>
        <v>0.34232249975046047</v>
      </c>
      <c r="G57" s="15">
        <f>IF(OR(920807.43432="",9606.00653="",4961.9813=""),"-",(4961.9813-9606.00653)/920807.43432*100)</f>
        <v>-0.504342716718999</v>
      </c>
      <c r="H57" s="15">
        <f>IF(OR(1290763.45346="",5086.20452="",4961.9813=""),"-",(5086.20452-4961.9813)/1290763.45346*100)</f>
        <v>9.6240112521786287E-3</v>
      </c>
    </row>
    <row r="58" spans="1:8" s="2" customFormat="1" x14ac:dyDescent="0.3">
      <c r="A58" s="13" t="s">
        <v>253</v>
      </c>
      <c r="B58" s="14" t="s">
        <v>30</v>
      </c>
      <c r="C58" s="10">
        <v>26625.762139999999</v>
      </c>
      <c r="D58" s="10">
        <f>IF(OR(28830.53699="",26625.76214=""),"-",26625.76214/28830.53699*100)</f>
        <v>92.352640359197139</v>
      </c>
      <c r="E58" s="15">
        <f>IF(28830.53699="","-",28830.53699/1290763.45346*100)</f>
        <v>2.2336034470698189</v>
      </c>
      <c r="F58" s="15">
        <f>IF(26625.76214="","-",26625.76214/1485793.22823*100)</f>
        <v>1.7920233875152878</v>
      </c>
      <c r="G58" s="15">
        <f>IF(OR(920807.43432="",25957.16116="",28830.53699=""),"-",(28830.53699-25957.16116)/920807.43432*100)</f>
        <v>0.31204959070752269</v>
      </c>
      <c r="H58" s="15">
        <f>IF(OR(1290763.45346="",26625.76214="",28830.53699=""),"-",(26625.76214-28830.53699)/1290763.45346*100)</f>
        <v>-0.17081168854679896</v>
      </c>
    </row>
    <row r="59" spans="1:8" s="2" customFormat="1" ht="26.4" x14ac:dyDescent="0.3">
      <c r="A59" s="11" t="s">
        <v>254</v>
      </c>
      <c r="B59" s="12" t="s">
        <v>160</v>
      </c>
      <c r="C59" s="9">
        <v>292415.86549</v>
      </c>
      <c r="D59" s="9">
        <f>IF(277027.11344="","-",292415.86549/277027.11344*100)</f>
        <v>105.55496242187607</v>
      </c>
      <c r="E59" s="17">
        <f>IF(277027.11344="","-",277027.11344/1290763.45346*100)</f>
        <v>21.462268140409886</v>
      </c>
      <c r="F59" s="17">
        <f>IF(292415.86549="","-",292415.86549/1485793.22823*100)</f>
        <v>19.680791373531161</v>
      </c>
      <c r="G59" s="17">
        <f>IF(920807.43432="","-",(277027.11344-235965.07437)/920807.43432*100)</f>
        <v>4.459351384399235</v>
      </c>
      <c r="H59" s="17">
        <f>IF(1290763.45346="","-",(292415.86549-277027.11344)/1290763.45346*100)</f>
        <v>1.1922209300820508</v>
      </c>
    </row>
    <row r="60" spans="1:8" s="2" customFormat="1" ht="26.4" x14ac:dyDescent="0.3">
      <c r="A60" s="13" t="s">
        <v>255</v>
      </c>
      <c r="B60" s="14" t="s">
        <v>161</v>
      </c>
      <c r="C60" s="10">
        <v>6556.4524799999999</v>
      </c>
      <c r="D60" s="10" t="s">
        <v>101</v>
      </c>
      <c r="E60" s="15">
        <f>IF(3411.59451="","-",3411.59451/1290763.45346*100)</f>
        <v>0.26430826661964546</v>
      </c>
      <c r="F60" s="15">
        <f>IF(6556.45248="","-",6556.45248/1485793.22823*100)</f>
        <v>0.44127623921200593</v>
      </c>
      <c r="G60" s="15">
        <f>IF(OR(920807.43432="",3152.60971="",3411.59451=""),"-",(3411.59451-3152.60971)/920807.43432*100)</f>
        <v>2.8125837210605863E-2</v>
      </c>
      <c r="H60" s="15">
        <f>IF(OR(1290763.45346="",6556.45248="",3411.59451=""),"-",(6556.45248-3411.59451)/1290763.45346*100)</f>
        <v>0.24364324552031152</v>
      </c>
    </row>
    <row r="61" spans="1:8" s="2" customFormat="1" ht="26.4" x14ac:dyDescent="0.3">
      <c r="A61" s="13" t="s">
        <v>256</v>
      </c>
      <c r="B61" s="14" t="s">
        <v>162</v>
      </c>
      <c r="C61" s="10">
        <v>30918.717209999999</v>
      </c>
      <c r="D61" s="10">
        <f>IF(OR(40787.02995="",30918.71721=""),"-",30918.71721/40787.02995*100)</f>
        <v>75.805267625278518</v>
      </c>
      <c r="E61" s="15">
        <f>IF(40787.02995="","-",40787.02995/1290763.45346*100)</f>
        <v>3.1599151525918199</v>
      </c>
      <c r="F61" s="15">
        <f>IF(30918.71721="","-",30918.71721/1485793.22823*100)</f>
        <v>2.0809569341511227</v>
      </c>
      <c r="G61" s="15">
        <f>IF(OR(920807.43432="",23825.70222="",40787.02995=""),"-",(40787.02995-23825.70222)/920807.43432*100)</f>
        <v>1.8420059501936619</v>
      </c>
      <c r="H61" s="15">
        <f>IF(OR(1290763.45346="",30918.71721="",40787.02995=""),"-",(30918.71721-40787.02995)/1290763.45346*100)</f>
        <v>-0.76453301443786281</v>
      </c>
    </row>
    <row r="62" spans="1:8" s="2" customFormat="1" ht="26.4" x14ac:dyDescent="0.3">
      <c r="A62" s="13" t="s">
        <v>257</v>
      </c>
      <c r="B62" s="14" t="s">
        <v>163</v>
      </c>
      <c r="C62" s="10">
        <v>1868.8679199999999</v>
      </c>
      <c r="D62" s="10">
        <f>IF(OR(2196.56996="",1868.86792=""),"-",1868.86792/2196.56996*100)</f>
        <v>85.081192679153276</v>
      </c>
      <c r="E62" s="15">
        <f>IF(2196.56996="","-",2196.56996/1290763.45346*100)</f>
        <v>0.17017602676244895</v>
      </c>
      <c r="F62" s="15">
        <f>IF(1868.86792="","-",1868.86792/1485793.22823*100)</f>
        <v>0.12578250354703463</v>
      </c>
      <c r="G62" s="15">
        <f>IF(OR(920807.43432="",1928.22985="",2196.56996=""),"-",(2196.56996-1928.22985)/920807.43432*100)</f>
        <v>2.9141827052923858E-2</v>
      </c>
      <c r="H62" s="15">
        <f>IF(OR(1290763.45346="",1868.86792="",2196.56996=""),"-",(1868.86792-2196.56996)/1290763.45346*100)</f>
        <v>-2.5388233538962312E-2</v>
      </c>
    </row>
    <row r="63" spans="1:8" s="2" customFormat="1" ht="39.6" x14ac:dyDescent="0.3">
      <c r="A63" s="13" t="s">
        <v>258</v>
      </c>
      <c r="B63" s="14" t="s">
        <v>164</v>
      </c>
      <c r="C63" s="10">
        <v>28924.87082</v>
      </c>
      <c r="D63" s="10">
        <f>IF(OR(33179.46257="",28924.87082=""),"-",28924.87082/33179.46257*100)</f>
        <v>87.17703235540985</v>
      </c>
      <c r="E63" s="15">
        <f>IF(33179.46257="","-",33179.46257/1290763.45346*100)</f>
        <v>2.5705300596371599</v>
      </c>
      <c r="F63" s="15">
        <f>IF(28924.87082="","-",28924.87082/1485793.22823*100)</f>
        <v>1.9467628651436044</v>
      </c>
      <c r="G63" s="15">
        <f>IF(OR(920807.43432="",32880.32511="",33179.46257=""),"-",(33179.46257-32880.32511)/920807.43432*100)</f>
        <v>3.2486429719251031E-2</v>
      </c>
      <c r="H63" s="15">
        <f>IF(OR(1290763.45346="",28924.87082="",33179.46257=""),"-",(28924.87082-33179.46257)/1290763.45346*100)</f>
        <v>-0.32961823784173716</v>
      </c>
    </row>
    <row r="64" spans="1:8" s="2" customFormat="1" ht="26.4" x14ac:dyDescent="0.3">
      <c r="A64" s="13" t="s">
        <v>259</v>
      </c>
      <c r="B64" s="14" t="s">
        <v>165</v>
      </c>
      <c r="C64" s="10">
        <v>14709.971949999999</v>
      </c>
      <c r="D64" s="10">
        <f>IF(OR(13605.11706="",14709.97195=""),"-",14709.97195/13605.11706*100)</f>
        <v>108.12087749871957</v>
      </c>
      <c r="E64" s="15">
        <f>IF(13605.11706="","-",13605.11706/1290763.45346*100)</f>
        <v>1.0540364327429894</v>
      </c>
      <c r="F64" s="15">
        <f>IF(14709.97195="","-",14709.97195/1485793.22823*100)</f>
        <v>0.99004166061005239</v>
      </c>
      <c r="G64" s="15">
        <f>IF(OR(920807.43432="",11571.73309="",13605.11706=""),"-",(13605.11706-11571.73309)/920807.43432*100)</f>
        <v>0.22082618951720551</v>
      </c>
      <c r="H64" s="15">
        <f>IF(OR(1290763.45346="",14709.97195="",13605.11706=""),"-",(14709.97195-13605.11706)/1290763.45346*100)</f>
        <v>8.5597007494931945E-2</v>
      </c>
    </row>
    <row r="65" spans="1:8" s="2" customFormat="1" ht="52.8" x14ac:dyDescent="0.3">
      <c r="A65" s="13" t="s">
        <v>260</v>
      </c>
      <c r="B65" s="14" t="s">
        <v>166</v>
      </c>
      <c r="C65" s="10">
        <v>30260.953239999999</v>
      </c>
      <c r="D65" s="10">
        <f>IF(OR(29871.23222="",30260.95324=""),"-",30260.95324/29871.23222*100)</f>
        <v>101.30467004886079</v>
      </c>
      <c r="E65" s="15">
        <f>IF(29871.23222="","-",29871.23222/1290763.45346*100)</f>
        <v>2.3142297792773459</v>
      </c>
      <c r="F65" s="15">
        <f>IF(30260.95324="","-",30260.95324/1485793.22823*100)</f>
        <v>2.0366867115183553</v>
      </c>
      <c r="G65" s="15">
        <f>IF(OR(920807.43432="",26186.62129="",29871.23222=""),"-",(29871.23222-26186.62129)/920807.43432*100)</f>
        <v>0.40014999799833528</v>
      </c>
      <c r="H65" s="15">
        <f>IF(OR(1290763.45346="",30260.95324="",29871.23222=""),"-",(30260.95324-29871.23222)/1290763.45346*100)</f>
        <v>3.0193062792048943E-2</v>
      </c>
    </row>
    <row r="66" spans="1:8" s="2" customFormat="1" ht="52.8" x14ac:dyDescent="0.3">
      <c r="A66" s="13" t="s">
        <v>261</v>
      </c>
      <c r="B66" s="14" t="s">
        <v>167</v>
      </c>
      <c r="C66" s="10">
        <v>95902.938829999999</v>
      </c>
      <c r="D66" s="10">
        <f>IF(OR(81142.19752="",95902.93883=""),"-",95902.93883/81142.19752*100)</f>
        <v>118.19120231043996</v>
      </c>
      <c r="E66" s="15">
        <f>IF(81142.19752="","-",81142.19752/1290763.45346*100)</f>
        <v>6.2863724025104304</v>
      </c>
      <c r="F66" s="15">
        <f>IF(95902.93883="","-",95902.93883/1485793.22823*100)</f>
        <v>6.4546625336452443</v>
      </c>
      <c r="G66" s="15">
        <f>IF(OR(920807.43432="",78126.0567="",81142.19752=""),"-",(81142.19752-78126.0567)/920807.43432*100)</f>
        <v>0.3275539170931398</v>
      </c>
      <c r="H66" s="15">
        <f>IF(OR(1290763.45346="",95902.93883="",81142.19752=""),"-",(95902.93883-81142.19752)/1290763.45346*100)</f>
        <v>1.1435667217283376</v>
      </c>
    </row>
    <row r="67" spans="1:8" s="2" customFormat="1" ht="26.4" x14ac:dyDescent="0.3">
      <c r="A67" s="13" t="s">
        <v>262</v>
      </c>
      <c r="B67" s="14" t="s">
        <v>168</v>
      </c>
      <c r="C67" s="10">
        <v>81990.115590000001</v>
      </c>
      <c r="D67" s="10">
        <f>IF(OR(70754.89245="",81990.11559=""),"-",81990.11559/70754.89245*100)</f>
        <v>115.87907599172671</v>
      </c>
      <c r="E67" s="15">
        <f>IF(70754.89245="","-",70754.89245/1290763.45346*100)</f>
        <v>5.4816312206807192</v>
      </c>
      <c r="F67" s="15">
        <f>IF(81990.11559="","-",81990.11559/1485793.22823*100)</f>
        <v>5.5182722623977369</v>
      </c>
      <c r="G67" s="15">
        <f>IF(OR(920807.43432="",58178.78281="",70754.89245=""),"-",(70754.89245-58178.78281)/920807.43432*100)</f>
        <v>1.3657697767489505</v>
      </c>
      <c r="H67" s="15">
        <f>IF(OR(1290763.45346="",81990.11559="",70754.89245=""),"-",(81990.11559-70754.89245)/1290763.45346*100)</f>
        <v>0.87043238711810766</v>
      </c>
    </row>
    <row r="68" spans="1:8" s="2" customFormat="1" x14ac:dyDescent="0.3">
      <c r="A68" s="13" t="s">
        <v>263</v>
      </c>
      <c r="B68" s="14" t="s">
        <v>31</v>
      </c>
      <c r="C68" s="10">
        <v>1282.9774500000001</v>
      </c>
      <c r="D68" s="10">
        <f>IF(OR(2079.0172="",1282.97745=""),"-",1282.97745/2079.0172*100)</f>
        <v>61.710766510253023</v>
      </c>
      <c r="E68" s="15">
        <f>IF(2079.0172="","-",2079.0172/1290763.45346*100)</f>
        <v>0.161068799587331</v>
      </c>
      <c r="F68" s="15">
        <f>IF(1282.97745="","-",1282.97745/1485793.22823*100)</f>
        <v>8.634966330600316E-2</v>
      </c>
      <c r="G68" s="15">
        <f>IF(OR(920807.43432="",115.01359="",2079.0172=""),"-",(2079.0172-115.01359)/920807.43432*100)</f>
        <v>0.21329145886516238</v>
      </c>
      <c r="H68" s="15">
        <f>IF(OR(1290763.45346="",1282.97745="",2079.0172=""),"-",(1282.97745-2079.0172)/1290763.45346*100)</f>
        <v>-6.167200875312577E-2</v>
      </c>
    </row>
    <row r="69" spans="1:8" s="2" customFormat="1" x14ac:dyDescent="0.3">
      <c r="A69" s="11" t="s">
        <v>264</v>
      </c>
      <c r="B69" s="12" t="s">
        <v>32</v>
      </c>
      <c r="C69" s="9">
        <v>119413.63013000001</v>
      </c>
      <c r="D69" s="9">
        <f>IF(111537.49291="","-",119413.63013/111537.49291*100)</f>
        <v>107.06142572736084</v>
      </c>
      <c r="E69" s="17">
        <f>IF(111537.49291="","-",111537.49291/1290763.45346*100)</f>
        <v>8.6412032050500329</v>
      </c>
      <c r="F69" s="17">
        <f>IF(119413.63013="","-",119413.63013/1485793.22823*100)</f>
        <v>8.0370288315457881</v>
      </c>
      <c r="G69" s="17">
        <f>IF(920807.43432="","-",(111537.49291-103839.09165)/920807.43432*100)</f>
        <v>0.83604899059976989</v>
      </c>
      <c r="H69" s="17">
        <f>IF(1290763.45346="","-",(119413.63013-111537.49291)/1290763.45346*100)</f>
        <v>0.61019214627493179</v>
      </c>
    </row>
    <row r="70" spans="1:8" ht="39.6" x14ac:dyDescent="0.3">
      <c r="A70" s="13" t="s">
        <v>265</v>
      </c>
      <c r="B70" s="14" t="s">
        <v>194</v>
      </c>
      <c r="C70" s="10">
        <v>6667.9818599999999</v>
      </c>
      <c r="D70" s="10">
        <f>IF(OR(8266.08375="",6667.98186=""),"-",6667.98186/8266.08375*100)</f>
        <v>80.666759032050692</v>
      </c>
      <c r="E70" s="15">
        <f>IF(8266.08375="","-",8266.08375/1290763.45346*100)</f>
        <v>0.64040268012253265</v>
      </c>
      <c r="F70" s="15">
        <f>IF(6667.98186="","-",6667.98186/1485793.22823*100)</f>
        <v>0.44878262555708731</v>
      </c>
      <c r="G70" s="15">
        <f>IF(OR(920807.43432="",7917.37696="",8266.08375=""),"-",(8266.08375-7917.37696)/920807.43432*100)</f>
        <v>3.7869675787045962E-2</v>
      </c>
      <c r="H70" s="15">
        <f>IF(OR(1290763.45346="",6667.98186="",8266.08375=""),"-",(6667.98186-8266.08375)/1290763.45346*100)</f>
        <v>-0.1238105933132948</v>
      </c>
    </row>
    <row r="71" spans="1:8" x14ac:dyDescent="0.3">
      <c r="A71" s="13" t="s">
        <v>266</v>
      </c>
      <c r="B71" s="14" t="s">
        <v>169</v>
      </c>
      <c r="C71" s="10">
        <v>9512.6932899999993</v>
      </c>
      <c r="D71" s="10">
        <f>IF(OR(11411.82929="",9512.69329=""),"-",9512.69329/11411.82929*100)</f>
        <v>83.358180781198826</v>
      </c>
      <c r="E71" s="15">
        <f>IF(11411.82929="","-",11411.82929/1290763.45346*100)</f>
        <v>0.88411468882308619</v>
      </c>
      <c r="F71" s="15">
        <f>IF(9512.69329="","-",9512.69329/1485793.22823*100)</f>
        <v>0.64024341404034446</v>
      </c>
      <c r="G71" s="15">
        <f>IF(OR(920807.43432="",9805.87142="",11411.82929=""),"-",(11411.82929-9805.87142)/920807.43432*100)</f>
        <v>0.17440756993735304</v>
      </c>
      <c r="H71" s="15">
        <f>IF(OR(1290763.45346="",9512.69329="",11411.82929=""),"-",(9512.69329-11411.82929)/1290763.45346*100)</f>
        <v>-0.14713276820080445</v>
      </c>
    </row>
    <row r="72" spans="1:8" x14ac:dyDescent="0.3">
      <c r="A72" s="13" t="s">
        <v>267</v>
      </c>
      <c r="B72" s="14" t="s">
        <v>170</v>
      </c>
      <c r="C72" s="10">
        <v>2579.848</v>
      </c>
      <c r="D72" s="10">
        <f>IF(OR(2531.96911="",2579.848=""),"-",2579.848/2531.96911*100)</f>
        <v>101.89097449139102</v>
      </c>
      <c r="E72" s="15">
        <f>IF(2531.96911="","-",2531.96911/1290763.45346*100)</f>
        <v>0.19616058257714408</v>
      </c>
      <c r="F72" s="15">
        <f>IF(2579.848="","-",2579.848/1485793.22823*100)</f>
        <v>0.17363438942801809</v>
      </c>
      <c r="G72" s="15">
        <f>IF(OR(920807.43432="",1754.4071="",2531.96911=""),"-",(2531.96911-1754.4071)/920807.43432*100)</f>
        <v>8.4443498284113655E-2</v>
      </c>
      <c r="H72" s="15">
        <f>IF(OR(1290763.45346="",2579.848="",2531.96911=""),"-",(2579.848-2531.96911)/1290763.45346*100)</f>
        <v>3.7093465786977903E-3</v>
      </c>
    </row>
    <row r="73" spans="1:8" x14ac:dyDescent="0.3">
      <c r="A73" s="13" t="s">
        <v>268</v>
      </c>
      <c r="B73" s="14" t="s">
        <v>171</v>
      </c>
      <c r="C73" s="10">
        <v>28449.715489999999</v>
      </c>
      <c r="D73" s="10">
        <f>IF(OR(27287.08614="",28449.71549=""),"-",28449.71549/27287.08614*100)</f>
        <v>104.26073104337699</v>
      </c>
      <c r="E73" s="15">
        <f>IF(27287.08614="","-",27287.08614/1290763.45346*100)</f>
        <v>2.114026862695459</v>
      </c>
      <c r="F73" s="15">
        <f>IF(28449.71549="","-",28449.71549/1485793.22823*100)</f>
        <v>1.9147829556264473</v>
      </c>
      <c r="G73" s="15">
        <f>IF(OR(920807.43432="",25314.80239="",27287.08614=""),"-",(27287.08614-25314.80239)/920807.43432*100)</f>
        <v>0.21419068488043816</v>
      </c>
      <c r="H73" s="15">
        <f>IF(OR(1290763.45346="",28449.71549="",27287.08614=""),"-",(28449.71549-27287.08614)/1290763.45346*100)</f>
        <v>9.0072998804194018E-2</v>
      </c>
    </row>
    <row r="74" spans="1:8" x14ac:dyDescent="0.3">
      <c r="A74" s="13" t="s">
        <v>269</v>
      </c>
      <c r="B74" s="14" t="s">
        <v>172</v>
      </c>
      <c r="C74" s="10">
        <v>9702.4972699999998</v>
      </c>
      <c r="D74" s="10">
        <f>IF(OR(9111.58289="",9702.49727=""),"-",9702.49727/9111.58289*100)</f>
        <v>106.48530982084937</v>
      </c>
      <c r="E74" s="15">
        <f>IF(9111.58289="","-",9111.58289/1290763.45346*100)</f>
        <v>0.70590648236713205</v>
      </c>
      <c r="F74" s="15">
        <f>IF(9702.49727="","-",9702.49727/1485793.22823*100)</f>
        <v>0.65301800315501624</v>
      </c>
      <c r="G74" s="15">
        <f>IF(OR(920807.43432="",7404.03332="",9111.58289=""),"-",(9111.58289-7404.03332)/920807.43432*100)</f>
        <v>0.185440463049801</v>
      </c>
      <c r="H74" s="15">
        <f>IF(OR(1290763.45346="",9702.49727="",9111.58289=""),"-",(9702.49727-9111.58289)/1290763.45346*100)</f>
        <v>4.5780222426967887E-2</v>
      </c>
    </row>
    <row r="75" spans="1:8" ht="26.4" x14ac:dyDescent="0.3">
      <c r="A75" s="13" t="s">
        <v>270</v>
      </c>
      <c r="B75" s="14" t="s">
        <v>324</v>
      </c>
      <c r="C75" s="10">
        <v>9660.3656100000007</v>
      </c>
      <c r="D75" s="10">
        <f>IF(OR(9503.3046="",9660.36561=""),"-",9660.36561/9503.3046*100)</f>
        <v>101.65269889381428</v>
      </c>
      <c r="E75" s="15">
        <f>IF(9503.3046="","-",9503.3046/1290763.45346*100)</f>
        <v>0.73625454567415838</v>
      </c>
      <c r="F75" s="15">
        <f>IF(9660.36561="","-",9660.36561/1485793.22823*100)</f>
        <v>0.65018236901700166</v>
      </c>
      <c r="G75" s="15">
        <f>IF(OR(920807.43432="",11737.12338="",9503.3046=""),"-",(9503.3046-11737.12338)/920807.43432*100)</f>
        <v>-0.24259347793489927</v>
      </c>
      <c r="H75" s="15">
        <f>IF(OR(1290763.45346="",9660.36561="",9503.3046=""),"-",(9660.36561-9503.3046)/1290763.45346*100)</f>
        <v>1.2168070732014143E-2</v>
      </c>
    </row>
    <row r="76" spans="1:8" ht="39.6" x14ac:dyDescent="0.3">
      <c r="A76" s="13" t="s">
        <v>271</v>
      </c>
      <c r="B76" s="14" t="s">
        <v>173</v>
      </c>
      <c r="C76" s="10">
        <v>2733.0880299999999</v>
      </c>
      <c r="D76" s="10">
        <f>IF(OR(1859.98779="",2733.08803=""),"-",2733.08803/1859.98779*100)</f>
        <v>146.94118126442112</v>
      </c>
      <c r="E76" s="15">
        <f>IF(1859.98779="","-",1859.98779/1290763.45346*100)</f>
        <v>0.14409981821333306</v>
      </c>
      <c r="F76" s="15">
        <f>IF(2733.08803="","-",2733.08803/1485793.22823*100)</f>
        <v>0.18394807420517595</v>
      </c>
      <c r="G76" s="15">
        <f>IF(OR(920807.43432="",1827.53513="",1859.98779=""),"-",(1859.98779-1827.53513)/920807.43432*100)</f>
        <v>3.5243698943379664E-3</v>
      </c>
      <c r="H76" s="15">
        <f>IF(OR(1290763.45346="",2733.08803="",1859.98779=""),"-",(2733.08803-1859.98779)/1290763.45346*100)</f>
        <v>6.7642156869221953E-2</v>
      </c>
    </row>
    <row r="77" spans="1:8" x14ac:dyDescent="0.3">
      <c r="A77" s="13" t="s">
        <v>272</v>
      </c>
      <c r="B77" s="14" t="s">
        <v>33</v>
      </c>
      <c r="C77" s="10">
        <v>50107.440580000002</v>
      </c>
      <c r="D77" s="10">
        <f>IF(OR(41565.64934="",50107.44058=""),"-",50107.44058/41565.64934*100)</f>
        <v>120.55012101490243</v>
      </c>
      <c r="E77" s="15">
        <f>IF(41565.64934="","-",41565.64934/1290763.45346*100)</f>
        <v>3.2202375445771869</v>
      </c>
      <c r="F77" s="15">
        <f>IF(50107.44058="","-",50107.44058/1485793.22823*100)</f>
        <v>3.3724370005166961</v>
      </c>
      <c r="G77" s="15">
        <f>IF(OR(920807.43432="",38077.94195="",41565.64934=""),"-",(41565.64934-38077.94195)/920807.43432*100)</f>
        <v>0.37876620670157962</v>
      </c>
      <c r="H77" s="15">
        <f>IF(OR(1290763.45346="",50107.44058="",41565.64934=""),"-",(50107.44058-41565.64934)/1290763.45346*100)</f>
        <v>0.66176271237793483</v>
      </c>
    </row>
    <row r="78" spans="1:8" ht="26.4" x14ac:dyDescent="0.3">
      <c r="A78" s="66" t="s">
        <v>275</v>
      </c>
      <c r="B78" s="63" t="s">
        <v>174</v>
      </c>
      <c r="C78" s="64">
        <v>2922.7293399999999</v>
      </c>
      <c r="D78" s="64" t="s">
        <v>389</v>
      </c>
      <c r="E78" s="65">
        <f>IF(210.25641="","-",210.25641/1290763.45346*100)</f>
        <v>1.6289306103019107E-2</v>
      </c>
      <c r="F78" s="65">
        <f>IF(2922.72934="","-",2922.72934/1485793.22823*100)</f>
        <v>0.19671171495927445</v>
      </c>
      <c r="G78" s="65">
        <f>IF(920807.43432="","-",(210.25641-43.89758)/920807.43432*100)</f>
        <v>1.8066625420205588E-2</v>
      </c>
      <c r="H78" s="65">
        <f>IF(1290763.45346="","-",(2922.72934-210.25641)/1290763.45346*100)</f>
        <v>0.210144850532372</v>
      </c>
    </row>
    <row r="79" spans="1:8" x14ac:dyDescent="0.3">
      <c r="A79" s="20" t="s">
        <v>278</v>
      </c>
      <c r="B79" s="21"/>
    </row>
    <row r="80" spans="1:8" x14ac:dyDescent="0.3">
      <c r="A80" s="21" t="s">
        <v>331</v>
      </c>
      <c r="B80" s="21"/>
    </row>
  </sheetData>
  <mergeCells count="8">
    <mergeCell ref="B1:H1"/>
    <mergeCell ref="B2:H2"/>
    <mergeCell ref="A4:A5"/>
    <mergeCell ref="B4:B5"/>
    <mergeCell ref="C4:D4"/>
    <mergeCell ref="E4:F4"/>
    <mergeCell ref="G4:H4"/>
    <mergeCell ref="A3:H3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E82"/>
  <sheetViews>
    <sheetView zoomScale="99" zoomScaleNormal="99" workbookViewId="0">
      <selection activeCell="B1" sqref="B1:E1"/>
    </sheetView>
  </sheetViews>
  <sheetFormatPr defaultRowHeight="15.6" x14ac:dyDescent="0.3"/>
  <cols>
    <col min="1" max="1" width="7" customWidth="1"/>
    <col min="2" max="2" width="39" customWidth="1"/>
    <col min="3" max="3" width="13.19921875" customWidth="1"/>
    <col min="4" max="4" width="12.69921875" customWidth="1"/>
    <col min="5" max="5" width="13.59765625" customWidth="1"/>
  </cols>
  <sheetData>
    <row r="1" spans="1:5" ht="16.2" x14ac:dyDescent="0.35">
      <c r="B1" s="88" t="s">
        <v>129</v>
      </c>
      <c r="C1" s="88"/>
      <c r="D1" s="88"/>
      <c r="E1" s="88"/>
    </row>
    <row r="2" spans="1:5" ht="16.2" x14ac:dyDescent="0.35">
      <c r="B2" s="88" t="s">
        <v>277</v>
      </c>
      <c r="C2" s="88"/>
      <c r="D2" s="88"/>
      <c r="E2" s="88"/>
    </row>
    <row r="3" spans="1:5" x14ac:dyDescent="0.3">
      <c r="A3" s="98"/>
      <c r="B3" s="98"/>
      <c r="C3" s="98"/>
      <c r="D3" s="98"/>
      <c r="E3" s="98"/>
    </row>
    <row r="4" spans="1:5" ht="81.75" customHeight="1" x14ac:dyDescent="0.3">
      <c r="A4" s="46" t="s">
        <v>276</v>
      </c>
      <c r="B4" s="48"/>
      <c r="C4" s="46" t="s">
        <v>340</v>
      </c>
      <c r="D4" s="46" t="s">
        <v>341</v>
      </c>
      <c r="E4" s="47" t="s">
        <v>344</v>
      </c>
    </row>
    <row r="5" spans="1:5" s="38" customFormat="1" ht="15.75" customHeight="1" x14ac:dyDescent="0.25">
      <c r="A5" s="25"/>
      <c r="B5" s="60" t="s">
        <v>282</v>
      </c>
      <c r="C5" s="57">
        <v>-623941.91590999998</v>
      </c>
      <c r="D5" s="57">
        <v>-798326.79674000002</v>
      </c>
      <c r="E5" s="57">
        <f>IF(-623941.91591="","-",-798326.79674/-623941.91591*100)</f>
        <v>127.94889658529594</v>
      </c>
    </row>
    <row r="6" spans="1:5" x14ac:dyDescent="0.3">
      <c r="A6" s="25"/>
      <c r="B6" s="34" t="s">
        <v>119</v>
      </c>
      <c r="C6" s="76"/>
      <c r="D6" s="76"/>
      <c r="E6" s="17"/>
    </row>
    <row r="7" spans="1:5" x14ac:dyDescent="0.3">
      <c r="A7" s="11" t="s">
        <v>204</v>
      </c>
      <c r="B7" s="12" t="s">
        <v>175</v>
      </c>
      <c r="C7" s="53">
        <v>72427.115619999997</v>
      </c>
      <c r="D7" s="17">
        <v>1276.7321300000001</v>
      </c>
      <c r="E7" s="17">
        <f>IF(72427.11562="","-",1276.73213/72427.11562*100)</f>
        <v>1.7627819623503602</v>
      </c>
    </row>
    <row r="8" spans="1:5" x14ac:dyDescent="0.3">
      <c r="A8" s="13" t="s">
        <v>205</v>
      </c>
      <c r="B8" s="14" t="s">
        <v>21</v>
      </c>
      <c r="C8" s="54">
        <v>-531.06564000000003</v>
      </c>
      <c r="D8" s="15">
        <v>-179.35404</v>
      </c>
      <c r="E8" s="15">
        <f>IF(OR(-531.06564="",-179.35404="",-531.06564=0,-179.35404=0),"-",-179.35404/-531.06564*100)</f>
        <v>33.772480554381183</v>
      </c>
    </row>
    <row r="9" spans="1:5" x14ac:dyDescent="0.3">
      <c r="A9" s="13" t="s">
        <v>206</v>
      </c>
      <c r="B9" s="14" t="s">
        <v>176</v>
      </c>
      <c r="C9" s="54">
        <v>-21247.89112</v>
      </c>
      <c r="D9" s="15">
        <v>-10746.18153</v>
      </c>
      <c r="E9" s="15">
        <f>IF(OR(-21247.89112="",-10746.18153="",-21247.89112=0,-10746.18153=0),"-",-10746.18153/-21247.89112*100)</f>
        <v>50.575285186231703</v>
      </c>
    </row>
    <row r="10" spans="1:5" x14ac:dyDescent="0.3">
      <c r="A10" s="13" t="s">
        <v>207</v>
      </c>
      <c r="B10" s="14" t="s">
        <v>177</v>
      </c>
      <c r="C10" s="54">
        <v>-17238.068780000001</v>
      </c>
      <c r="D10" s="15">
        <v>-18568.54739</v>
      </c>
      <c r="E10" s="15">
        <f>IF(OR(-17238.06878="",-18568.54739="",-17238.06878=0,-18568.54739=0),"-",-18568.54739/-17238.06878*100)</f>
        <v>107.71825792657035</v>
      </c>
    </row>
    <row r="11" spans="1:5" x14ac:dyDescent="0.3">
      <c r="A11" s="13" t="s">
        <v>208</v>
      </c>
      <c r="B11" s="14" t="s">
        <v>178</v>
      </c>
      <c r="C11" s="54">
        <v>-12832.783380000001</v>
      </c>
      <c r="D11" s="15">
        <v>-13400.65278</v>
      </c>
      <c r="E11" s="15">
        <f>IF(OR(-12832.78338="",-13400.65278="",-12832.78338=0,-13400.65278=0),"-",-13400.65278/-12832.78338*100)</f>
        <v>104.42514599665907</v>
      </c>
    </row>
    <row r="12" spans="1:5" x14ac:dyDescent="0.3">
      <c r="A12" s="13" t="s">
        <v>209</v>
      </c>
      <c r="B12" s="14" t="s">
        <v>179</v>
      </c>
      <c r="C12" s="54">
        <v>106410.63347</v>
      </c>
      <c r="D12" s="15">
        <v>42651.579400000002</v>
      </c>
      <c r="E12" s="15">
        <f>IF(OR(106410.63347="",42651.5794="",106410.63347=0,42651.5794=0),"-",42651.5794/106410.63347*100)</f>
        <v>40.082065118073587</v>
      </c>
    </row>
    <row r="13" spans="1:5" x14ac:dyDescent="0.3">
      <c r="A13" s="13" t="s">
        <v>210</v>
      </c>
      <c r="B13" s="14" t="s">
        <v>180</v>
      </c>
      <c r="C13" s="54">
        <v>31844.903409999999</v>
      </c>
      <c r="D13" s="15">
        <v>22061.098030000001</v>
      </c>
      <c r="E13" s="15">
        <f>IF(OR(31844.90341="",22061.09803="",31844.90341=0,22061.09803=0),"-",22061.09803/31844.90341*100)</f>
        <v>69.276699464167109</v>
      </c>
    </row>
    <row r="14" spans="1:5" x14ac:dyDescent="0.3">
      <c r="A14" s="13" t="s">
        <v>211</v>
      </c>
      <c r="B14" s="14" t="s">
        <v>138</v>
      </c>
      <c r="C14" s="54">
        <v>4140.4323700000004</v>
      </c>
      <c r="D14" s="15">
        <v>-419.39532000000003</v>
      </c>
      <c r="E14" s="15" t="s">
        <v>20</v>
      </c>
    </row>
    <row r="15" spans="1:5" ht="17.25" customHeight="1" x14ac:dyDescent="0.3">
      <c r="A15" s="13" t="s">
        <v>212</v>
      </c>
      <c r="B15" s="14" t="s">
        <v>181</v>
      </c>
      <c r="C15" s="54">
        <v>-7463.2495900000004</v>
      </c>
      <c r="D15" s="15">
        <v>-9723.4684799999995</v>
      </c>
      <c r="E15" s="15">
        <f>IF(OR(-7463.24959="",-9723.46848="",-7463.24959=0,-9723.46848=0),"-",-9723.46848/-7463.24959*100)</f>
        <v>130.28464829889199</v>
      </c>
    </row>
    <row r="16" spans="1:5" ht="15.75" customHeight="1" x14ac:dyDescent="0.3">
      <c r="A16" s="13" t="s">
        <v>213</v>
      </c>
      <c r="B16" s="14" t="s">
        <v>139</v>
      </c>
      <c r="C16" s="54">
        <v>3833.1314600000001</v>
      </c>
      <c r="D16" s="15">
        <v>4400.1587399999999</v>
      </c>
      <c r="E16" s="15">
        <f>IF(OR(3833.13146="",4400.15874="",3833.13146=0,4400.15874=0),"-",4400.15874/3833.13146*100)</f>
        <v>114.79279502717603</v>
      </c>
    </row>
    <row r="17" spans="1:5" x14ac:dyDescent="0.3">
      <c r="A17" s="13" t="s">
        <v>214</v>
      </c>
      <c r="B17" s="14" t="s">
        <v>182</v>
      </c>
      <c r="C17" s="54">
        <v>-14488.926579999999</v>
      </c>
      <c r="D17" s="15">
        <v>-14798.504499999999</v>
      </c>
      <c r="E17" s="15">
        <f>IF(OR(-14488.92658="",-14798.5045="",-14488.92658=0,-14798.5045=0),"-",-14798.5045/-14488.92658*100)</f>
        <v>102.13665186506866</v>
      </c>
    </row>
    <row r="18" spans="1:5" x14ac:dyDescent="0.3">
      <c r="A18" s="11" t="s">
        <v>215</v>
      </c>
      <c r="B18" s="12" t="s">
        <v>183</v>
      </c>
      <c r="C18" s="53">
        <v>11458.764939999999</v>
      </c>
      <c r="D18" s="17">
        <v>16001.704379999999</v>
      </c>
      <c r="E18" s="17">
        <f>IF(11458.76494="","-",16001.70438/11458.76494*100)</f>
        <v>139.64597811184353</v>
      </c>
    </row>
    <row r="19" spans="1:5" x14ac:dyDescent="0.3">
      <c r="A19" s="13" t="s">
        <v>216</v>
      </c>
      <c r="B19" s="14" t="s">
        <v>184</v>
      </c>
      <c r="C19" s="54">
        <v>14052.677830000001</v>
      </c>
      <c r="D19" s="15">
        <v>19815.275259999999</v>
      </c>
      <c r="E19" s="15">
        <f>IF(OR(14052.67783="",19815.27526="",14052.67783=0,19815.27526=0),"-",19815.27526/14052.67783*100)</f>
        <v>141.007112663594</v>
      </c>
    </row>
    <row r="20" spans="1:5" x14ac:dyDescent="0.3">
      <c r="A20" s="13" t="s">
        <v>217</v>
      </c>
      <c r="B20" s="14" t="s">
        <v>185</v>
      </c>
      <c r="C20" s="54">
        <v>-2593.9128900000001</v>
      </c>
      <c r="D20" s="15">
        <v>-3813.5708800000002</v>
      </c>
      <c r="E20" s="15">
        <f>IF(OR(-2593.91289="",-3813.57088="",-2593.91289=0,-3813.57088=0),"-",-3813.57088/-2593.91289*100)</f>
        <v>147.02000574892088</v>
      </c>
    </row>
    <row r="21" spans="1:5" ht="16.5" customHeight="1" x14ac:dyDescent="0.3">
      <c r="A21" s="11" t="s">
        <v>218</v>
      </c>
      <c r="B21" s="12" t="s">
        <v>22</v>
      </c>
      <c r="C21" s="53">
        <v>52683.867819999999</v>
      </c>
      <c r="D21" s="17">
        <v>-12125.09816</v>
      </c>
      <c r="E21" s="17" t="s">
        <v>20</v>
      </c>
    </row>
    <row r="22" spans="1:5" x14ac:dyDescent="0.3">
      <c r="A22" s="13" t="s">
        <v>219</v>
      </c>
      <c r="B22" s="14" t="s">
        <v>192</v>
      </c>
      <c r="C22" s="54">
        <v>240.81062</v>
      </c>
      <c r="D22" s="15">
        <v>106.0626</v>
      </c>
      <c r="E22" s="15">
        <f>IF(OR(240.81062="",106.0626="",240.81062=0,106.0626=0),"-",106.0626/240.81062*100)</f>
        <v>44.043987761004892</v>
      </c>
    </row>
    <row r="23" spans="1:5" x14ac:dyDescent="0.3">
      <c r="A23" s="13" t="s">
        <v>220</v>
      </c>
      <c r="B23" s="14" t="s">
        <v>186</v>
      </c>
      <c r="C23" s="54">
        <v>56689.912779999999</v>
      </c>
      <c r="D23" s="15">
        <v>-5570.4234699999997</v>
      </c>
      <c r="E23" s="15" t="s">
        <v>20</v>
      </c>
    </row>
    <row r="24" spans="1:5" ht="17.25" customHeight="1" x14ac:dyDescent="0.3">
      <c r="A24" s="13" t="s">
        <v>273</v>
      </c>
      <c r="B24" s="14" t="s">
        <v>187</v>
      </c>
      <c r="C24" s="54">
        <v>-396.28354999999999</v>
      </c>
      <c r="D24" s="15">
        <v>-719.45484999999996</v>
      </c>
      <c r="E24" s="15" t="s">
        <v>196</v>
      </c>
    </row>
    <row r="25" spans="1:5" x14ac:dyDescent="0.3">
      <c r="A25" s="13" t="s">
        <v>221</v>
      </c>
      <c r="B25" s="14" t="s">
        <v>188</v>
      </c>
      <c r="C25" s="54">
        <v>-7301.7768699999997</v>
      </c>
      <c r="D25" s="15">
        <v>-5721.5400499999996</v>
      </c>
      <c r="E25" s="15">
        <f>IF(OR(-7301.77687="",-5721.54005="",-7301.77687=0,-5721.54005=0),"-",-5721.54005/-7301.77687*100)</f>
        <v>78.358188039235444</v>
      </c>
    </row>
    <row r="26" spans="1:5" x14ac:dyDescent="0.3">
      <c r="A26" s="13" t="s">
        <v>222</v>
      </c>
      <c r="B26" s="14" t="s">
        <v>140</v>
      </c>
      <c r="C26" s="54">
        <v>734.46006</v>
      </c>
      <c r="D26" s="15">
        <v>529.68435999999997</v>
      </c>
      <c r="E26" s="15">
        <f>IF(OR(734.46006="",529.68436="",734.46006=0,529.68436=0),"-",529.68436/734.46006*100)</f>
        <v>72.118878731132085</v>
      </c>
    </row>
    <row r="27" spans="1:5" ht="28.5" customHeight="1" x14ac:dyDescent="0.3">
      <c r="A27" s="13" t="s">
        <v>223</v>
      </c>
      <c r="B27" s="14" t="s">
        <v>141</v>
      </c>
      <c r="C27" s="54">
        <v>-1037.28069</v>
      </c>
      <c r="D27" s="15">
        <v>-1220.4785099999999</v>
      </c>
      <c r="E27" s="15">
        <f>IF(OR(-1037.28069="",-1220.47851="",-1037.28069=0,-1220.47851=0),"-",-1220.47851/-1037.28069*100)</f>
        <v>117.66135451726186</v>
      </c>
    </row>
    <row r="28" spans="1:5" ht="26.4" x14ac:dyDescent="0.3">
      <c r="A28" s="13" t="s">
        <v>224</v>
      </c>
      <c r="B28" s="14" t="s">
        <v>142</v>
      </c>
      <c r="C28" s="54">
        <v>-1501.6877500000001</v>
      </c>
      <c r="D28" s="15">
        <v>269.16174000000001</v>
      </c>
      <c r="E28" s="15" t="s">
        <v>20</v>
      </c>
    </row>
    <row r="29" spans="1:5" x14ac:dyDescent="0.3">
      <c r="A29" s="13" t="s">
        <v>225</v>
      </c>
      <c r="B29" s="14" t="s">
        <v>143</v>
      </c>
      <c r="C29" s="54">
        <v>11750.25338</v>
      </c>
      <c r="D29" s="15">
        <v>6986.6391999999996</v>
      </c>
      <c r="E29" s="15">
        <f>IF(OR(11750.25338="",6986.6392="",11750.25338=0,6986.6392=0),"-",6986.6392/11750.25338*100)</f>
        <v>59.459476949594084</v>
      </c>
    </row>
    <row r="30" spans="1:5" x14ac:dyDescent="0.3">
      <c r="A30" s="13" t="s">
        <v>226</v>
      </c>
      <c r="B30" s="14" t="s">
        <v>144</v>
      </c>
      <c r="C30" s="54">
        <v>-6494.5401599999996</v>
      </c>
      <c r="D30" s="15">
        <v>-6784.7491799999998</v>
      </c>
      <c r="E30" s="15">
        <f>IF(OR(-6494.54016="",-6784.74918="",-6494.54016=0,-6784.74918=0),"-",-6784.74918/-6494.54016*100)</f>
        <v>104.46850759022792</v>
      </c>
    </row>
    <row r="31" spans="1:5" ht="15.75" customHeight="1" x14ac:dyDescent="0.3">
      <c r="A31" s="11" t="s">
        <v>227</v>
      </c>
      <c r="B31" s="12" t="s">
        <v>145</v>
      </c>
      <c r="C31" s="53">
        <v>-347170.80676000001</v>
      </c>
      <c r="D31" s="17">
        <v>-393047.95828000002</v>
      </c>
      <c r="E31" s="17">
        <f>IF(-347170.80676="","-",-393047.95828/-347170.80676*100)</f>
        <v>113.21457640639554</v>
      </c>
    </row>
    <row r="32" spans="1:5" x14ac:dyDescent="0.3">
      <c r="A32" s="13" t="s">
        <v>228</v>
      </c>
      <c r="B32" s="14" t="s">
        <v>189</v>
      </c>
      <c r="C32" s="54">
        <v>-3402.9361600000002</v>
      </c>
      <c r="D32" s="15">
        <v>-4511.1681699999999</v>
      </c>
      <c r="E32" s="15">
        <f>IF(OR(-3402.93616="",-4511.16817="",-3402.93616=0,-4511.16817=0),"-",-4511.16817/-3402.93616*100)</f>
        <v>132.56693507879382</v>
      </c>
    </row>
    <row r="33" spans="1:5" x14ac:dyDescent="0.3">
      <c r="A33" s="13" t="s">
        <v>229</v>
      </c>
      <c r="B33" s="14" t="s">
        <v>146</v>
      </c>
      <c r="C33" s="54">
        <v>-121170.49176999999</v>
      </c>
      <c r="D33" s="15">
        <v>-191701.67838999999</v>
      </c>
      <c r="E33" s="15">
        <f>IF(OR(-121170.49177="",-191701.67839="",-121170.49177=0,-191701.67839=0),"-",-191701.67839/-121170.49177*100)</f>
        <v>158.20822016129051</v>
      </c>
    </row>
    <row r="34" spans="1:5" x14ac:dyDescent="0.3">
      <c r="A34" s="13" t="s">
        <v>274</v>
      </c>
      <c r="B34" s="14" t="s">
        <v>190</v>
      </c>
      <c r="C34" s="54">
        <v>-222597.2389</v>
      </c>
      <c r="D34" s="15">
        <v>-189483.09599</v>
      </c>
      <c r="E34" s="15">
        <f>IF(OR(-222597.2389="",-189483.09599="",-222597.2389=0,-189483.09599=0),"-",-189483.09599/-222597.2389*100)</f>
        <v>85.123740494878177</v>
      </c>
    </row>
    <row r="35" spans="1:5" x14ac:dyDescent="0.3">
      <c r="A35" s="13" t="s">
        <v>279</v>
      </c>
      <c r="B35" s="14" t="s">
        <v>281</v>
      </c>
      <c r="C35" s="54">
        <v>-0.13993</v>
      </c>
      <c r="D35" s="15">
        <v>-7352.0157300000001</v>
      </c>
      <c r="E35" s="15" t="s">
        <v>390</v>
      </c>
    </row>
    <row r="36" spans="1:5" ht="26.4" x14ac:dyDescent="0.3">
      <c r="A36" s="11" t="s">
        <v>230</v>
      </c>
      <c r="B36" s="12" t="s">
        <v>147</v>
      </c>
      <c r="C36" s="53">
        <v>52173.239829999999</v>
      </c>
      <c r="D36" s="17">
        <v>53933.734530000002</v>
      </c>
      <c r="E36" s="17">
        <f>IF(52173.23983="","-",53933.73453/52173.23983*100)</f>
        <v>103.37432504812114</v>
      </c>
    </row>
    <row r="37" spans="1:5" x14ac:dyDescent="0.3">
      <c r="A37" s="13" t="s">
        <v>231</v>
      </c>
      <c r="B37" s="14" t="s">
        <v>193</v>
      </c>
      <c r="C37" s="54">
        <v>-231.76012</v>
      </c>
      <c r="D37" s="15">
        <v>-465.80822000000001</v>
      </c>
      <c r="E37" s="15" t="s">
        <v>18</v>
      </c>
    </row>
    <row r="38" spans="1:5" ht="14.25" customHeight="1" x14ac:dyDescent="0.3">
      <c r="A38" s="13" t="s">
        <v>232</v>
      </c>
      <c r="B38" s="14" t="s">
        <v>148</v>
      </c>
      <c r="C38" s="54">
        <v>52673.721559999998</v>
      </c>
      <c r="D38" s="15">
        <v>54568.026610000001</v>
      </c>
      <c r="E38" s="15">
        <f>IF(OR(52673.72156="",54568.02661="",52673.72156=0,54568.02661=0),"-",54568.02661/52673.72156*100)</f>
        <v>103.59630000291932</v>
      </c>
    </row>
    <row r="39" spans="1:5" ht="40.5" customHeight="1" x14ac:dyDescent="0.3">
      <c r="A39" s="13" t="s">
        <v>233</v>
      </c>
      <c r="B39" s="14" t="s">
        <v>191</v>
      </c>
      <c r="C39" s="54">
        <v>-268.72161</v>
      </c>
      <c r="D39" s="15">
        <v>-168.48385999999999</v>
      </c>
      <c r="E39" s="15">
        <f>IF(OR(-268.72161="",-168.48386="",-268.72161=0,-168.48386=0),"-",-168.48386/-268.72161*100)</f>
        <v>62.698292109815803</v>
      </c>
    </row>
    <row r="40" spans="1:5" ht="15" customHeight="1" x14ac:dyDescent="0.3">
      <c r="A40" s="11" t="s">
        <v>234</v>
      </c>
      <c r="B40" s="12" t="s">
        <v>149</v>
      </c>
      <c r="C40" s="53">
        <v>-144946.95016000001</v>
      </c>
      <c r="D40" s="17">
        <v>-159611.53305999999</v>
      </c>
      <c r="E40" s="17">
        <f>IF(-144946.95016="","-",-159611.53306/-144946.95016*100)</f>
        <v>110.11720693937504</v>
      </c>
    </row>
    <row r="41" spans="1:5" x14ac:dyDescent="0.3">
      <c r="A41" s="13" t="s">
        <v>235</v>
      </c>
      <c r="B41" s="14" t="s">
        <v>23</v>
      </c>
      <c r="C41" s="54">
        <v>4824.6320999999998</v>
      </c>
      <c r="D41" s="15">
        <v>2267.6569</v>
      </c>
      <c r="E41" s="15">
        <f>IF(OR(4824.6321="",2267.6569="",4824.6321=0,2267.6569=0),"-",2267.6569/4824.6321*100)</f>
        <v>47.001654281577245</v>
      </c>
    </row>
    <row r="42" spans="1:5" x14ac:dyDescent="0.3">
      <c r="A42" s="13" t="s">
        <v>236</v>
      </c>
      <c r="B42" s="14" t="s">
        <v>24</v>
      </c>
      <c r="C42" s="54">
        <v>-2622.28656</v>
      </c>
      <c r="D42" s="15">
        <v>-4962.5434699999996</v>
      </c>
      <c r="E42" s="15" t="s">
        <v>101</v>
      </c>
    </row>
    <row r="43" spans="1:5" x14ac:dyDescent="0.3">
      <c r="A43" s="13" t="s">
        <v>237</v>
      </c>
      <c r="B43" s="14" t="s">
        <v>150</v>
      </c>
      <c r="C43" s="54">
        <v>-5727.1698100000003</v>
      </c>
      <c r="D43" s="15">
        <v>-4392.3401100000001</v>
      </c>
      <c r="E43" s="15">
        <f>IF(OR(-5727.16981="",-4392.34011="",-5727.16981=0,-4392.34011=0),"-",-4392.34011/-5727.16981*100)</f>
        <v>76.693030863703342</v>
      </c>
    </row>
    <row r="44" spans="1:5" x14ac:dyDescent="0.3">
      <c r="A44" s="13" t="s">
        <v>238</v>
      </c>
      <c r="B44" s="14" t="s">
        <v>151</v>
      </c>
      <c r="C44" s="54">
        <v>-35084.52923</v>
      </c>
      <c r="D44" s="15">
        <v>-41943.032209999998</v>
      </c>
      <c r="E44" s="15">
        <f>IF(OR(-35084.52923="",-41943.03221="",-35084.52923=0,-41943.03221=0),"-",-41943.03221/-35084.52923*100)</f>
        <v>119.54851078387976</v>
      </c>
    </row>
    <row r="45" spans="1:5" ht="28.5" customHeight="1" x14ac:dyDescent="0.3">
      <c r="A45" s="13" t="s">
        <v>239</v>
      </c>
      <c r="B45" s="14" t="s">
        <v>152</v>
      </c>
      <c r="C45" s="54">
        <v>-18939.380499999999</v>
      </c>
      <c r="D45" s="15">
        <v>-22534.120589999999</v>
      </c>
      <c r="E45" s="15">
        <f>IF(OR(-18939.3805="",-22534.12059="",-18939.3805=0,-22534.12059=0),"-",-22534.12059/-18939.3805*100)</f>
        <v>118.98024114357911</v>
      </c>
    </row>
    <row r="46" spans="1:5" x14ac:dyDescent="0.3">
      <c r="A46" s="13" t="s">
        <v>240</v>
      </c>
      <c r="B46" s="14" t="s">
        <v>153</v>
      </c>
      <c r="C46" s="54">
        <v>-31124.871459999998</v>
      </c>
      <c r="D46" s="15">
        <v>-39169.272709999997</v>
      </c>
      <c r="E46" s="15">
        <f>IF(OR(-31124.87146="",-39169.27271="",-31124.87146=0,-39169.27271=0),"-",-39169.27271/-31124.87146*100)</f>
        <v>125.84557260047877</v>
      </c>
    </row>
    <row r="47" spans="1:5" x14ac:dyDescent="0.3">
      <c r="A47" s="13" t="s">
        <v>241</v>
      </c>
      <c r="B47" s="14" t="s">
        <v>25</v>
      </c>
      <c r="C47" s="54">
        <v>-10445.262210000001</v>
      </c>
      <c r="D47" s="15">
        <v>-6189.8245500000003</v>
      </c>
      <c r="E47" s="15">
        <f>IF(OR(-10445.26221="",-6189.82455="",-10445.26221=0,-6189.82455=0),"-",-6189.82455/-10445.26221*100)</f>
        <v>59.259637772176134</v>
      </c>
    </row>
    <row r="48" spans="1:5" x14ac:dyDescent="0.3">
      <c r="A48" s="13" t="s">
        <v>242</v>
      </c>
      <c r="B48" s="14" t="s">
        <v>26</v>
      </c>
      <c r="C48" s="54">
        <v>-19508.547600000002</v>
      </c>
      <c r="D48" s="15">
        <v>-18233.237949999999</v>
      </c>
      <c r="E48" s="15">
        <f>IF(OR(-19508.5476="",-18233.23795="",-19508.5476=0,-18233.23795=0),"-",-18233.23795/-19508.5476*100)</f>
        <v>93.462816011992601</v>
      </c>
    </row>
    <row r="49" spans="1:5" x14ac:dyDescent="0.3">
      <c r="A49" s="13" t="s">
        <v>243</v>
      </c>
      <c r="B49" s="14" t="s">
        <v>154</v>
      </c>
      <c r="C49" s="54">
        <v>-26319.534889999999</v>
      </c>
      <c r="D49" s="15">
        <v>-24454.818370000001</v>
      </c>
      <c r="E49" s="15">
        <f>IF(OR(-26319.53489="",-24454.81837="",-26319.53489=0,-24454.81837=0),"-",-24454.81837/-26319.53489*100)</f>
        <v>92.915085590253</v>
      </c>
    </row>
    <row r="50" spans="1:5" ht="26.4" x14ac:dyDescent="0.3">
      <c r="A50" s="11" t="s">
        <v>244</v>
      </c>
      <c r="B50" s="12" t="s">
        <v>307</v>
      </c>
      <c r="C50" s="53">
        <v>-138610.27556000001</v>
      </c>
      <c r="D50" s="17">
        <v>-125239.90992000001</v>
      </c>
      <c r="E50" s="17">
        <f>IF(-138610.27556="","-",-125239.90992/-138610.27556*100)</f>
        <v>90.35398668245746</v>
      </c>
    </row>
    <row r="51" spans="1:5" x14ac:dyDescent="0.3">
      <c r="A51" s="13" t="s">
        <v>245</v>
      </c>
      <c r="B51" s="14" t="s">
        <v>155</v>
      </c>
      <c r="C51" s="54">
        <v>-8126.2448999999997</v>
      </c>
      <c r="D51" s="15">
        <v>-7724.1316699999998</v>
      </c>
      <c r="E51" s="15">
        <f>IF(OR(-8126.2449="",-7724.13167="",-8126.2449=0,-7724.13167=0),"-",-7724.13167/-8126.2449*100)</f>
        <v>95.051672267470053</v>
      </c>
    </row>
    <row r="52" spans="1:5" x14ac:dyDescent="0.3">
      <c r="A52" s="13" t="s">
        <v>246</v>
      </c>
      <c r="B52" s="14" t="s">
        <v>27</v>
      </c>
      <c r="C52" s="54">
        <v>-13009.17496</v>
      </c>
      <c r="D52" s="15">
        <v>-10492.796840000001</v>
      </c>
      <c r="E52" s="15">
        <f>IF(OR(-13009.17496="",-10492.79684="",-13009.17496=0,-10492.79684=0),"-",-10492.79684/-13009.17496*100)</f>
        <v>80.656896938220598</v>
      </c>
    </row>
    <row r="53" spans="1:5" x14ac:dyDescent="0.3">
      <c r="A53" s="13" t="s">
        <v>247</v>
      </c>
      <c r="B53" s="14" t="s">
        <v>156</v>
      </c>
      <c r="C53" s="54">
        <v>-10435.528249999999</v>
      </c>
      <c r="D53" s="15">
        <v>-9565.6735700000008</v>
      </c>
      <c r="E53" s="15">
        <f>IF(OR(-10435.52825="",-9565.67357="",-10435.52825=0,-9565.67357=0),"-",-9565.67357/-10435.52825*100)</f>
        <v>91.664488283091956</v>
      </c>
    </row>
    <row r="54" spans="1:5" ht="26.4" x14ac:dyDescent="0.3">
      <c r="A54" s="13" t="s">
        <v>248</v>
      </c>
      <c r="B54" s="14" t="s">
        <v>157</v>
      </c>
      <c r="C54" s="54">
        <v>-17034.638719999999</v>
      </c>
      <c r="D54" s="15">
        <v>-15187.04701</v>
      </c>
      <c r="E54" s="15">
        <f>IF(OR(-17034.63872="",-15187.04701="",-17034.63872=0,-15187.04701=0),"-",-15187.04701/-17034.63872*100)</f>
        <v>89.153913150909489</v>
      </c>
    </row>
    <row r="55" spans="1:5" ht="26.4" x14ac:dyDescent="0.3">
      <c r="A55" s="13" t="s">
        <v>249</v>
      </c>
      <c r="B55" s="14" t="s">
        <v>158</v>
      </c>
      <c r="C55" s="54">
        <v>-32352.225020000002</v>
      </c>
      <c r="D55" s="15">
        <v>-34524.867910000001</v>
      </c>
      <c r="E55" s="15">
        <f>IF(OR(-32352.22502="",-34524.86791="",-32352.22502=0,-34524.86791=0),"-",-34524.86791/-32352.22502*100)</f>
        <v>106.71559031459779</v>
      </c>
    </row>
    <row r="56" spans="1:5" x14ac:dyDescent="0.3">
      <c r="A56" s="13" t="s">
        <v>250</v>
      </c>
      <c r="B56" s="14" t="s">
        <v>28</v>
      </c>
      <c r="C56" s="54">
        <v>-9784.5364699999991</v>
      </c>
      <c r="D56" s="15">
        <v>-4738.0130600000002</v>
      </c>
      <c r="E56" s="15">
        <f>IF(OR(-9784.53647="",-4738.01306="",-9784.53647=0,-4738.01306=0),"-",-4738.01306/-9784.53647*100)</f>
        <v>48.423479993426824</v>
      </c>
    </row>
    <row r="57" spans="1:5" x14ac:dyDescent="0.3">
      <c r="A57" s="13" t="s">
        <v>251</v>
      </c>
      <c r="B57" s="14" t="s">
        <v>159</v>
      </c>
      <c r="C57" s="54">
        <v>-20969.947370000002</v>
      </c>
      <c r="D57" s="15">
        <v>-16758.061290000001</v>
      </c>
      <c r="E57" s="15">
        <f>IF(OR(-20969.94737="",-16758.06129="",-20969.94737=0,-16758.06129=0),"-",-16758.06129/-20969.94737*100)</f>
        <v>79.91465593268201</v>
      </c>
    </row>
    <row r="58" spans="1:5" x14ac:dyDescent="0.3">
      <c r="A58" s="13" t="s">
        <v>252</v>
      </c>
      <c r="B58" s="14" t="s">
        <v>29</v>
      </c>
      <c r="C58" s="54">
        <v>-4322.8123500000002</v>
      </c>
      <c r="D58" s="15">
        <v>-4869.3569299999999</v>
      </c>
      <c r="E58" s="15">
        <f>IF(OR(-4322.81235="",-4869.35693="",-4322.81235=0,-4869.35693=0),"-",-4869.35693/-4322.81235*100)</f>
        <v>112.64326405470734</v>
      </c>
    </row>
    <row r="59" spans="1:5" x14ac:dyDescent="0.3">
      <c r="A59" s="13" t="s">
        <v>253</v>
      </c>
      <c r="B59" s="14" t="s">
        <v>30</v>
      </c>
      <c r="C59" s="54">
        <v>-22575.167519999999</v>
      </c>
      <c r="D59" s="15">
        <v>-21379.961640000001</v>
      </c>
      <c r="E59" s="15">
        <f>IF(OR(-22575.16752="",-21379.96164="",-22575.16752=0,-21379.96164=0),"-",-21379.96164/-22575.16752*100)</f>
        <v>94.705661081180764</v>
      </c>
    </row>
    <row r="60" spans="1:5" x14ac:dyDescent="0.3">
      <c r="A60" s="11" t="s">
        <v>254</v>
      </c>
      <c r="B60" s="12" t="s">
        <v>160</v>
      </c>
      <c r="C60" s="53">
        <v>-165831.11439</v>
      </c>
      <c r="D60" s="17">
        <v>-159023.85694999999</v>
      </c>
      <c r="E60" s="17">
        <f>IF(-165831.11439="","-",-159023.85695/-165831.11439*100)</f>
        <v>95.89506621538419</v>
      </c>
    </row>
    <row r="61" spans="1:5" ht="16.5" customHeight="1" x14ac:dyDescent="0.3">
      <c r="A61" s="13" t="s">
        <v>255</v>
      </c>
      <c r="B61" s="14" t="s">
        <v>161</v>
      </c>
      <c r="C61" s="54">
        <v>-3040.1519699999999</v>
      </c>
      <c r="D61" s="15">
        <v>-5459.02574</v>
      </c>
      <c r="E61" s="15" t="s">
        <v>196</v>
      </c>
    </row>
    <row r="62" spans="1:5" ht="15" customHeight="1" x14ac:dyDescent="0.3">
      <c r="A62" s="13" t="s">
        <v>256</v>
      </c>
      <c r="B62" s="14" t="s">
        <v>162</v>
      </c>
      <c r="C62" s="54">
        <v>-39290.786899999999</v>
      </c>
      <c r="D62" s="15">
        <v>-26153.078249999999</v>
      </c>
      <c r="E62" s="15">
        <f>IF(OR(-39290.7869="",-26153.07825="",-39290.7869=0,-26153.07825=0),"-",-26153.07825/-39290.7869*100)</f>
        <v>66.562877237767921</v>
      </c>
    </row>
    <row r="63" spans="1:5" x14ac:dyDescent="0.3">
      <c r="A63" s="13" t="s">
        <v>257</v>
      </c>
      <c r="B63" s="14" t="s">
        <v>163</v>
      </c>
      <c r="C63" s="54">
        <v>-1763.2242799999999</v>
      </c>
      <c r="D63" s="15">
        <v>-972.28111000000001</v>
      </c>
      <c r="E63" s="15">
        <f>IF(OR(-1763.22428="",-972.28111="",-1763.22428=0,-972.28111=0),"-",-972.28111/-1763.22428*100)</f>
        <v>55.14222558232921</v>
      </c>
    </row>
    <row r="64" spans="1:5" ht="26.4" x14ac:dyDescent="0.3">
      <c r="A64" s="13" t="s">
        <v>258</v>
      </c>
      <c r="B64" s="14" t="s">
        <v>164</v>
      </c>
      <c r="C64" s="54">
        <v>-30182.818329999998</v>
      </c>
      <c r="D64" s="15">
        <v>-23210.268929999998</v>
      </c>
      <c r="E64" s="15">
        <f>IF(OR(-30182.81833="",-23210.26893="",-30182.81833=0,-23210.26893=0),"-",-23210.26893/-30182.81833*100)</f>
        <v>76.89894520860669</v>
      </c>
    </row>
    <row r="65" spans="1:5" ht="27.75" customHeight="1" x14ac:dyDescent="0.3">
      <c r="A65" s="13" t="s">
        <v>259</v>
      </c>
      <c r="B65" s="14" t="s">
        <v>165</v>
      </c>
      <c r="C65" s="54">
        <v>-13154.97509</v>
      </c>
      <c r="D65" s="15">
        <v>-11550.04031</v>
      </c>
      <c r="E65" s="15">
        <f>IF(OR(-13154.97509="",-11550.04031="",-13154.97509=0,-11550.04031=0),"-",-11550.04031/-13154.97509*100)</f>
        <v>87.799788528523919</v>
      </c>
    </row>
    <row r="66" spans="1:5" ht="29.25" customHeight="1" x14ac:dyDescent="0.3">
      <c r="A66" s="13" t="s">
        <v>260</v>
      </c>
      <c r="B66" s="14" t="s">
        <v>166</v>
      </c>
      <c r="C66" s="54">
        <v>-29641.994589999998</v>
      </c>
      <c r="D66" s="15">
        <v>-29828.794829999999</v>
      </c>
      <c r="E66" s="15">
        <f>IF(OR(-29641.99459="",-29828.79483="",-29641.99459=0,-29828.79483=0),"-",-29828.79483/-29641.99459*100)</f>
        <v>100.63018782164887</v>
      </c>
    </row>
    <row r="67" spans="1:5" ht="15" customHeight="1" x14ac:dyDescent="0.3">
      <c r="A67" s="13" t="s">
        <v>261</v>
      </c>
      <c r="B67" s="14" t="s">
        <v>167</v>
      </c>
      <c r="C67" s="54">
        <v>10490.45549</v>
      </c>
      <c r="D67" s="15">
        <v>2470.7096299999998</v>
      </c>
      <c r="E67" s="15">
        <f>IF(OR(10490.45549="",2470.70963="",10490.45549=0,2470.70963=0),"-",2470.70963/10490.45549*100)</f>
        <v>23.55197667398901</v>
      </c>
    </row>
    <row r="68" spans="1:5" x14ac:dyDescent="0.3">
      <c r="A68" s="13" t="s">
        <v>262</v>
      </c>
      <c r="B68" s="14" t="s">
        <v>168</v>
      </c>
      <c r="C68" s="54">
        <v>-57222.974370000004</v>
      </c>
      <c r="D68" s="15">
        <v>-66496.510769999993</v>
      </c>
      <c r="E68" s="15">
        <f>IF(OR(-57222.97437="",-66496.51077="",-57222.97437=0,-66496.51077=0),"-",-66496.51077/-57222.97437*100)</f>
        <v>116.20596709992373</v>
      </c>
    </row>
    <row r="69" spans="1:5" x14ac:dyDescent="0.3">
      <c r="A69" s="13" t="s">
        <v>263</v>
      </c>
      <c r="B69" s="14" t="s">
        <v>31</v>
      </c>
      <c r="C69" s="54">
        <v>-2024.64435</v>
      </c>
      <c r="D69" s="15">
        <v>2175.43336</v>
      </c>
      <c r="E69" s="15" t="s">
        <v>20</v>
      </c>
    </row>
    <row r="70" spans="1:5" x14ac:dyDescent="0.3">
      <c r="A70" s="11" t="s">
        <v>264</v>
      </c>
      <c r="B70" s="12" t="s">
        <v>32</v>
      </c>
      <c r="C70" s="53">
        <v>-15968.646839999999</v>
      </c>
      <c r="D70" s="17">
        <v>-20469.78069</v>
      </c>
      <c r="E70" s="17">
        <f>IF(-15968.64684="","-",-20469.78069/-15968.64684*100)</f>
        <v>128.18732166287924</v>
      </c>
    </row>
    <row r="71" spans="1:5" ht="26.4" x14ac:dyDescent="0.3">
      <c r="A71" s="13" t="s">
        <v>265</v>
      </c>
      <c r="B71" s="14" t="s">
        <v>194</v>
      </c>
      <c r="C71" s="54">
        <v>-6012.1288500000001</v>
      </c>
      <c r="D71" s="15">
        <v>-4157.55656</v>
      </c>
      <c r="E71" s="15">
        <f>IF(OR(-6012.12885="",-4157.55656="",-6012.12885=0,-4157.55656=0),"-",-4157.55656/-6012.12885*100)</f>
        <v>69.1528186392745</v>
      </c>
    </row>
    <row r="72" spans="1:5" x14ac:dyDescent="0.3">
      <c r="A72" s="13" t="s">
        <v>266</v>
      </c>
      <c r="B72" s="14" t="s">
        <v>169</v>
      </c>
      <c r="C72" s="54">
        <v>14107.09888</v>
      </c>
      <c r="D72" s="15">
        <v>15265.45275</v>
      </c>
      <c r="E72" s="15">
        <f>IF(OR(14107.09888="",15265.45275="",14107.09888=0,15265.45275=0),"-",15265.45275/14107.09888*100)</f>
        <v>108.21114163764905</v>
      </c>
    </row>
    <row r="73" spans="1:5" x14ac:dyDescent="0.3">
      <c r="A73" s="13" t="s">
        <v>267</v>
      </c>
      <c r="B73" s="14" t="s">
        <v>170</v>
      </c>
      <c r="C73" s="54">
        <v>-316.74338999999998</v>
      </c>
      <c r="D73" s="15">
        <v>-665.56967999999995</v>
      </c>
      <c r="E73" s="15" t="s">
        <v>91</v>
      </c>
    </row>
    <row r="74" spans="1:5" x14ac:dyDescent="0.3">
      <c r="A74" s="13" t="s">
        <v>268</v>
      </c>
      <c r="B74" s="14" t="s">
        <v>171</v>
      </c>
      <c r="C74" s="54">
        <v>17865.056850000001</v>
      </c>
      <c r="D74" s="15">
        <v>18471.229810000001</v>
      </c>
      <c r="E74" s="15">
        <f>IF(OR(17865.05685="",18471.22981="",17865.05685=0,18471.22981=0),"-",18471.22981/17865.05685*100)</f>
        <v>103.39306482531568</v>
      </c>
    </row>
    <row r="75" spans="1:5" x14ac:dyDescent="0.3">
      <c r="A75" s="13" t="s">
        <v>269</v>
      </c>
      <c r="B75" s="14" t="s">
        <v>172</v>
      </c>
      <c r="C75" s="54">
        <v>-3659.8409299999998</v>
      </c>
      <c r="D75" s="15">
        <v>-4588.8163599999998</v>
      </c>
      <c r="E75" s="15">
        <f>IF(OR(-3659.84093="",-4588.81636="",-3659.84093=0,-4588.81636=0),"-",-4588.81636/-3659.84093*100)</f>
        <v>125.38294553692528</v>
      </c>
    </row>
    <row r="76" spans="1:5" ht="26.4" x14ac:dyDescent="0.3">
      <c r="A76" s="13" t="s">
        <v>270</v>
      </c>
      <c r="B76" s="14" t="s">
        <v>324</v>
      </c>
      <c r="C76" s="54">
        <v>-6934.2257600000003</v>
      </c>
      <c r="D76" s="15">
        <v>-6923.7933400000002</v>
      </c>
      <c r="E76" s="15">
        <f>IF(OR(-6934.22576="",-6923.79334="",-6934.22576=0,-6923.79334=0),"-",-6923.79334/-6934.22576*100)</f>
        <v>99.849551768848087</v>
      </c>
    </row>
    <row r="77" spans="1:5" ht="26.4" x14ac:dyDescent="0.3">
      <c r="A77" s="13" t="s">
        <v>271</v>
      </c>
      <c r="B77" s="14" t="s">
        <v>173</v>
      </c>
      <c r="C77" s="54">
        <v>-1365.8236300000001</v>
      </c>
      <c r="D77" s="15">
        <v>-1753.21507</v>
      </c>
      <c r="E77" s="15">
        <f>IF(OR(-1365.82363="",-1753.21507="",-1365.82363=0,-1753.21507=0),"-",-1753.21507/-1365.82363*100)</f>
        <v>128.36321114169036</v>
      </c>
    </row>
    <row r="78" spans="1:5" x14ac:dyDescent="0.3">
      <c r="A78" s="13" t="s">
        <v>272</v>
      </c>
      <c r="B78" s="14" t="s">
        <v>33</v>
      </c>
      <c r="C78" s="54">
        <v>-29652.040010000001</v>
      </c>
      <c r="D78" s="15">
        <v>-36117.512239999996</v>
      </c>
      <c r="E78" s="15">
        <f>IF(OR(-29652.04001="",-36117.51224="",-29652.04001=0,-36117.51224=0),"-",-36117.51224/-29652.04001*100)</f>
        <v>121.80447695274776</v>
      </c>
    </row>
    <row r="79" spans="1:5" x14ac:dyDescent="0.3">
      <c r="A79" s="66" t="s">
        <v>275</v>
      </c>
      <c r="B79" s="63" t="s">
        <v>174</v>
      </c>
      <c r="C79" s="67">
        <v>-157.11041</v>
      </c>
      <c r="D79" s="65">
        <v>-20.830719999999999</v>
      </c>
      <c r="E79" s="65">
        <f>IF(-157.11041="","-",-20.83072/-157.11041*100)</f>
        <v>13.258650397513442</v>
      </c>
    </row>
    <row r="80" spans="1:5" x14ac:dyDescent="0.3">
      <c r="A80" s="20" t="s">
        <v>278</v>
      </c>
      <c r="B80" s="21"/>
    </row>
    <row r="81" spans="3:5" x14ac:dyDescent="0.3">
      <c r="C81" s="15"/>
      <c r="D81" s="15"/>
      <c r="E81" s="23"/>
    </row>
    <row r="82" spans="3:5" x14ac:dyDescent="0.3">
      <c r="C82" s="15"/>
      <c r="D82" s="15"/>
      <c r="E82" s="23"/>
    </row>
  </sheetData>
  <mergeCells count="3">
    <mergeCell ref="B1:E1"/>
    <mergeCell ref="B2:E2"/>
    <mergeCell ref="A3:E3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Export_Tari</vt:lpstr>
      <vt:lpstr>Import_Tari</vt:lpstr>
      <vt:lpstr>Balanta Comerciala_Tari</vt:lpstr>
      <vt:lpstr>Export_Moduri_Transport</vt:lpstr>
      <vt:lpstr>Import_Moduri_Transport</vt:lpstr>
      <vt:lpstr>Export_Grupe_Marfuri_CSCI</vt:lpstr>
      <vt:lpstr>Import_Grupe_Marfuri_CSCI</vt:lpstr>
      <vt:lpstr>Balanta_Comerciala_Gr_Marf_CSCI</vt:lpstr>
      <vt:lpstr>'Balanta Comerciala_Tari'!Print_Titles</vt:lpstr>
      <vt:lpstr>Balanta_Comerciala_Gr_Marf_CSCI!Print_Titles</vt:lpstr>
      <vt:lpstr>Export_Grupe_Marfuri_CSCI!Print_Titles</vt:lpstr>
      <vt:lpstr>Export_Tari!Print_Titles</vt:lpstr>
      <vt:lpstr>Import_Grupe_Marfuri_CSCI!Print_Titles</vt:lpstr>
      <vt:lpstr>Import_Tari!Print_Titles</vt:lpstr>
    </vt:vector>
  </TitlesOfParts>
  <Company>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Eni</dc:creator>
  <cp:lastModifiedBy>Corina Vicol</cp:lastModifiedBy>
  <cp:lastPrinted>2023-04-13T15:10:13Z</cp:lastPrinted>
  <dcterms:created xsi:type="dcterms:W3CDTF">2016-09-01T07:59:47Z</dcterms:created>
  <dcterms:modified xsi:type="dcterms:W3CDTF">2023-04-18T05:21:08Z</dcterms:modified>
</cp:coreProperties>
</file>