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 EXT\"/>
    </mc:Choice>
  </mc:AlternateContent>
  <xr:revisionPtr revIDLastSave="0" documentId="13_ncr:1_{76F8912A-8BD9-4A9C-8477-4B31805593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4" l="1"/>
  <c r="E77" i="4"/>
  <c r="E76" i="4"/>
  <c r="E75" i="4"/>
  <c r="E74" i="4"/>
  <c r="E72" i="4"/>
  <c r="E71" i="4"/>
  <c r="E70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1" i="4"/>
  <c r="E30" i="4"/>
  <c r="E29" i="4"/>
  <c r="E27" i="4"/>
  <c r="E26" i="4"/>
  <c r="E25" i="4"/>
  <c r="E22" i="4"/>
  <c r="E20" i="4"/>
  <c r="E19" i="4"/>
  <c r="E17" i="4"/>
  <c r="E16" i="4"/>
  <c r="E15" i="4"/>
  <c r="E13" i="4"/>
  <c r="E12" i="4"/>
  <c r="E11" i="4"/>
  <c r="E10" i="4"/>
  <c r="E9" i="4"/>
  <c r="E5" i="4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H36" i="6"/>
  <c r="G36" i="6"/>
  <c r="F36" i="6"/>
  <c r="E36" i="6"/>
  <c r="D36" i="6"/>
  <c r="H35" i="6"/>
  <c r="G35" i="6"/>
  <c r="F35" i="6"/>
  <c r="E35" i="6"/>
  <c r="H34" i="6"/>
  <c r="G34" i="6"/>
  <c r="F34" i="6"/>
  <c r="E34" i="6"/>
  <c r="H33" i="6"/>
  <c r="G33" i="6"/>
  <c r="F33" i="6"/>
  <c r="E33" i="6"/>
  <c r="D33" i="6"/>
  <c r="H32" i="6"/>
  <c r="G32" i="6"/>
  <c r="F32" i="6"/>
  <c r="E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H22" i="6"/>
  <c r="G22" i="6"/>
  <c r="F22" i="6"/>
  <c r="E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D6" i="6"/>
  <c r="H78" i="5"/>
  <c r="F78" i="5"/>
  <c r="E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H64" i="5"/>
  <c r="G64" i="5"/>
  <c r="F64" i="5"/>
  <c r="E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H60" i="5"/>
  <c r="G60" i="5"/>
  <c r="F60" i="5"/>
  <c r="E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H44" i="5"/>
  <c r="G44" i="5"/>
  <c r="F44" i="5"/>
  <c r="E44" i="5"/>
  <c r="D44" i="5"/>
  <c r="H43" i="5"/>
  <c r="G43" i="5"/>
  <c r="F43" i="5"/>
  <c r="E43" i="5"/>
  <c r="D43" i="5"/>
  <c r="H42" i="5"/>
  <c r="G42" i="5"/>
  <c r="F42" i="5"/>
  <c r="E42" i="5"/>
  <c r="D42" i="5"/>
  <c r="H41" i="5"/>
  <c r="G41" i="5"/>
  <c r="F41" i="5"/>
  <c r="E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H34" i="5"/>
  <c r="G34" i="5"/>
  <c r="F34" i="5"/>
  <c r="E34" i="5"/>
  <c r="D34" i="5"/>
  <c r="H33" i="5"/>
  <c r="G33" i="5"/>
  <c r="F33" i="5"/>
  <c r="E33" i="5"/>
  <c r="H32" i="5"/>
  <c r="G32" i="5"/>
  <c r="F32" i="5"/>
  <c r="E32" i="5"/>
  <c r="D32" i="5"/>
  <c r="H31" i="5"/>
  <c r="G31" i="5"/>
  <c r="F31" i="5"/>
  <c r="E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H8" i="5"/>
  <c r="G8" i="5"/>
  <c r="F8" i="5"/>
  <c r="E8" i="5"/>
  <c r="D8" i="5"/>
  <c r="H7" i="5"/>
  <c r="G7" i="5"/>
  <c r="F7" i="5"/>
  <c r="E7" i="5"/>
  <c r="D7" i="5"/>
  <c r="H6" i="5"/>
  <c r="G6" i="5"/>
  <c r="D6" i="5"/>
  <c r="E39" i="8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6" i="7"/>
  <c r="E16" i="7"/>
  <c r="D17" i="7"/>
  <c r="E17" i="7"/>
  <c r="D18" i="7"/>
  <c r="E18" i="7"/>
  <c r="D19" i="7"/>
  <c r="E19" i="7"/>
  <c r="D20" i="7"/>
  <c r="E20" i="7"/>
  <c r="E21" i="7"/>
  <c r="D22" i="7"/>
  <c r="E22" i="7"/>
  <c r="D23" i="7"/>
  <c r="E23" i="7"/>
  <c r="D25" i="7"/>
  <c r="E25" i="7"/>
  <c r="D26" i="7"/>
  <c r="E26" i="7"/>
  <c r="D27" i="7"/>
  <c r="E27" i="7"/>
  <c r="D28" i="7"/>
  <c r="E28" i="7"/>
  <c r="D29" i="7"/>
  <c r="E29" i="7"/>
  <c r="D30" i="7"/>
  <c r="E30" i="7"/>
  <c r="E31" i="7"/>
  <c r="D32" i="7"/>
  <c r="E32" i="7"/>
  <c r="D34" i="7"/>
  <c r="E34" i="7"/>
  <c r="D35" i="7"/>
  <c r="E35" i="7"/>
  <c r="D36" i="7"/>
  <c r="E36" i="7"/>
  <c r="D37" i="7"/>
  <c r="E37" i="7"/>
  <c r="D38" i="7"/>
  <c r="E38" i="7"/>
  <c r="E39" i="7"/>
  <c r="D128" i="3" l="1"/>
  <c r="D126" i="3"/>
  <c r="D124" i="3"/>
  <c r="D123" i="3"/>
  <c r="D122" i="3"/>
  <c r="D117" i="3"/>
  <c r="D115" i="3"/>
  <c r="D114" i="3"/>
  <c r="D113" i="3"/>
  <c r="D111" i="3"/>
  <c r="D110" i="3"/>
  <c r="D109" i="3"/>
  <c r="D108" i="3"/>
  <c r="D107" i="3"/>
  <c r="D105" i="3"/>
  <c r="D104" i="3"/>
  <c r="D101" i="3"/>
  <c r="D99" i="3"/>
  <c r="D97" i="3"/>
  <c r="D95" i="3"/>
  <c r="D94" i="3"/>
  <c r="D89" i="3"/>
  <c r="D88" i="3"/>
  <c r="D87" i="3"/>
  <c r="D85" i="3"/>
  <c r="D84" i="3"/>
  <c r="D83" i="3"/>
  <c r="D82" i="3"/>
  <c r="D79" i="3"/>
  <c r="D78" i="3"/>
  <c r="D76" i="3"/>
  <c r="D74" i="3"/>
  <c r="D72" i="3"/>
  <c r="D71" i="3"/>
  <c r="D70" i="3"/>
  <c r="D66" i="3"/>
  <c r="D65" i="3"/>
  <c r="D62" i="3"/>
  <c r="D61" i="3"/>
  <c r="D60" i="3"/>
  <c r="D59" i="3"/>
  <c r="D58" i="3"/>
  <c r="D57" i="3"/>
  <c r="D56" i="3"/>
  <c r="D54" i="3"/>
  <c r="D53" i="3"/>
  <c r="D52" i="3"/>
  <c r="D50" i="3"/>
  <c r="D46" i="3"/>
  <c r="D40" i="3"/>
  <c r="D39" i="3"/>
  <c r="D36" i="3"/>
  <c r="D35" i="3"/>
  <c r="D34" i="3"/>
  <c r="D30" i="3"/>
  <c r="D29" i="3"/>
  <c r="D27" i="3"/>
  <c r="D26" i="3"/>
  <c r="D25" i="3"/>
  <c r="D24" i="3"/>
  <c r="D23" i="3"/>
  <c r="D22" i="3"/>
  <c r="D21" i="3"/>
  <c r="D19" i="3"/>
  <c r="D18" i="3"/>
  <c r="D16" i="3"/>
  <c r="D14" i="3"/>
  <c r="D12" i="3"/>
  <c r="D11" i="3"/>
  <c r="D8" i="3"/>
  <c r="D7" i="3"/>
  <c r="D4" i="3"/>
  <c r="G113" i="2" l="1"/>
  <c r="F113" i="2"/>
  <c r="E113" i="2"/>
  <c r="D113" i="2"/>
  <c r="C113" i="2"/>
  <c r="G112" i="2"/>
  <c r="F112" i="2"/>
  <c r="E112" i="2"/>
  <c r="D112" i="2"/>
  <c r="G111" i="2"/>
  <c r="F111" i="2"/>
  <c r="E111" i="2"/>
  <c r="D111" i="2"/>
  <c r="C111" i="2"/>
  <c r="G110" i="2"/>
  <c r="F110" i="2"/>
  <c r="E110" i="2"/>
  <c r="D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C82" i="2"/>
  <c r="G81" i="2"/>
  <c r="F81" i="2"/>
  <c r="E81" i="2"/>
  <c r="D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C37" i="2"/>
  <c r="G36" i="2"/>
  <c r="F36" i="2"/>
  <c r="E36" i="2"/>
  <c r="D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G14" i="2"/>
  <c r="F14" i="2"/>
  <c r="E14" i="2"/>
  <c r="D14" i="2"/>
  <c r="C14" i="2"/>
  <c r="G13" i="2"/>
  <c r="F13" i="2"/>
  <c r="E13" i="2"/>
  <c r="D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103" i="1" l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G82" i="1"/>
  <c r="F82" i="1"/>
  <c r="E82" i="1"/>
  <c r="D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C37" i="1"/>
  <c r="G36" i="1"/>
  <c r="F36" i="1"/>
  <c r="E36" i="1"/>
  <c r="D36" i="1"/>
  <c r="G35" i="1"/>
  <c r="F35" i="1"/>
  <c r="E35" i="1"/>
  <c r="D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G12" i="1"/>
  <c r="F12" i="1"/>
  <c r="E12" i="1"/>
  <c r="D12" i="1"/>
  <c r="C12" i="1"/>
  <c r="G11" i="1"/>
  <c r="F11" i="1"/>
  <c r="E11" i="1"/>
  <c r="D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<sst xmlns="http://schemas.openxmlformats.org/spreadsheetml/2006/main" count="1110" uniqueCount="408">
  <si>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</si>
  <si>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</si>
  <si>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</si>
  <si>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</si>
  <si>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</si>
  <si>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</si>
  <si>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</si>
  <si>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</si>
  <si>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</si>
  <si>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</si>
  <si>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</si>
  <si>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</si>
  <si>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</si>
  <si>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</si>
  <si>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</si>
  <si>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</si>
  <si>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</si>
  <si>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</si>
  <si>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</si>
  <si>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</si>
  <si>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</si>
  <si>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</si>
  <si>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</si>
  <si>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</si>
  <si>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</si>
  <si>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</si>
  <si>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</si>
  <si>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</si>
  <si>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</si>
  <si>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</si>
  <si>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</si>
  <si>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</si>
  <si>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</si>
  <si>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</si>
  <si>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</si>
  <si>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</si>
  <si>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</si>
  <si>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</si>
  <si>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</si>
  <si>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</si>
  <si>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</si>
  <si>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</si>
  <si>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</si>
  <si>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</si>
  <si>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</si>
  <si>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</si>
  <si>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</si>
  <si>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</si>
  <si>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</si>
  <si>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</si>
  <si>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</si>
  <si>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</si>
  <si>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</si>
  <si>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</si>
  <si>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</si>
  <si>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</si>
  <si>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</si>
  <si>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</si>
  <si>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</si>
  <si>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</si>
  <si>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</si>
  <si>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</si>
  <si>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</si>
  <si>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</si>
  <si>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</si>
  <si>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</si>
  <si>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</si>
  <si>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</si>
  <si>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</si>
  <si>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</si>
  <si>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</si>
  <si>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</si>
  <si>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</si>
  <si>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</si>
  <si>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</si>
  <si>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</si>
  <si>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</si>
  <si>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</si>
  <si>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</si>
  <si>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</si>
  <si>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</si>
  <si>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</si>
  <si>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</si>
  <si>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</si>
  <si>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</si>
  <si>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</si>
  <si>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</si>
  <si>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</si>
  <si>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</si>
  <si>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</si>
  <si>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</si>
  <si>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</si>
  <si>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</si>
  <si>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</si>
  <si>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</si>
  <si>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</si>
  <si>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</si>
  <si>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</si>
  <si>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</si>
  <si>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</si>
  <si>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</si>
  <si>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</si>
  <si>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</si>
  <si>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</si>
  <si>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</si>
  <si>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</si>
  <si>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</si>
  <si>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</si>
  <si>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</si>
  <si>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</si>
  <si>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</si>
  <si>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</si>
  <si>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</si>
  <si>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</si>
  <si>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</si>
  <si>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</si>
  <si>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</si>
  <si>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</si>
  <si>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</si>
  <si>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</si>
  <si>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</si>
  <si>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</si>
  <si>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</si>
  <si>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</si>
  <si>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</si>
  <si>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</si>
  <si>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</si>
  <si>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</si>
  <si>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</si>
  <si>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</si>
  <si>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</si>
  <si>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</si>
  <si>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</si>
  <si>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</si>
  <si>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</si>
  <si>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</si>
  <si>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</si>
  <si>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</si>
  <si>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</si>
  <si>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</si>
  <si>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</si>
  <si>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</si>
  <si>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</si>
  <si>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</si>
  <si>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</si>
  <si>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</si>
  <si>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</si>
  <si>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</si>
  <si>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</si>
  <si>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</si>
  <si>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</si>
  <si>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</si>
  <si>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</si>
  <si>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</si>
  <si>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</si>
  <si>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</si>
  <si>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</si>
  <si>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</si>
  <si>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</si>
  <si>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</si>
  <si>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</si>
  <si>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</si>
  <si>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</si>
  <si>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</si>
  <si>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</si>
  <si>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</si>
  <si>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</si>
  <si>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</si>
  <si>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</si>
  <si>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</si>
  <si>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</si>
  <si>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</si>
  <si>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</si>
  <si>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</si>
  <si>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</si>
  <si>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</si>
  <si>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</si>
  <si>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</si>
  <si>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</si>
  <si>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</si>
  <si>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</si>
  <si>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</si>
  <si>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</si>
  <si>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</si>
  <si>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</si>
  <si>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</si>
  <si>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</si>
  <si>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</si>
  <si>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</si>
  <si>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</si>
  <si>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</si>
  <si>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</si>
  <si>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</si>
  <si>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</si>
  <si>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</si>
  <si>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</si>
  <si>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</si>
  <si>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</si>
  <si>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</si>
  <si>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</si>
  <si>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</si>
  <si>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</si>
  <si>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</si>
  <si>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</si>
  <si>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</si>
  <si>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</si>
  <si>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</si>
  <si>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</si>
  <si>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</si>
  <si>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</si>
  <si>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</si>
  <si>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</si>
  <si>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</si>
  <si>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</si>
  <si>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</si>
  <si>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</si>
  <si>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</si>
  <si>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</si>
  <si>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</si>
  <si>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</si>
  <si>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</si>
  <si>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</si>
  <si>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</si>
  <si>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</si>
  <si>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</si>
  <si>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</si>
  <si>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</si>
  <si>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</si>
  <si>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</si>
  <si>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</si>
  <si>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</si>
  <si>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</si>
  <si>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</si>
  <si>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</si>
  <si>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</si>
  <si>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</si>
  <si>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</si>
  <si>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</si>
  <si>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</si>
  <si>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</si>
  <si>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</si>
  <si>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</si>
  <si>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</si>
  <si>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</si>
  <si>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</si>
  <si>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</si>
  <si>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</si>
  <si>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</si>
  <si>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</si>
  <si>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</si>
  <si>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</si>
  <si>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</si>
  <si>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</si>
  <si>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</si>
  <si>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</si>
  <si>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</si>
  <si>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</si>
  <si>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</si>
  <si>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</si>
  <si>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</si>
  <si>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</si>
  <si>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</si>
  <si>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</si>
  <si>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</si>
  <si>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</si>
  <si>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</si>
  <si>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</si>
  <si>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</si>
  <si>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</si>
  <si>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</si>
  <si>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</si>
  <si>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</si>
  <si>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</si>
  <si>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</si>
  <si>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</si>
  <si>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</si>
  <si>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</si>
  <si>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</si>
  <si>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</si>
  <si>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</si>
  <si>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</si>
  <si>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</si>
  <si>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</si>
  <si>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</si>
  <si>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</si>
  <si>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Celelalte țări ale lumii</t>
  </si>
  <si>
    <t>Malawi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</si>
  <si>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</si>
  <si>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</si>
  <si>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</si>
  <si>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</si>
  <si>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</si>
  <si>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</si>
  <si>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</si>
  <si>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</si>
  <si>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</si>
  <si>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</si>
  <si>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</si>
  <si>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Cehia</t>
  </si>
  <si>
    <t>Kârgâzstan</t>
  </si>
  <si>
    <t>Taiwan, provincie a Chinei</t>
  </si>
  <si>
    <t>Insulele Feroe</t>
  </si>
  <si>
    <t>Burkina Faso</t>
  </si>
  <si>
    <t>de 3,1 ori</t>
  </si>
  <si>
    <t>Regatul Țărilor de Jos (Netherlands)</t>
  </si>
  <si>
    <t>Țările Uniunii Europene - total</t>
  </si>
  <si>
    <t>Gaz și produse industriale obținute din gaz</t>
  </si>
  <si>
    <t>Mărfuri manufacturate, clasificate mai ales după materia primă</t>
  </si>
  <si>
    <t>de 2,6 ori</t>
  </si>
  <si>
    <t>de 2,7 ori</t>
  </si>
  <si>
    <t>de 2,5 ori</t>
  </si>
  <si>
    <t>de 3,0 ori</t>
  </si>
  <si>
    <t>de 4,0 ori</t>
  </si>
  <si>
    <t>de 2,3 ori</t>
  </si>
  <si>
    <t>de 2,9 ori</t>
  </si>
  <si>
    <t>Republica Dominicană</t>
  </si>
  <si>
    <t>Kosovo</t>
  </si>
  <si>
    <t>Expedieri postale</t>
  </si>
  <si>
    <t>Instalatii fixe de transport</t>
  </si>
  <si>
    <t>de 3,4 ori</t>
  </si>
  <si>
    <t>de 9,2 ori</t>
  </si>
  <si>
    <t>Tuvalu</t>
  </si>
  <si>
    <t>-</t>
  </si>
  <si>
    <t>Instrumente şi aparate profesionale, ştiinţifice şi de control</t>
  </si>
  <si>
    <t>Ciad</t>
  </si>
  <si>
    <t>de 3,7 ori</t>
  </si>
  <si>
    <t>de 5,3 ori</t>
  </si>
  <si>
    <t>de 4,2 ori</t>
  </si>
  <si>
    <t>de 3,6 ori</t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</si>
  <si>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anul precedent</t>
    </r>
  </si>
  <si>
    <t xml:space="preserve">      din care:</t>
  </si>
  <si>
    <t>Uganda</t>
  </si>
  <si>
    <t>Nepal</t>
  </si>
  <si>
    <t>de 6,9 ori</t>
  </si>
  <si>
    <t>de 8,9 ori</t>
  </si>
  <si>
    <t>BALANŢA COMERCIALĂ – total, mii dolari SUA</t>
  </si>
  <si>
    <t>de 14,1 ori</t>
  </si>
  <si>
    <t>de 5,8 ori</t>
  </si>
  <si>
    <t>de 3,5 ori</t>
  </si>
  <si>
    <t>Instrumente şi aparate, profesionale, ştiinţifice şi de control</t>
  </si>
  <si>
    <t>de 7,9 ori</t>
  </si>
  <si>
    <t>de 7,0 ori</t>
  </si>
  <si>
    <t>de 3,8 ori</t>
  </si>
  <si>
    <t xml:space="preserve"> Ianuarie-martie 2023</t>
  </si>
  <si>
    <t>în % faţă de  ianuarie-martie 2022 ¹</t>
  </si>
  <si>
    <t>ianuarie-martie 2022</t>
  </si>
  <si>
    <t>ianuarie-martie 2023</t>
  </si>
  <si>
    <r>
      <t xml:space="preserve">ianuarie-martie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</si>
  <si>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ianuarie-martie 2023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</si>
  <si>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ianuarie-martie     2023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</si>
  <si>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ianuarie-martie      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</si>
  <si>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ianuarie-martie   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</si>
  <si>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ianuarie-martie         2023 </t>
    </r>
    <r>
      <rPr>
        <b/>
        <vertAlign val="superscript"/>
        <sz val="10"/>
        <rFont val="Times New Roman"/>
        <family val="1"/>
        <charset val="204"/>
      </rPr>
      <t>1,2</t>
    </r>
  </si>
  <si>
    <t>Ianuarie-martie 2022</t>
  </si>
  <si>
    <t>Ianuarie-martie 2023</t>
  </si>
  <si>
    <t>Ianuarie-martie 2023
în % faţă de ianuarie-martie 
2022 ¹</t>
  </si>
  <si>
    <t>în % faţă de 
ianuarie-martie 2022 ¹</t>
  </si>
  <si>
    <r>
      <t>ianuarie-martie 2023</t>
    </r>
    <r>
      <rPr>
        <b/>
        <vertAlign val="superscript"/>
        <sz val="10"/>
        <rFont val="Times New Roman"/>
        <family val="1"/>
        <charset val="204"/>
      </rPr>
      <t xml:space="preserve"> 1,2</t>
    </r>
  </si>
  <si>
    <t>Ianuarie-martie 2023
în % faţă de ianuarie-martie
2022 ¹</t>
  </si>
  <si>
    <t>Republica Yemen</t>
  </si>
  <si>
    <t>Algeria</t>
  </si>
  <si>
    <t>Kuwait</t>
  </si>
  <si>
    <t>Togo</t>
  </si>
  <si>
    <t>Lesotho</t>
  </si>
  <si>
    <t xml:space="preserve">          din care:</t>
  </si>
  <si>
    <t xml:space="preserve">   EXPORT - total</t>
  </si>
  <si>
    <t>Coreea de Nord</t>
  </si>
  <si>
    <t>Mauritania</t>
  </si>
  <si>
    <t>Nicaragua</t>
  </si>
  <si>
    <t>Liechtenstein</t>
  </si>
  <si>
    <t>Libia</t>
  </si>
  <si>
    <t>de 6,4 ori</t>
  </si>
  <si>
    <t>de 10,2 ori</t>
  </si>
  <si>
    <t>de 6,6 ori</t>
  </si>
  <si>
    <t>de 1786,9 ori</t>
  </si>
  <si>
    <t>de 4,3 ori</t>
  </si>
  <si>
    <t>de 2,4 ori</t>
  </si>
  <si>
    <t>de 5,9 ori</t>
  </si>
  <si>
    <t>de 13,1 ori</t>
  </si>
  <si>
    <t>de 43,0 ori</t>
  </si>
  <si>
    <t>de 11,6 ori</t>
  </si>
  <si>
    <t>de 11,9 ori</t>
  </si>
  <si>
    <t>de 7,4 ori</t>
  </si>
  <si>
    <t>de 41,9 ori</t>
  </si>
  <si>
    <t>de 401,6 ori</t>
  </si>
  <si>
    <t>de 5,7 ori</t>
  </si>
  <si>
    <t>de 377,1 ori</t>
  </si>
  <si>
    <t>de 63,3 ori</t>
  </si>
  <si>
    <t>de 69,3 ori</t>
  </si>
  <si>
    <t>de 8,2 ori</t>
  </si>
  <si>
    <t>de 13,0 ori</t>
  </si>
  <si>
    <t>de 6,1 ori</t>
  </si>
  <si>
    <t>de 9,7 ori</t>
  </si>
  <si>
    <t>de 170,1 ori</t>
  </si>
  <si>
    <t>de 4,6 ori</t>
  </si>
  <si>
    <t>de 3832,8 ori</t>
  </si>
  <si>
    <t>de 23,3 ori</t>
  </si>
  <si>
    <t>de 61,4 ori</t>
  </si>
  <si>
    <t>de 3173,9 ori</t>
  </si>
  <si>
    <t>de 5,4 ori</t>
  </si>
  <si>
    <t>de 6,7 ori</t>
  </si>
  <si>
    <t>de 238,1 ori</t>
  </si>
  <si>
    <t>de 15,2 ori</t>
  </si>
  <si>
    <t>de 14,4 ori</t>
  </si>
  <si>
    <t>de 6,8 ori</t>
  </si>
  <si>
    <t>de 6,0 ori</t>
  </si>
  <si>
    <t>de 66,0 ori</t>
  </si>
  <si>
    <t>de 12794,3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</si>
</sst>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37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indexed="8"/>
      <name val="Times New Roman"/>
      <family val="2"/>
      <charset val="238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0" fillId="0" borderId="0"/>
    <xf numFmtId="0" fontId="16" fillId="0" borderId="0"/>
    <xf numFmtId="0" fontId="10" fillId="0" borderId="0"/>
  </cellStyleXfs>
  <cellXfs count="96">
    <xf numFmtId="0" fontId="0" fillId="0" borderId="0" xfId="0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4" fontId="0" fillId="0" borderId="0" xfId="0" applyNumberFormat="1"/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38" fontId="8" fillId="0" borderId="0" xfId="0" applyNumberFormat="1" applyFont="1" applyAlignment="1">
      <alignment horizontal="center" vertical="top"/>
    </xf>
    <xf numFmtId="38" fontId="8" fillId="0" borderId="0" xfId="0" applyNumberFormat="1" applyFont="1" applyAlignment="1">
      <alignment horizontal="left" vertical="top" wrapText="1"/>
    </xf>
    <xf numFmtId="38" fontId="7" fillId="0" borderId="0" xfId="0" applyNumberFormat="1" applyFont="1" applyAlignment="1">
      <alignment horizontal="center" vertical="top"/>
    </xf>
    <xf numFmtId="38" fontId="7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wrapText="1" indent="1"/>
    </xf>
    <xf numFmtId="4" fontId="8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4" fontId="7" fillId="0" borderId="3" xfId="0" applyNumberFormat="1" applyFont="1" applyBorder="1" applyAlignment="1">
      <alignment horizontal="right" vertical="top" inden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8" fontId="27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right" vertical="top" indent="1"/>
    </xf>
    <xf numFmtId="4" fontId="29" fillId="0" borderId="0" xfId="0" applyNumberFormat="1" applyFont="1" applyAlignment="1">
      <alignment horizontal="right" vertical="top" indent="1"/>
    </xf>
    <xf numFmtId="0" fontId="3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 indent="1"/>
    </xf>
    <xf numFmtId="38" fontId="7" fillId="0" borderId="0" xfId="0" applyNumberFormat="1" applyFont="1" applyAlignment="1">
      <alignment horizontal="left" vertical="top" wrapText="1" indent="1"/>
    </xf>
    <xf numFmtId="38" fontId="7" fillId="0" borderId="3" xfId="0" applyNumberFormat="1" applyFont="1" applyBorder="1" applyAlignment="1">
      <alignment horizontal="left" vertical="top" wrapText="1" indent="1"/>
    </xf>
    <xf numFmtId="4" fontId="8" fillId="0" borderId="0" xfId="0" applyNumberFormat="1" applyFont="1" applyAlignment="1">
      <alignment horizontal="right" vertical="top" wrapText="1" indent="1"/>
    </xf>
    <xf numFmtId="4" fontId="20" fillId="0" borderId="0" xfId="0" applyNumberFormat="1" applyFont="1" applyAlignment="1">
      <alignment horizontal="right" vertical="top" wrapText="1" indent="1"/>
    </xf>
    <xf numFmtId="4" fontId="22" fillId="0" borderId="0" xfId="0" applyNumberFormat="1" applyFont="1" applyAlignment="1">
      <alignment horizontal="right" vertical="top" indent="1"/>
    </xf>
    <xf numFmtId="4" fontId="7" fillId="0" borderId="0" xfId="0" applyNumberFormat="1" applyFont="1" applyAlignment="1">
      <alignment horizontal="right" vertical="top" wrapText="1" indent="1"/>
    </xf>
    <xf numFmtId="0" fontId="7" fillId="0" borderId="0" xfId="0" applyFont="1" applyAlignment="1">
      <alignment horizontal="left" vertical="top" wrapText="1"/>
    </xf>
    <xf numFmtId="4" fontId="21" fillId="0" borderId="0" xfId="0" applyNumberFormat="1" applyFont="1" applyAlignment="1">
      <alignment horizontal="right" vertical="top" indent="1"/>
    </xf>
    <xf numFmtId="49" fontId="7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 wrapText="1" indent="1"/>
    </xf>
    <xf numFmtId="0" fontId="32" fillId="0" borderId="0" xfId="0" applyFont="1"/>
    <xf numFmtId="0" fontId="33" fillId="0" borderId="0" xfId="0" applyFont="1"/>
    <xf numFmtId="4" fontId="19" fillId="0" borderId="0" xfId="0" applyNumberFormat="1" applyFont="1" applyAlignment="1">
      <alignment horizontal="right" vertical="top"/>
    </xf>
    <xf numFmtId="4" fontId="27" fillId="0" borderId="0" xfId="0" applyNumberFormat="1" applyFont="1" applyAlignment="1">
      <alignment horizontal="left"/>
    </xf>
    <xf numFmtId="4" fontId="9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top"/>
    </xf>
    <xf numFmtId="0" fontId="31" fillId="0" borderId="0" xfId="0" applyFont="1" applyAlignment="1">
      <alignment horizontal="left" vertical="top" wrapText="1" indent="1"/>
    </xf>
    <xf numFmtId="4" fontId="8" fillId="0" borderId="0" xfId="4" applyNumberFormat="1" applyFont="1" applyAlignment="1">
      <alignment horizontal="right" vertical="top" indent="1"/>
    </xf>
    <xf numFmtId="4" fontId="7" fillId="0" borderId="0" xfId="4" applyNumberFormat="1" applyFont="1" applyAlignment="1">
      <alignment horizontal="right" vertical="top" indent="1"/>
    </xf>
    <xf numFmtId="0" fontId="35" fillId="0" borderId="5" xfId="0" applyFont="1" applyBorder="1" applyAlignment="1">
      <alignment horizontal="left" vertical="top" wrapText="1" indent="1"/>
    </xf>
    <xf numFmtId="0" fontId="35" fillId="0" borderId="0" xfId="0" applyFont="1" applyAlignment="1">
      <alignment horizontal="left" vertical="top" wrapText="1" indent="1"/>
    </xf>
    <xf numFmtId="4" fontId="35" fillId="0" borderId="5" xfId="0" applyNumberFormat="1" applyFont="1" applyBorder="1" applyAlignment="1">
      <alignment horizontal="right" vertical="top" indent="1"/>
    </xf>
    <xf numFmtId="4" fontId="35" fillId="0" borderId="0" xfId="0" applyNumberFormat="1" applyFont="1" applyAlignment="1">
      <alignment horizontal="right" vertical="top" indent="1"/>
    </xf>
    <xf numFmtId="4" fontId="35" fillId="0" borderId="5" xfId="0" applyNumberFormat="1" applyFont="1" applyBorder="1" applyAlignment="1">
      <alignment horizontal="right" vertical="top" wrapText="1" indent="1"/>
    </xf>
    <xf numFmtId="0" fontId="35" fillId="0" borderId="5" xfId="0" applyFont="1" applyBorder="1" applyAlignment="1">
      <alignment horizontal="left" vertical="top" wrapText="1"/>
    </xf>
    <xf numFmtId="4" fontId="35" fillId="0" borderId="5" xfId="0" applyNumberFormat="1" applyFont="1" applyBorder="1" applyAlignment="1">
      <alignment horizontal="right" vertical="top"/>
    </xf>
    <xf numFmtId="38" fontId="8" fillId="0" borderId="3" xfId="0" applyNumberFormat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right" vertical="top"/>
    </xf>
    <xf numFmtId="4" fontId="8" fillId="0" borderId="3" xfId="0" applyNumberFormat="1" applyFont="1" applyBorder="1" applyAlignment="1">
      <alignment horizontal="right" vertical="top" indent="1"/>
    </xf>
    <xf numFmtId="38" fontId="8" fillId="0" borderId="3" xfId="0" applyNumberFormat="1" applyFont="1" applyBorder="1" applyAlignment="1">
      <alignment horizontal="center" vertical="top"/>
    </xf>
    <xf numFmtId="4" fontId="8" fillId="0" borderId="3" xfId="4" applyNumberFormat="1" applyFont="1" applyBorder="1" applyAlignment="1">
      <alignment horizontal="right" vertical="top" indent="1"/>
    </xf>
    <xf numFmtId="4" fontId="33" fillId="0" borderId="0" xfId="0" applyNumberFormat="1" applyFont="1"/>
    <xf numFmtId="4" fontId="25" fillId="0" borderId="0" xfId="0" applyNumberFormat="1" applyFont="1" applyAlignment="1">
      <alignment horizontal="right" vertical="top" indent="1"/>
    </xf>
    <xf numFmtId="4" fontId="29" fillId="0" borderId="3" xfId="0" applyNumberFormat="1" applyFont="1" applyBorder="1" applyAlignment="1">
      <alignment horizontal="right" vertical="top" indent="1"/>
    </xf>
    <xf numFmtId="0" fontId="36" fillId="0" borderId="5" xfId="0" applyFont="1" applyBorder="1" applyAlignment="1">
      <alignment horizontal="center" vertical="top"/>
    </xf>
    <xf numFmtId="4" fontId="0" fillId="0" borderId="0" xfId="0" applyNumberFormat="1" applyAlignment="1">
      <alignment horizontal="right" vertical="top" indent="1"/>
    </xf>
    <xf numFmtId="0" fontId="29" fillId="0" borderId="0" xfId="0" applyFont="1" applyAlignment="1">
      <alignment horizontal="left" vertical="top" wrapText="1" indent="1"/>
    </xf>
    <xf numFmtId="4" fontId="29" fillId="0" borderId="0" xfId="0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4" fontId="29" fillId="0" borderId="3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5"/>
  <sheetViews>
    <sheetView tabSelected="1" zoomScale="99" zoomScaleNormal="99" workbookViewId="0">
      <selection sqref="A1:G1"/>
    </sheetView>
  </sheetViews>
  <sheetFormatPr defaultRowHeight="15.75" x14ac:dyDescent="0.25"/>
  <cols>
    <col min="1" max="1" width="29.25" style="2" customWidth="1"/>
    <col min="2" max="2" width="11.625" style="2" customWidth="1"/>
    <col min="3" max="3" width="10.625" style="41" customWidth="1"/>
    <col min="4" max="4" width="9" style="2" customWidth="1"/>
    <col min="5" max="5" width="8.75" style="2" customWidth="1"/>
    <col min="6" max="6" width="9.875" style="2" customWidth="1"/>
    <col min="7" max="7" width="10" style="2" customWidth="1"/>
    <col min="9" max="9" width="9.625" customWidth="1"/>
  </cols>
  <sheetData>
    <row r="1" spans="1:7" x14ac:dyDescent="0.25">
      <c r="A1" s="75" t="s">
        <v>287</v>
      </c>
      <c r="B1" s="75"/>
      <c r="C1" s="75"/>
      <c r="D1" s="75"/>
      <c r="E1" s="75"/>
      <c r="F1" s="75"/>
      <c r="G1" s="75"/>
    </row>
    <row r="2" spans="1:7" x14ac:dyDescent="0.25">
      <c r="A2" s="84"/>
      <c r="B2" s="84"/>
      <c r="C2" s="84"/>
      <c r="D2" s="84"/>
      <c r="E2" s="84"/>
      <c r="F2" s="84"/>
      <c r="G2" s="84"/>
    </row>
    <row r="3" spans="1:7" ht="54" customHeight="1" x14ac:dyDescent="0.25">
      <c r="A3" s="76"/>
      <c r="B3" s="78" t="s">
        <v>343</v>
      </c>
      <c r="C3" s="79"/>
      <c r="D3" s="80" t="s">
        <v>104</v>
      </c>
      <c r="E3" s="81"/>
      <c r="F3" s="82" t="s">
        <v>1</v>
      </c>
      <c r="G3" s="83"/>
    </row>
    <row r="4" spans="1:7" ht="41.25" x14ac:dyDescent="0.25">
      <c r="A4" s="77"/>
      <c r="B4" s="44" t="s">
        <v>95</v>
      </c>
      <c r="C4" s="43" t="s">
        <v>344</v>
      </c>
      <c r="D4" s="44" t="s">
        <v>345</v>
      </c>
      <c r="E4" s="44" t="s">
        <v>346</v>
      </c>
      <c r="F4" s="44" t="s">
        <v>350</v>
      </c>
      <c r="G4" s="42" t="s">
        <v>349</v>
      </c>
    </row>
    <row r="5" spans="1:7" s="1" customFormat="1" ht="15.75" customHeight="1" x14ac:dyDescent="0.25">
      <c r="A5" s="57" t="s">
        <v>365</v>
      </c>
      <c r="B5" s="58">
        <v>1075156.27333</v>
      </c>
      <c r="C5" s="58">
        <f>IF(1062650.29445="","-",1075156.27333/1062650.29445*100)</f>
        <v>101.17686683430252</v>
      </c>
      <c r="D5" s="58">
        <v>100</v>
      </c>
      <c r="E5" s="58">
        <v>100</v>
      </c>
      <c r="F5" s="58">
        <f>IF(684759.39703="","-",(1062650.29445-684759.39703)/684759.39703*100)</f>
        <v>55.185938164415461</v>
      </c>
      <c r="G5" s="58">
        <f>IF(1062650.29445="","-",(1075156.27333-1062650.29445)/1062650.29445*100)</f>
        <v>1.176866834302515</v>
      </c>
    </row>
    <row r="6" spans="1:7" ht="13.5" customHeight="1" x14ac:dyDescent="0.25">
      <c r="A6" s="33" t="s">
        <v>364</v>
      </c>
      <c r="B6" s="39"/>
      <c r="C6" s="39"/>
      <c r="D6" s="39"/>
      <c r="E6" s="39"/>
      <c r="F6" s="39"/>
      <c r="G6" s="39"/>
    </row>
    <row r="7" spans="1:7" x14ac:dyDescent="0.25">
      <c r="A7" s="26" t="s">
        <v>131</v>
      </c>
      <c r="B7" s="9">
        <v>670463.00003999996</v>
      </c>
      <c r="C7" s="9">
        <f>IF(713936.396="","-",670463.00004/713936.396*100)</f>
        <v>93.910746643038493</v>
      </c>
      <c r="D7" s="9">
        <f>IF(713936.396="","-",713936.396/1062650.29445*100)</f>
        <v>67.184510250337325</v>
      </c>
      <c r="E7" s="9">
        <f>IF(670463.00004="","-",670463.00004/1075156.27333*100)</f>
        <v>62.359585919861281</v>
      </c>
      <c r="F7" s="9">
        <f>IF(684759.39703="","-",(713936.396-439720.50079)/684759.39703*100)</f>
        <v>40.045583368312101</v>
      </c>
      <c r="G7" s="9">
        <f>IF(1062650.29445="","-",(670463.00004-713936.396)/1062650.29445*100)</f>
        <v>-4.0910350457768132</v>
      </c>
    </row>
    <row r="8" spans="1:7" ht="15.75" customHeight="1" x14ac:dyDescent="0.25">
      <c r="A8" s="27" t="s">
        <v>2</v>
      </c>
      <c r="B8" s="10">
        <v>355234.72392999998</v>
      </c>
      <c r="C8" s="10">
        <f>IF(OR(337178.46233="",355234.72393=""),"-",355234.72393/337178.46233*100)</f>
        <v>105.35510526835729</v>
      </c>
      <c r="D8" s="10">
        <f>IF(337178.46233="","-",337178.46233/1062650.29445*100)</f>
        <v>31.729955197021308</v>
      </c>
      <c r="E8" s="10">
        <f>IF(355234.72393="","-",355234.72393/1075156.27333*100)</f>
        <v>33.040287513717274</v>
      </c>
      <c r="F8" s="10">
        <f>IF(OR(684759.39703="",183119.39022="",337178.46233=""),"-",(337178.46233-183119.39022)/684759.39703*100)</f>
        <v>22.49827790289536</v>
      </c>
      <c r="G8" s="10">
        <f>IF(OR(1062650.29445="",355234.72393="",337178.46233=""),"-",(355234.72393-337178.46233)/1062650.29445*100)</f>
        <v>1.6991725024030995</v>
      </c>
    </row>
    <row r="9" spans="1:7" ht="15.75" customHeight="1" x14ac:dyDescent="0.25">
      <c r="A9" s="27" t="s">
        <v>3</v>
      </c>
      <c r="B9" s="10">
        <v>64193.446479999999</v>
      </c>
      <c r="C9" s="10">
        <f>IF(OR(117770.49475="",64193.44648=""),"-",64193.44648/117770.49475*100)</f>
        <v>54.50724021858624</v>
      </c>
      <c r="D9" s="10">
        <f>IF(117770.49475="","-",117770.49475/1062650.29445*100)</f>
        <v>11.082714169006554</v>
      </c>
      <c r="E9" s="10">
        <f>IF(64193.44648="","-",64193.44648/1075156.27333*100)</f>
        <v>5.9706154419002271</v>
      </c>
      <c r="F9" s="10">
        <f>IF(OR(684759.39703="",40790.95855="",117770.49475=""),"-",(117770.49475-40790.95855)/684759.39703*100)</f>
        <v>11.241837137815496</v>
      </c>
      <c r="G9" s="10">
        <f>IF(OR(1062650.29445="",64193.44648="",117770.49475=""),"-",(64193.44648-117770.49475)/1062650.29445*100)</f>
        <v>-5.0418325341668568</v>
      </c>
    </row>
    <row r="10" spans="1:7" ht="13.5" customHeight="1" x14ac:dyDescent="0.25">
      <c r="A10" s="27" t="s">
        <v>4</v>
      </c>
      <c r="B10" s="10">
        <v>60194.463459999999</v>
      </c>
      <c r="C10" s="10">
        <f>IF(OR(63689.36088="",60194.4634599999=""),"-",60194.4634599999/63689.36088*100)</f>
        <v>94.512588332319751</v>
      </c>
      <c r="D10" s="10">
        <f>IF(63689.36088="","-",63689.36088/1062650.29445*100)</f>
        <v>5.9934449943350323</v>
      </c>
      <c r="E10" s="10">
        <f>IF(60194.4634599999="","-",60194.4634599999/1075156.27333*100)</f>
        <v>5.5986710911860422</v>
      </c>
      <c r="F10" s="10">
        <f>IF(OR(684759.39703="",71513.72548="",63689.36088=""),"-",(63689.36088-71513.72548)/684759.39703*100)</f>
        <v>-1.1426443556578458</v>
      </c>
      <c r="G10" s="10">
        <f>IF(OR(1062650.29445="",60194.4634599999="",63689.36088=""),"-",(60194.4634599999-63689.36088)/1062650.29445*100)</f>
        <v>-0.32888499991513864</v>
      </c>
    </row>
    <row r="11" spans="1:7" ht="15.75" customHeight="1" x14ac:dyDescent="0.25">
      <c r="A11" s="27" t="s">
        <v>298</v>
      </c>
      <c r="B11" s="10">
        <v>38507.579729999998</v>
      </c>
      <c r="C11" s="10" t="s">
        <v>99</v>
      </c>
      <c r="D11" s="10">
        <f>IF(23107.61261="","-",23107.61261/1062650.29445*100)</f>
        <v>2.1745265333935562</v>
      </c>
      <c r="E11" s="10">
        <f>IF(38507.57973="","-",38507.57973/1075156.27333*100)</f>
        <v>3.5815797838144396</v>
      </c>
      <c r="F11" s="10">
        <f>IF(OR(684759.39703="",20472.49198="",23107.61261=""),"-",(23107.61261-20472.49198)/684759.39703*100)</f>
        <v>0.38482431076218643</v>
      </c>
      <c r="G11" s="10">
        <f>IF(OR(1062650.29445="",38507.57973="",23107.61261=""),"-",(38507.57973-23107.61261)/1062650.29445*100)</f>
        <v>1.4492036750406792</v>
      </c>
    </row>
    <row r="12" spans="1:7" s="5" customFormat="1" x14ac:dyDescent="0.25">
      <c r="A12" s="27" t="s">
        <v>5</v>
      </c>
      <c r="B12" s="10">
        <v>28763.969539999998</v>
      </c>
      <c r="C12" s="10">
        <f>IF(OR(29818.25894="",28763.96954=""),"-",28763.96954/29818.25894*100)</f>
        <v>96.464282498446892</v>
      </c>
      <c r="D12" s="10">
        <f>IF(29818.25894="","-",29818.25894/1062650.29445*100)</f>
        <v>2.8060274481392913</v>
      </c>
      <c r="E12" s="10">
        <f>IF(28763.96954="","-",28763.96954/1075156.27333*100)</f>
        <v>2.6753291826974634</v>
      </c>
      <c r="F12" s="10">
        <f>IF(OR(684759.39703="",27728.77815="",29818.25894=""),"-",(29818.25894-27728.77815)/684759.39703*100)</f>
        <v>0.30514087124071398</v>
      </c>
      <c r="G12" s="10">
        <f>IF(OR(1062650.29445="",28763.96954="",29818.25894=""),"-",(28763.96954-29818.25894)/1062650.29445*100)</f>
        <v>-9.9213203582244724E-2</v>
      </c>
    </row>
    <row r="13" spans="1:7" s="5" customFormat="1" x14ac:dyDescent="0.25">
      <c r="A13" s="27" t="s">
        <v>38</v>
      </c>
      <c r="B13" s="10">
        <v>21091.758519999999</v>
      </c>
      <c r="C13" s="10" t="s">
        <v>196</v>
      </c>
      <c r="D13" s="10">
        <f>IF(11755.04621="","-",11755.04621/1062650.29445*100)</f>
        <v>1.1062008142654405</v>
      </c>
      <c r="E13" s="10">
        <f>IF(21091.75852="","-",21091.75852/1075156.27333*100)</f>
        <v>1.9617388693342313</v>
      </c>
      <c r="F13" s="10">
        <f>IF(OR(684759.39703="",15302.89066="",11755.04621=""),"-",(11755.04621-15302.89066)/684759.39703*100)</f>
        <v>-0.51811548193249024</v>
      </c>
      <c r="G13" s="10">
        <f>IF(OR(1062650.29445="",21091.75852="",11755.04621=""),"-",(21091.75852-11755.04621)/1062650.29445*100)</f>
        <v>0.87862510919760661</v>
      </c>
    </row>
    <row r="14" spans="1:7" s="5" customFormat="1" x14ac:dyDescent="0.25">
      <c r="A14" s="27" t="s">
        <v>45</v>
      </c>
      <c r="B14" s="10">
        <v>18337.05157</v>
      </c>
      <c r="C14" s="10" t="s">
        <v>91</v>
      </c>
      <c r="D14" s="10">
        <f>IF(8849.36634="","-",8849.36634/1062650.29445*100)</f>
        <v>0.83276374045331647</v>
      </c>
      <c r="E14" s="10">
        <f>IF(18337.05157="","-",18337.05157/1075156.27333*100)</f>
        <v>1.7055243060812026</v>
      </c>
      <c r="F14" s="10">
        <f>IF(OR(684759.39703="",1293.5791="",8849.36634=""),"-",(8849.36634-1293.5791)/684759.39703*100)</f>
        <v>1.1034222053427292</v>
      </c>
      <c r="G14" s="10">
        <f>IF(OR(1062650.29445="",18337.05157="",8849.36634=""),"-",(18337.05157-8849.36634)/1062650.29445*100)</f>
        <v>0.89283231553712383</v>
      </c>
    </row>
    <row r="15" spans="1:7" s="5" customFormat="1" x14ac:dyDescent="0.25">
      <c r="A15" s="27" t="s">
        <v>40</v>
      </c>
      <c r="B15" s="10">
        <v>14512.88421</v>
      </c>
      <c r="C15" s="10">
        <f>IF(OR(13407.78686="",14512.88421=""),"-",14512.88421/13407.78686*100)</f>
        <v>108.24220552980957</v>
      </c>
      <c r="D15" s="10">
        <f>IF(13407.78686="","-",13407.78686/1062650.29445*100)</f>
        <v>1.2617308751548899</v>
      </c>
      <c r="E15" s="10">
        <f>IF(14512.88421="","-",14512.88421/1075156.27333*100)</f>
        <v>1.3498395135667436</v>
      </c>
      <c r="F15" s="10">
        <f>IF(OR(684759.39703="",11066.79888="",13407.78686=""),"-",(13407.78686-11066.79888)/684759.39703*100)</f>
        <v>0.34187015032631068</v>
      </c>
      <c r="G15" s="10">
        <f>IF(OR(1062650.29445="",14512.88421="",13407.78686=""),"-",(14512.88421-13407.78686)/1062650.29445*100)</f>
        <v>0.10399445196333093</v>
      </c>
    </row>
    <row r="16" spans="1:7" s="5" customFormat="1" x14ac:dyDescent="0.25">
      <c r="A16" s="27" t="s">
        <v>290</v>
      </c>
      <c r="B16" s="10">
        <v>14447.26138</v>
      </c>
      <c r="C16" s="10">
        <f>IF(OR(12821.63646="",14447.26138=""),"-",14447.26138/12821.63646*100)</f>
        <v>112.67876316000304</v>
      </c>
      <c r="D16" s="10">
        <f>IF(12821.63646="","-",12821.63646/1062650.29445*100)</f>
        <v>1.2065715811650102</v>
      </c>
      <c r="E16" s="10">
        <f>IF(14447.26138="","-",14447.26138/1075156.27333*100)</f>
        <v>1.3437359515425227</v>
      </c>
      <c r="F16" s="10">
        <f>IF(OR(684759.39703="",9685.28371="",12821.63646=""),"-",(12821.63646-9685.28371)/684759.39703*100)</f>
        <v>0.45802259357129976</v>
      </c>
      <c r="G16" s="10">
        <f>IF(OR(1062650.29445="",14447.26138="",12821.63646=""),"-",(14447.26138-12821.63646)/1062650.29445*100)</f>
        <v>0.15297835313181571</v>
      </c>
    </row>
    <row r="17" spans="1:7" s="5" customFormat="1" x14ac:dyDescent="0.25">
      <c r="A17" s="27" t="s">
        <v>6</v>
      </c>
      <c r="B17" s="10">
        <v>13872.31388</v>
      </c>
      <c r="C17" s="10">
        <f>IF(OR(48735.20913="",13872.31388=""),"-",13872.31388/48735.20913*100)</f>
        <v>28.464664721138128</v>
      </c>
      <c r="D17" s="10">
        <f>IF(48735.20913="","-",48735.20913/1062650.29445*100)</f>
        <v>4.586194478516008</v>
      </c>
      <c r="E17" s="10">
        <f>IF(13872.31388="","-",13872.31388/1075156.27333*100)</f>
        <v>1.2902602369639098</v>
      </c>
      <c r="F17" s="10">
        <f>IF(OR(684759.39703="",11553.76432="",48735.20913=""),"-",(48735.20913-11553.76432)/684759.39703*100)</f>
        <v>5.4298553581399105</v>
      </c>
      <c r="G17" s="10">
        <f>IF(OR(1062650.29445="",13872.31388="",48735.20913=""),"-",(13872.31388-48735.20913)/1062650.29445*100)</f>
        <v>-3.2807495967470768</v>
      </c>
    </row>
    <row r="18" spans="1:7" s="7" customFormat="1" x14ac:dyDescent="0.25">
      <c r="A18" s="27" t="s">
        <v>8</v>
      </c>
      <c r="B18" s="10">
        <v>11708.72402</v>
      </c>
      <c r="C18" s="10">
        <f>IF(OR(15581.54153="",11708.72402=""),"-",11708.72402/15581.54153*100)</f>
        <v>75.144837225871058</v>
      </c>
      <c r="D18" s="10">
        <f>IF(15581.54153="","-",15581.54153/1062650.29445*100)</f>
        <v>1.466290614266907</v>
      </c>
      <c r="E18" s="10">
        <f>IF(11708.72402="","-",11708.72402/1075156.27333*100)</f>
        <v>1.0890253175694597</v>
      </c>
      <c r="F18" s="10">
        <f>IF(OR(684759.39703="",8663.72006="",15581.54153=""),"-",(15581.54153-8663.72006)/684759.39703*100)</f>
        <v>1.0102557920350708</v>
      </c>
      <c r="G18" s="10">
        <f>IF(OR(1062650.29445="",11708.72402="",15581.54153=""),"-",(11708.72402-15581.54153)/1062650.29445*100)</f>
        <v>-0.36444891891781483</v>
      </c>
    </row>
    <row r="19" spans="1:7" s="5" customFormat="1" x14ac:dyDescent="0.25">
      <c r="A19" s="27" t="s">
        <v>304</v>
      </c>
      <c r="B19" s="10">
        <v>9360.7940799999997</v>
      </c>
      <c r="C19" s="10">
        <f>IF(OR(11813.49126="",9360.79408=""),"-",9360.79408/11813.49126*100)</f>
        <v>79.238168243246321</v>
      </c>
      <c r="D19" s="10">
        <f>IF(11813.49126="","-",11813.49126/1062650.29445*100)</f>
        <v>1.1117007468684093</v>
      </c>
      <c r="E19" s="10">
        <f>IF(9360.79408="","-",9360.79408/1075156.27333*100)</f>
        <v>0.87064497619564851</v>
      </c>
      <c r="F19" s="10">
        <f>IF(OR(684759.39703="",9915.90351="",11813.49126=""),"-",(11813.49126-9915.90351)/684759.39703*100)</f>
        <v>0.27711744566491364</v>
      </c>
      <c r="G19" s="10">
        <f>IF(OR(1062650.29445="",9360.79408="",11813.49126=""),"-",(9360.79408-11813.49126)/1062650.29445*100)</f>
        <v>-0.23080943870339332</v>
      </c>
    </row>
    <row r="20" spans="1:7" s="5" customFormat="1" x14ac:dyDescent="0.25">
      <c r="A20" s="27" t="s">
        <v>41</v>
      </c>
      <c r="B20" s="10">
        <v>5340.8490199999997</v>
      </c>
      <c r="C20" s="10" t="s">
        <v>91</v>
      </c>
      <c r="D20" s="10">
        <f>IF(2526.09975="","-",2526.09975/1062650.29445*100)</f>
        <v>0.23771693878910966</v>
      </c>
      <c r="E20" s="10">
        <f>IF(5340.84902="","-",5340.84902/1075156.27333*100)</f>
        <v>0.49675095169729999</v>
      </c>
      <c r="F20" s="10">
        <f>IF(OR(684759.39703="",1664.05427="",2526.09975=""),"-",(2526.09975-1664.05427)/684759.39703*100)</f>
        <v>0.12589027383033236</v>
      </c>
      <c r="G20" s="10">
        <f>IF(OR(1062650.29445="",5340.84902="",2526.09975=""),"-",(5340.84902-2526.09975)/1062650.29445*100)</f>
        <v>0.26488011010779805</v>
      </c>
    </row>
    <row r="21" spans="1:7" s="5" customFormat="1" x14ac:dyDescent="0.25">
      <c r="A21" s="27" t="s">
        <v>39</v>
      </c>
      <c r="B21" s="10">
        <v>3662.1542800000002</v>
      </c>
      <c r="C21" s="10">
        <f>IF(OR(5017.42067="",3662.15428=""),"-",3662.15428/5017.42067*100)</f>
        <v>72.988782899879908</v>
      </c>
      <c r="D21" s="10">
        <f>IF(5017.42067="","-",5017.42067/1062650.29445*100)</f>
        <v>0.47216103888597583</v>
      </c>
      <c r="E21" s="10">
        <f>IF(3662.15428="","-",3662.15428/1075156.27333*100)</f>
        <v>0.34061599888707222</v>
      </c>
      <c r="F21" s="10">
        <f>IF(OR(684759.39703="",5436.71065="",5017.42067=""),"-",(5017.42067-5436.71065)/684759.39703*100)</f>
        <v>-6.1231723408044017E-2</v>
      </c>
      <c r="G21" s="10">
        <f>IF(OR(1062650.29445="",3662.15428="",5017.42067=""),"-",(3662.15428-5017.42067)/1062650.29445*100)</f>
        <v>-0.12753644327567337</v>
      </c>
    </row>
    <row r="22" spans="1:7" s="5" customFormat="1" x14ac:dyDescent="0.25">
      <c r="A22" s="27" t="s">
        <v>42</v>
      </c>
      <c r="B22" s="10">
        <v>3372.3594199999998</v>
      </c>
      <c r="C22" s="73">
        <f>IF(OR(2623.14067="",3372.35942=""),"-",3372.35942/2623.14067*100)</f>
        <v>128.5618975211116</v>
      </c>
      <c r="D22" s="10">
        <f>IF(2623.14067="","-",2623.14067/1062650.29445*100)</f>
        <v>0.24684891009771648</v>
      </c>
      <c r="E22" s="10">
        <f>IF(3372.35942="","-",3372.35942/1075156.27333*100)</f>
        <v>0.31366225577190249</v>
      </c>
      <c r="F22" s="10">
        <f>IF(OR(684759.39703="",3656.11844="",2623.14067=""),"-",(2623.14067-3656.11844)/684759.39703*100)</f>
        <v>-0.1508526607273043</v>
      </c>
      <c r="G22" s="10">
        <f>IF(OR(1062650.29445="",3372.35942="",2623.14067=""),"-",(3372.35942-2623.14067)/1062650.29445*100)</f>
        <v>7.0504732734090678E-2</v>
      </c>
    </row>
    <row r="23" spans="1:7" s="5" customFormat="1" x14ac:dyDescent="0.25">
      <c r="A23" s="27" t="s">
        <v>7</v>
      </c>
      <c r="B23" s="10">
        <v>3069.73513</v>
      </c>
      <c r="C23" s="10">
        <f>IF(OR(5412.86665="",3069.73513=""),"-",3069.73513/5412.86665*100)</f>
        <v>56.711818865886897</v>
      </c>
      <c r="D23" s="10">
        <f>IF(5412.86665="","-",5412.86665/1062650.29445*100)</f>
        <v>0.5093742201239928</v>
      </c>
      <c r="E23" s="10">
        <f>IF(3069.73513="","-",3069.73513/1075156.27333*100)</f>
        <v>0.28551525077301942</v>
      </c>
      <c r="F23" s="10">
        <f>IF(OR(684759.39703="",5574.46795="",5412.86665=""),"-",(5412.86665-5574.46795)/684759.39703*100)</f>
        <v>-2.3599719945562186E-2</v>
      </c>
      <c r="G23" s="10">
        <f>IF(OR(1062650.29445="",3069.73513="",5412.86665=""),"-",(3069.73513-5412.86665)/1062650.29445*100)</f>
        <v>-0.22049883505775</v>
      </c>
    </row>
    <row r="24" spans="1:7" s="5" customFormat="1" x14ac:dyDescent="0.25">
      <c r="A24" s="27" t="s">
        <v>43</v>
      </c>
      <c r="B24" s="10">
        <v>2009.50253</v>
      </c>
      <c r="C24" s="10" t="s">
        <v>99</v>
      </c>
      <c r="D24" s="10">
        <f>IF(1211.17102="","-",1211.17102/1062650.29445*100)</f>
        <v>0.11397644420988662</v>
      </c>
      <c r="E24" s="10">
        <f>IF(2009.50253="","-",2009.50253/1075156.27333*100)</f>
        <v>0.18690329767375305</v>
      </c>
      <c r="F24" s="10">
        <f>IF(OR(684759.39703="",1527.07805="",1211.17102=""),"-",(1211.17102-1527.07805)/684759.39703*100)</f>
        <v>-4.6134018951792477E-2</v>
      </c>
      <c r="G24" s="10">
        <f>IF(OR(1062650.29445="",2009.50253="",1211.17102=""),"-",(2009.50253-1211.17102)/1062650.29445*100)</f>
        <v>7.5126456386406554E-2</v>
      </c>
    </row>
    <row r="25" spans="1:7" s="2" customFormat="1" x14ac:dyDescent="0.25">
      <c r="A25" s="27" t="s">
        <v>44</v>
      </c>
      <c r="B25" s="10">
        <v>892.70370000000003</v>
      </c>
      <c r="C25" s="10">
        <f>IF(OR(804.33033="",892.7037=""),"-",892.7037/804.33033*100)</f>
        <v>110.9871985058676</v>
      </c>
      <c r="D25" s="10">
        <f>IF(804.33033="","-",804.33033/1062650.29445*100)</f>
        <v>7.5690971357261078E-2</v>
      </c>
      <c r="E25" s="10">
        <f>IF(892.7037="","-",892.7037/1075156.27333*100)</f>
        <v>8.3030134515710591E-2</v>
      </c>
      <c r="F25" s="10">
        <f>IF(OR(684759.39703="",716.61697="",804.33033=""),"-",(804.33033-716.61697)/684759.39703*100)</f>
        <v>1.2809369302624869E-2</v>
      </c>
      <c r="G25" s="10">
        <f>IF(OR(1062650.29445="",892.7037="",804.33033=""),"-",(892.7037-804.33033)/1062650.29445*100)</f>
        <v>8.3163172740416715E-3</v>
      </c>
    </row>
    <row r="26" spans="1:7" s="2" customFormat="1" x14ac:dyDescent="0.25">
      <c r="A26" s="27" t="s">
        <v>46</v>
      </c>
      <c r="B26" s="10">
        <v>539.94446000000005</v>
      </c>
      <c r="C26" s="10">
        <f>IF(OR(523.05552="",539.94446=""),"-",539.94446/523.05552*100)</f>
        <v>103.22890006016954</v>
      </c>
      <c r="D26" s="10">
        <f>IF(523.05552="","-",523.05552/1062650.29445*100)</f>
        <v>4.9221792223820907E-2</v>
      </c>
      <c r="E26" s="10">
        <f>IF(539.94446="","-",539.94446/1075156.27333*100)</f>
        <v>5.0220091106167389E-2</v>
      </c>
      <c r="F26" s="10">
        <f>IF(OR(684759.39703="",583.86956="",523.05552=""),"-",(523.05552-583.86956)/684759.39703*100)</f>
        <v>-8.8810814811403974E-3</v>
      </c>
      <c r="G26" s="10">
        <f>IF(OR(1062650.29445="",539.94446="",523.05552=""),"-",(539.94446-523.05552)/1062650.29445*100)</f>
        <v>1.589322478731474E-3</v>
      </c>
    </row>
    <row r="27" spans="1:7" s="5" customFormat="1" x14ac:dyDescent="0.25">
      <c r="A27" s="27" t="s">
        <v>291</v>
      </c>
      <c r="B27" s="10">
        <v>401.95907</v>
      </c>
      <c r="C27" s="10">
        <f>IF(OR(290.07741="",401.95907=""),"-",401.95907/290.07741*100)</f>
        <v>138.56958733877278</v>
      </c>
      <c r="D27" s="10">
        <f>IF(290.07741="","-",290.07741/1062650.29445*100)</f>
        <v>2.729754195853646E-2</v>
      </c>
      <c r="E27" s="10">
        <f>IF(401.95907="","-",401.95907/1075156.27333*100)</f>
        <v>3.7386106556867554E-2</v>
      </c>
      <c r="F27" s="10">
        <f>IF(OR(684759.39703="",117.0098="",290.07741=""),"-",(290.07741-117.0098)/684759.39703*100)</f>
        <v>2.527422197499507E-2</v>
      </c>
      <c r="G27" s="10">
        <f>IF(OR(1062650.29445="",401.95907="",290.07741=""),"-",(401.95907-290.07741)/1062650.29445*100)</f>
        <v>1.0528549287035867E-2</v>
      </c>
    </row>
    <row r="28" spans="1:7" s="5" customFormat="1" x14ac:dyDescent="0.25">
      <c r="A28" s="27" t="s">
        <v>49</v>
      </c>
      <c r="B28" s="10">
        <v>304.59921000000003</v>
      </c>
      <c r="C28" s="10">
        <f>IF(OR(267.20749="",304.59921=""),"-",304.59921/267.20749*100)</f>
        <v>113.99351492729491</v>
      </c>
      <c r="D28" s="10">
        <f>IF(267.20749="","-",267.20749/1062650.29445*100)</f>
        <v>2.5145383330298667E-2</v>
      </c>
      <c r="E28" s="10">
        <f>IF(304.59921="","-",304.59921/1075156.27333*100)</f>
        <v>2.8330691784608016E-2</v>
      </c>
      <c r="F28" s="10">
        <f>IF(OR(684759.39703="",8688.65692="",267.20749=""),"-",(267.20749-8688.65692)/684759.39703*100)</f>
        <v>-1.2298406515523945</v>
      </c>
      <c r="G28" s="10">
        <f>IF(OR(1062650.29445="",304.59921="",267.20749=""),"-",(304.59921-267.20749)/1062650.29445*100)</f>
        <v>3.5187229698508669E-3</v>
      </c>
    </row>
    <row r="29" spans="1:7" s="2" customFormat="1" x14ac:dyDescent="0.25">
      <c r="A29" s="27" t="s">
        <v>51</v>
      </c>
      <c r="B29" s="10">
        <v>225.31157999999999</v>
      </c>
      <c r="C29" s="10">
        <f>IF(OR(232.41665="",225.31158=""),"-",225.31158/232.41665*100)</f>
        <v>96.942959981567583</v>
      </c>
      <c r="D29" s="10">
        <f>IF(232.41665="","-",232.41665/1062650.29445*100)</f>
        <v>2.1871414444983785E-2</v>
      </c>
      <c r="E29" s="10">
        <f>IF(225.31158="","-",225.31158/1075156.27333*100)</f>
        <v>2.095617033439795E-2</v>
      </c>
      <c r="F29" s="10">
        <f>IF(OR(684759.39703="",130.33957="",232.41665=""),"-",(232.41665-130.33957)/684759.39703*100)</f>
        <v>1.4906999515850077E-2</v>
      </c>
      <c r="G29" s="10">
        <f>IF(OR(1062650.29445="",225.31158="",232.41665=""),"-",(225.31158-232.41665)/1062650.29445*100)</f>
        <v>-6.6861789218036316E-4</v>
      </c>
    </row>
    <row r="30" spans="1:7" s="2" customFormat="1" x14ac:dyDescent="0.25">
      <c r="A30" s="27" t="s">
        <v>48</v>
      </c>
      <c r="B30" s="10">
        <v>198.47745</v>
      </c>
      <c r="C30" s="10">
        <f>IF(OR(436.98122="",198.47745=""),"-",198.47745/436.98122*100)</f>
        <v>45.420132700439616</v>
      </c>
      <c r="D30" s="10">
        <f>IF(436.98122="","-",436.98122/1062650.29445*100)</f>
        <v>4.1121827404769135E-2</v>
      </c>
      <c r="E30" s="10">
        <f>IF(198.47745="","-",198.47745/1075156.27333*100)</f>
        <v>1.8460335015789923E-2</v>
      </c>
      <c r="F30" s="10">
        <f>IF(OR(684759.39703="",138.03148="",436.98122=""),"-",(436.98122-138.03148)/684759.39703*100)</f>
        <v>4.3657632344533237E-2</v>
      </c>
      <c r="G30" s="10">
        <f>IF(OR(1062650.29445="",198.47745="",436.98122=""),"-",(198.47745-436.98122)/1062650.29445*100)</f>
        <v>-2.244423882867725E-2</v>
      </c>
    </row>
    <row r="31" spans="1:7" s="2" customFormat="1" x14ac:dyDescent="0.25">
      <c r="A31" s="27" t="s">
        <v>47</v>
      </c>
      <c r="B31" s="10">
        <v>153.88484</v>
      </c>
      <c r="C31" s="10" t="s">
        <v>311</v>
      </c>
      <c r="D31" s="10">
        <f>IF(51.24018="","-",51.24018/1062650.29445*100)</f>
        <v>4.8219230980894416E-3</v>
      </c>
      <c r="E31" s="10">
        <f>IF(153.88484="","-",153.88484/1075156.27333*100)</f>
        <v>1.4312788179469405E-2</v>
      </c>
      <c r="F31" s="10">
        <f>IF(OR(684759.39703="",375.45646="",51.24018=""),"-",(51.24018-375.45646)/684759.39703*100)</f>
        <v>-4.7347474369277734E-2</v>
      </c>
      <c r="G31" s="10">
        <f>IF(OR(1062650.29445="",153.88484="",51.24018=""),"-",(153.88484-51.24018)/1062650.29445*100)</f>
        <v>9.6593075385281082E-3</v>
      </c>
    </row>
    <row r="32" spans="1:7" s="2" customFormat="1" x14ac:dyDescent="0.25">
      <c r="A32" s="27" t="s">
        <v>50</v>
      </c>
      <c r="B32" s="10">
        <v>60.82882</v>
      </c>
      <c r="C32" s="10" t="s">
        <v>371</v>
      </c>
      <c r="D32" s="10">
        <f>IF(9.5178="","-",9.5178/1062650.29445*100)</f>
        <v>8.9566624596158079E-4</v>
      </c>
      <c r="E32" s="10">
        <f>IF(60.82882="","-",60.82882/1075156.27333*100)</f>
        <v>5.6576724248280216E-3</v>
      </c>
      <c r="F32" s="10">
        <f>IF(OR(684759.39703="",1.15991="",9.5178=""),"-",(9.5178-1.15991)/684759.39703*100)</f>
        <v>1.2205586423860105E-3</v>
      </c>
      <c r="G32" s="10">
        <f>IF(OR(1062650.29445="",60.82882="",9.5178=""),"-",(60.82882-9.5178)/1062650.29445*100)</f>
        <v>4.8285894492277204E-3</v>
      </c>
    </row>
    <row r="33" spans="1:7" s="2" customFormat="1" x14ac:dyDescent="0.25">
      <c r="A33" s="27" t="s">
        <v>52</v>
      </c>
      <c r="B33" s="10">
        <v>4.0021100000000001</v>
      </c>
      <c r="C33" s="10" t="str">
        <f>IF(OR(""="",4.00211=""),"-",4.00211/""*100)</f>
        <v>-</v>
      </c>
      <c r="D33" s="10" t="str">
        <f>IF(""="","-",""/1062650.29445*100)</f>
        <v>-</v>
      </c>
      <c r="E33" s="10">
        <f>IF(4.00211="","-",4.00211/1075156.27333*100)</f>
        <v>3.7223519029513431E-4</v>
      </c>
      <c r="F33" s="10" t="str">
        <f>IF(OR(684759.39703="",3.64614="",""=""),"-",(""-3.64614)/684759.39703*100)</f>
        <v>-</v>
      </c>
      <c r="G33" s="10" t="str">
        <f>IF(OR(1062650.29445="",4.00211="",""=""),"-",(4.00211-"")/1062650.29445*100)</f>
        <v>-</v>
      </c>
    </row>
    <row r="34" spans="1:7" s="6" customFormat="1" ht="14.25" customHeight="1" x14ac:dyDescent="0.2">
      <c r="A34" s="27" t="s">
        <v>53</v>
      </c>
      <c r="B34" s="10">
        <v>1.7176199999999999</v>
      </c>
      <c r="C34" s="10">
        <f>IF(OR(2.60334="",1.71762=""),"-",1.71762/2.60334*100)</f>
        <v>65.977551914079598</v>
      </c>
      <c r="D34" s="10">
        <f>IF(2.60334="","-",2.60334/1062650.29445*100)</f>
        <v>2.4498558120170864E-4</v>
      </c>
      <c r="E34" s="10">
        <f>IF(1.71762="","-",1.71762/1075156.27333*100)</f>
        <v>1.5975538092524407E-4</v>
      </c>
      <c r="F34" s="10" t="str">
        <f>IF(OR(684759.39703="",""="",2.60334=""),"-",(2.60334-"")/684759.39703*100)</f>
        <v>-</v>
      </c>
      <c r="G34" s="10">
        <f>IF(OR(1062650.29445="",1.71762="",2.60334=""),"-",(1.71762-2.60334)/1062650.29445*100)</f>
        <v>-8.3350092182341682E-5</v>
      </c>
    </row>
    <row r="35" spans="1:7" s="6" customFormat="1" ht="14.25" customHeight="1" x14ac:dyDescent="0.2">
      <c r="A35" s="26" t="s">
        <v>133</v>
      </c>
      <c r="B35" s="9">
        <v>266255.02716</v>
      </c>
      <c r="C35" s="9" t="s">
        <v>308</v>
      </c>
      <c r="D35" s="9">
        <f>IF(102597.89581="","-",102597.89581/1062650.29445*100)</f>
        <v>9.6549068254953987</v>
      </c>
      <c r="E35" s="9">
        <f>IF(266255.02716="","-",266255.02716/1075156.27333*100)</f>
        <v>24.764309502222268</v>
      </c>
      <c r="F35" s="9">
        <f>IF(684759.39703="","-",(102597.89581-112019.90209)/684759.39703*100)</f>
        <v>-1.3759586682367522</v>
      </c>
      <c r="G35" s="9">
        <f>IF(1062650.29445="","-",(266255.02716-102597.89581)/1062650.29445*100)</f>
        <v>15.400845622002546</v>
      </c>
    </row>
    <row r="36" spans="1:7" s="6" customFormat="1" ht="14.25" customHeight="1" x14ac:dyDescent="0.2">
      <c r="A36" s="27" t="s">
        <v>10</v>
      </c>
      <c r="B36" s="10">
        <v>173354.76027999999</v>
      </c>
      <c r="C36" s="10" t="s">
        <v>333</v>
      </c>
      <c r="D36" s="10">
        <f>IF(25080.00761="","-",25080.00761/1062650.29445*100)</f>
        <v>2.3601374545311504</v>
      </c>
      <c r="E36" s="10">
        <f>IF(173354.76028="","-",173354.76028/1075156.27333*100)</f>
        <v>16.123680303987946</v>
      </c>
      <c r="F36" s="10">
        <f>IF(OR(684759.39703="",22770.44145="",25080.00761=""),"-",(25080.00761-22770.44145)/684759.39703*100)</f>
        <v>0.33728141154648772</v>
      </c>
      <c r="G36" s="10">
        <f>IF(OR(1062650.29445="",173354.76028="",25080.00761=""),"-",(173354.76028-25080.00761)/1062650.29445*100)</f>
        <v>13.953297095423395</v>
      </c>
    </row>
    <row r="37" spans="1:7" s="4" customFormat="1" ht="14.25" customHeight="1" x14ac:dyDescent="0.2">
      <c r="A37" s="27" t="s">
        <v>292</v>
      </c>
      <c r="B37" s="10">
        <v>46073.650670000003</v>
      </c>
      <c r="C37" s="10">
        <f>IF(OR(56902.00491="",46073.65067=""),"-",46073.65067/56902.00491*100)</f>
        <v>80.970170985843396</v>
      </c>
      <c r="D37" s="10">
        <f>IF(56902.00491="","-",56902.00491/1062650.29445*100)</f>
        <v>5.3547253698782438</v>
      </c>
      <c r="E37" s="10">
        <f>IF(46073.65067="","-",46073.65067/1075156.27333*100)</f>
        <v>4.2852980364705102</v>
      </c>
      <c r="F37" s="10">
        <f>IF(OR(684759.39703="",66014.19752="",56902.00491=""),"-",(56902.00491-66014.19752)/684759.39703*100)</f>
        <v>-1.3307145034478123</v>
      </c>
      <c r="G37" s="10">
        <f>IF(OR(1062650.29445="",46073.65067="",56902.00491=""),"-",(46073.65067-56902.00491)/1062650.29445*100)</f>
        <v>-1.0189950820654949</v>
      </c>
    </row>
    <row r="38" spans="1:7" s="6" customFormat="1" ht="14.25" customHeight="1" x14ac:dyDescent="0.2">
      <c r="A38" s="27" t="s">
        <v>9</v>
      </c>
      <c r="B38" s="10">
        <v>27164.155920000001</v>
      </c>
      <c r="C38" s="10" t="s">
        <v>101</v>
      </c>
      <c r="D38" s="10">
        <f>IF(14676.7821="","-",14676.7821/1062650.29445*100)</f>
        <v>1.3811488291730365</v>
      </c>
      <c r="E38" s="10">
        <f>IF(27164.15592="","-",27164.15592/1075156.27333*100)</f>
        <v>2.5265309419500963</v>
      </c>
      <c r="F38" s="10">
        <f>IF(OR(684759.39703="",16631.03245="",14676.7821=""),"-",(14676.7821-16631.03245)/684759.39703*100)</f>
        <v>-0.28539226456418831</v>
      </c>
      <c r="G38" s="10">
        <f>IF(OR(1062650.29445="",27164.15592="",14676.7821=""),"-",(27164.15592-14676.7821)/1062650.29445*100)</f>
        <v>1.1751160174912612</v>
      </c>
    </row>
    <row r="39" spans="1:7" s="4" customFormat="1" ht="14.25" customHeight="1" x14ac:dyDescent="0.2">
      <c r="A39" s="27" t="s">
        <v>11</v>
      </c>
      <c r="B39" s="10">
        <v>13210.26679</v>
      </c>
      <c r="C39" s="10" t="s">
        <v>341</v>
      </c>
      <c r="D39" s="10">
        <f>IF(1894.42125="","-",1894.42125/1062650.29445*100)</f>
        <v>0.17827325319478721</v>
      </c>
      <c r="E39" s="10">
        <f>IF(13210.26679="","-",13210.26679/1075156.27333*100)</f>
        <v>1.2286834126061361</v>
      </c>
      <c r="F39" s="10">
        <f>IF(OR(684759.39703="",3161.3131="",1894.42125=""),"-",(1894.42125-3161.3131)/684759.39703*100)</f>
        <v>-0.18501270015349583</v>
      </c>
      <c r="G39" s="10">
        <f>IF(OR(1062650.29445="",13210.26679="",1894.42125=""),"-",(13210.26679-1894.42125)/1062650.29445*100)</f>
        <v>1.0648701269928869</v>
      </c>
    </row>
    <row r="40" spans="1:7" s="4" customFormat="1" ht="14.25" customHeight="1" x14ac:dyDescent="0.2">
      <c r="A40" s="27" t="s">
        <v>299</v>
      </c>
      <c r="B40" s="10">
        <v>2153.3242100000002</v>
      </c>
      <c r="C40" s="10" t="s">
        <v>341</v>
      </c>
      <c r="D40" s="10">
        <f>IF(306.88637="","-",306.88637/1062650.29445*100)</f>
        <v>2.8879337972501702E-2</v>
      </c>
      <c r="E40" s="10">
        <f>IF(2153.32421="","-",2153.32421/1075156.27333*100)</f>
        <v>0.20028011400897772</v>
      </c>
      <c r="F40" s="10">
        <f>IF(OR(684759.39703="",267.06992="",306.88637=""),"-",(306.88637-267.06992)/684759.39703*100)</f>
        <v>5.8146628104258904E-3</v>
      </c>
      <c r="G40" s="10">
        <f>IF(OR(1062650.29445="",2153.32421="",306.88637=""),"-",(2153.32421-306.88637)/1062650.29445*100)</f>
        <v>0.17375780627395096</v>
      </c>
    </row>
    <row r="41" spans="1:7" s="4" customFormat="1" ht="14.25" customHeight="1" x14ac:dyDescent="0.2">
      <c r="A41" s="27" t="s">
        <v>13</v>
      </c>
      <c r="B41" s="10">
        <v>1679.31206</v>
      </c>
      <c r="C41" s="10">
        <f>IF(OR(2183.07179="",1679.31206=""),"-",1679.31206/2183.07179*100)</f>
        <v>76.924271006222838</v>
      </c>
      <c r="D41" s="10">
        <f>IF(2183.07179="","-",2183.07179/1062650.29445*100)</f>
        <v>0.20543652049989794</v>
      </c>
      <c r="E41" s="10">
        <f>IF(1679.31206="","-",1679.31206/1075156.27333*100)</f>
        <v>0.15619236957980018</v>
      </c>
      <c r="F41" s="10">
        <f>IF(OR(684759.39703="",1796.92485="",2183.07179=""),"-",(2183.07179-1796.92485)/684759.39703*100)</f>
        <v>5.6391623346073241E-2</v>
      </c>
      <c r="G41" s="10">
        <f>IF(OR(1062650.29445="",1679.31206="",2183.07179=""),"-",(1679.31206-2183.07179)/1062650.29445*100)</f>
        <v>-4.7405974724801903E-2</v>
      </c>
    </row>
    <row r="42" spans="1:7" s="4" customFormat="1" ht="12.75" x14ac:dyDescent="0.2">
      <c r="A42" s="27" t="s">
        <v>12</v>
      </c>
      <c r="B42" s="10">
        <v>1335.0510300000001</v>
      </c>
      <c r="C42" s="10" t="s">
        <v>100</v>
      </c>
      <c r="D42" s="10">
        <f>IF(813.24635="","-",813.24635/1062650.29445*100)</f>
        <v>7.6530007496108124E-2</v>
      </c>
      <c r="E42" s="10">
        <f>IF(1335.05103="","-",1335.05103/1075156.27333*100)</f>
        <v>0.12417274242980955</v>
      </c>
      <c r="F42" s="10">
        <f>IF(OR(684759.39703="",778.18115="",813.24635=""),"-",(813.24635-778.18115)/684759.39703*100)</f>
        <v>5.1208059578427027E-3</v>
      </c>
      <c r="G42" s="10">
        <f>IF(OR(1062650.29445="",1335.05103="",813.24635=""),"-",(1335.05103-813.24635)/1062650.29445*100)</f>
        <v>4.9104082756601747E-2</v>
      </c>
    </row>
    <row r="43" spans="1:7" s="2" customFormat="1" x14ac:dyDescent="0.25">
      <c r="A43" s="27" t="s">
        <v>15</v>
      </c>
      <c r="B43" s="10">
        <v>952.65594999999996</v>
      </c>
      <c r="C43" s="10" t="s">
        <v>372</v>
      </c>
      <c r="D43" s="10">
        <f>IF(93.14767="","-",93.14767/1062650.29445*100)</f>
        <v>8.765599603791651E-3</v>
      </c>
      <c r="E43" s="10">
        <f>IF(952.65595="","-",952.65595/1075156.27333*100)</f>
        <v>8.8606277397183478E-2</v>
      </c>
      <c r="F43" s="10">
        <f>IF(OR(684759.39703="",159.66696="",93.14767=""),"-",(93.14767-159.66696)/684759.39703*100)</f>
        <v>-9.7142573418507912E-3</v>
      </c>
      <c r="G43" s="10">
        <f>IF(OR(1062650.29445="",952.65595="",93.14767=""),"-",(952.65595-93.14767)/1062650.29445*100)</f>
        <v>8.0883455685189357E-2</v>
      </c>
    </row>
    <row r="44" spans="1:7" s="2" customFormat="1" x14ac:dyDescent="0.25">
      <c r="A44" s="27" t="s">
        <v>14</v>
      </c>
      <c r="B44" s="10">
        <v>269.65469000000002</v>
      </c>
      <c r="C44" s="10">
        <f>IF(OR(628.39558="",269.65469=""),"-",269.65469/628.39558*100)</f>
        <v>42.911614687041563</v>
      </c>
      <c r="D44" s="10">
        <f>IF(628.39558="","-",628.39558/1062650.29445*100)</f>
        <v>5.9134748588691749E-2</v>
      </c>
      <c r="E44" s="10">
        <f>IF(269.65469="","-",269.65469/1075156.27333*100)</f>
        <v>2.5080511241851285E-2</v>
      </c>
      <c r="F44" s="10">
        <f>IF(OR(684759.39703="",326.42347="",628.39558=""),"-",(628.39558-326.42347)/684759.39703*100)</f>
        <v>4.4099009273876423E-2</v>
      </c>
      <c r="G44" s="10">
        <f>IF(OR(1062650.29445="",269.65469="",628.39558=""),"-",(269.65469-628.39558)/1062650.29445*100)</f>
        <v>-3.3759073128161593E-2</v>
      </c>
    </row>
    <row r="45" spans="1:7" s="5" customFormat="1" x14ac:dyDescent="0.25">
      <c r="A45" s="27" t="s">
        <v>16</v>
      </c>
      <c r="B45" s="10">
        <v>62.19556</v>
      </c>
      <c r="C45" s="10" t="s">
        <v>303</v>
      </c>
      <c r="D45" s="10">
        <f>IF(19.93218="","-",19.93218/1062650.29445*100)</f>
        <v>1.8757045571907902E-3</v>
      </c>
      <c r="E45" s="10">
        <f>IF(62.19556="","-",62.19556/1075156.27333*100)</f>
        <v>5.7847925499580084E-3</v>
      </c>
      <c r="F45" s="10">
        <f>IF(OR(684759.39703="",114.65122="",19.93218=""),"-",(19.93218-114.65122)/684759.39703*100)</f>
        <v>-1.3832455664109747E-2</v>
      </c>
      <c r="G45" s="10">
        <f>IF(OR(1062650.29445="",62.19556="",19.93218=""),"-",(62.19556-19.93218)/1062650.29445*100)</f>
        <v>3.9771672977208768E-3</v>
      </c>
    </row>
    <row r="46" spans="1:7" s="2" customFormat="1" x14ac:dyDescent="0.25">
      <c r="A46" s="26" t="s">
        <v>134</v>
      </c>
      <c r="B46" s="9">
        <v>138438.24613000001</v>
      </c>
      <c r="C46" s="9">
        <f>IF(246116.00264="","-",138438.24613/246116.00264*100)</f>
        <v>56.249185199264382</v>
      </c>
      <c r="D46" s="9">
        <f>IF(246116.00264="","-",246116.00264/1062650.29445*100)</f>
        <v>23.160582924167279</v>
      </c>
      <c r="E46" s="9">
        <f>IF(138438.24613="","-",138438.24613/1075156.27333*100)</f>
        <v>12.876104577916447</v>
      </c>
      <c r="F46" s="9">
        <f>IF(684759.39703="","-",(246116.00264-133018.99415)/684759.39703*100)</f>
        <v>16.516313464340101</v>
      </c>
      <c r="G46" s="9">
        <f>IF(1062650.29445="","-",(138438.24613-246116.00264)/1062650.29445*100)</f>
        <v>-10.132943741923224</v>
      </c>
    </row>
    <row r="47" spans="1:7" s="7" customFormat="1" x14ac:dyDescent="0.25">
      <c r="A47" s="27" t="s">
        <v>54</v>
      </c>
      <c r="B47" s="10">
        <v>39894.382360000003</v>
      </c>
      <c r="C47" s="10">
        <f>IF(OR(122536.72185="",39894.38236=""),"-",39894.38236/122536.72185*100)</f>
        <v>32.557083099412132</v>
      </c>
      <c r="D47" s="10">
        <f>IF(122536.72185="","-",122536.72185/1062650.29445*100)</f>
        <v>11.53123680386517</v>
      </c>
      <c r="E47" s="10">
        <f>IF(39894.38236="","-",39894.38236/1075156.27333*100)</f>
        <v>3.710565928842898</v>
      </c>
      <c r="F47" s="10">
        <f>IF(OR(684759.39703="",68420.72611="",122536.72185=""),"-",(122536.72185-68420.72611)/684759.39703*100)</f>
        <v>7.9029212267428175</v>
      </c>
      <c r="G47" s="10">
        <f>IF(OR(1062650.29445="",39894.38236="",122536.72185=""),"-",(39894.38236-122536.72185)/1062650.29445*100)</f>
        <v>-7.7770024552407921</v>
      </c>
    </row>
    <row r="48" spans="1:7" s="5" customFormat="1" x14ac:dyDescent="0.25">
      <c r="A48" s="27" t="s">
        <v>17</v>
      </c>
      <c r="B48" s="10">
        <v>15270.21711</v>
      </c>
      <c r="C48" s="10">
        <f>IF(OR(9871.32316="",15270.21711=""),"-",15270.21711/9871.32316*100)</f>
        <v>154.6927079834351</v>
      </c>
      <c r="D48" s="10">
        <f>IF(9871.32316="","-",9871.32316/1062650.29445*100)</f>
        <v>0.92893430807443</v>
      </c>
      <c r="E48" s="10">
        <f>IF(15270.21711="","-",15270.21711/1075156.27333*100)</f>
        <v>1.4202788458560274</v>
      </c>
      <c r="F48" s="10">
        <f>IF(OR(684759.39703="",4115.85934="",9871.32316=""),"-",(9871.32316-4115.85934)/684759.39703*100)</f>
        <v>0.84050892108426911</v>
      </c>
      <c r="G48" s="10">
        <f>IF(OR(1062650.29445="",15270.21711="",9871.32316=""),"-",(15270.21711-9871.32316)/1062650.29445*100)</f>
        <v>0.50805932847309154</v>
      </c>
    </row>
    <row r="49" spans="1:7" s="2" customFormat="1" x14ac:dyDescent="0.25">
      <c r="A49" s="27" t="s">
        <v>293</v>
      </c>
      <c r="B49" s="10">
        <v>12334.05658</v>
      </c>
      <c r="C49" s="10">
        <f>IF(OR(35355.32381="",12334.05658=""),"-",12334.05658/35355.32381*100)</f>
        <v>34.885995235918053</v>
      </c>
      <c r="D49" s="10">
        <f>IF(35355.32381="","-",35355.32381/1062650.29445*100)</f>
        <v>3.3270892592467587</v>
      </c>
      <c r="E49" s="10">
        <f>IF(12334.05658="","-",12334.05658/1075156.27333*100)</f>
        <v>1.1471873332235381</v>
      </c>
      <c r="F49" s="10">
        <f>IF(OR(684759.39703="",9655.81621="",35355.32381=""),"-",(35355.32381-9655.81621)/684759.39703*100)</f>
        <v>3.7530711825885437</v>
      </c>
      <c r="G49" s="10">
        <f>IF(OR(1062650.29445="",12334.05658="",35355.32381=""),"-",(12334.05658-35355.32381)/1062650.29445*100)</f>
        <v>-2.1664010587711933</v>
      </c>
    </row>
    <row r="50" spans="1:7" s="2" customFormat="1" ht="25.5" x14ac:dyDescent="0.25">
      <c r="A50" s="27" t="s">
        <v>294</v>
      </c>
      <c r="B50" s="10">
        <v>11654.276529999999</v>
      </c>
      <c r="C50" s="10">
        <f>IF(OR(22829.47836="",11654.27653=""),"-",11654.27653/22829.47836*100)</f>
        <v>51.049245831300716</v>
      </c>
      <c r="D50" s="10">
        <f>IF(22829.47836="","-",22829.47836/1062650.29445*100)</f>
        <v>2.1483528945725219</v>
      </c>
      <c r="E50" s="10">
        <f>IF(11654.27653="","-",11654.27653/1075156.27333*100)</f>
        <v>1.0839611709564874</v>
      </c>
      <c r="F50" s="10">
        <f>IF(OR(684759.39703="",9513.19573="",22829.47836=""),"-",(22829.47836-9513.19573)/684759.39703*100)</f>
        <v>1.9446659202862464</v>
      </c>
      <c r="G50" s="10">
        <f>IF(OR(1062650.29445="",11654.27653="",22829.47836=""),"-",(11654.27653-22829.47836)/1062650.29445*100)</f>
        <v>-1.0516349440983306</v>
      </c>
    </row>
    <row r="51" spans="1:7" s="7" customFormat="1" x14ac:dyDescent="0.25">
      <c r="A51" s="27" t="s">
        <v>58</v>
      </c>
      <c r="B51" s="10">
        <v>9844.3594599999997</v>
      </c>
      <c r="C51" s="10">
        <f>IF(OR(8711.37006="",9844.35946=""),"-",9844.35946/8711.37006*100)</f>
        <v>113.00586925129433</v>
      </c>
      <c r="D51" s="10">
        <f>IF(8711.37006="","-",8711.37006/1062650.29445*100)</f>
        <v>0.81977769220012098</v>
      </c>
      <c r="E51" s="10">
        <f>IF(9844.35946="","-",9844.35946/1075156.27333*100)</f>
        <v>0.91562126401493349</v>
      </c>
      <c r="F51" s="10">
        <f>IF(OR(684759.39703="",7299.71955="",8711.37006=""),"-",(8711.37006-7299.71955)/684759.39703*100)</f>
        <v>0.20615277659901229</v>
      </c>
      <c r="G51" s="10">
        <f>IF(OR(1062650.29445="",9844.35946="",8711.37006=""),"-",(9844.35946-8711.37006)/1062650.29445*100)</f>
        <v>0.1066192147988258</v>
      </c>
    </row>
    <row r="52" spans="1:7" s="5" customFormat="1" x14ac:dyDescent="0.25">
      <c r="A52" s="27" t="s">
        <v>72</v>
      </c>
      <c r="B52" s="10">
        <v>6353.2774900000004</v>
      </c>
      <c r="C52" s="10" t="s">
        <v>373</v>
      </c>
      <c r="D52" s="10">
        <f>IF(967.39199="","-",967.39199/1062650.29445*100)</f>
        <v>9.1035780543466269E-2</v>
      </c>
      <c r="E52" s="10">
        <f>IF(6353.27749="","-",6353.27749/1075156.27333*100)</f>
        <v>0.590916655336296</v>
      </c>
      <c r="F52" s="10">
        <f>IF(OR(684759.39703="",183.91844="",967.39199=""),"-",(967.39199-183.91844)/684759.39703*100)</f>
        <v>0.11441588876299497</v>
      </c>
      <c r="G52" s="10">
        <f>IF(OR(1062650.29445="",6353.27749="",967.39199=""),"-",(6353.27749-967.39199)/1062650.29445*100)</f>
        <v>0.50683517692785229</v>
      </c>
    </row>
    <row r="53" spans="1:7" s="2" customFormat="1" x14ac:dyDescent="0.25">
      <c r="A53" s="27" t="s">
        <v>56</v>
      </c>
      <c r="B53" s="10">
        <v>4804.2794800000001</v>
      </c>
      <c r="C53" s="10">
        <f>IF(OR(3364.46685="",4804.27948=""),"-",4804.27948/3364.46685*100)</f>
        <v>142.7946742884389</v>
      </c>
      <c r="D53" s="10">
        <f>IF(3364.46685="","-",3364.46685/1062650.29445*100)</f>
        <v>0.31661091777529315</v>
      </c>
      <c r="E53" s="10">
        <f>IF(4804.27948="","-",4804.27948/1075156.27333*100)</f>
        <v>0.44684476100577175</v>
      </c>
      <c r="F53" s="10">
        <f>IF(OR(684759.39703="",5007.59426="",3364.46685=""),"-",(3364.46685-5007.59426)/684759.39703*100)</f>
        <v>-0.23995689831008085</v>
      </c>
      <c r="G53" s="10">
        <f>IF(OR(1062650.29445="",4804.27948="",3364.46685=""),"-",(4804.27948-3364.46685)/1062650.29445*100)</f>
        <v>0.13549261102357382</v>
      </c>
    </row>
    <row r="54" spans="1:7" s="5" customFormat="1" x14ac:dyDescent="0.25">
      <c r="A54" s="27" t="s">
        <v>64</v>
      </c>
      <c r="B54" s="10">
        <v>4223.6709000000001</v>
      </c>
      <c r="C54" s="10">
        <f>IF(OR(4042.05126="",4223.6709=""),"-",4223.6709/4042.05126*100)</f>
        <v>104.49325424932884</v>
      </c>
      <c r="D54" s="10">
        <f>IF(4042.05126="","-",4042.05126/1062650.29445*100)</f>
        <v>0.38037454853311459</v>
      </c>
      <c r="E54" s="10">
        <f>IF(4223.6709="","-",4223.6709/1075156.27333*100)</f>
        <v>0.3928425108768927</v>
      </c>
      <c r="F54" s="10">
        <f>IF(OR(684759.39703="",2279.13079="",4042.05126=""),"-",(4042.05126-2279.13079)/684759.39703*100)</f>
        <v>0.25745108101419228</v>
      </c>
      <c r="G54" s="10">
        <f>IF(OR(1062650.29445="",4223.6709="",4042.05126=""),"-",(4223.6709-4042.05126)/1062650.29445*100)</f>
        <v>1.7091195565329557E-2</v>
      </c>
    </row>
    <row r="55" spans="1:7" s="2" customFormat="1" x14ac:dyDescent="0.25">
      <c r="A55" s="27" t="s">
        <v>66</v>
      </c>
      <c r="B55" s="10">
        <v>3790.2260999999999</v>
      </c>
      <c r="C55" s="10">
        <f>IF(OR(4124.32417="",3790.2261=""),"-",3790.2261/4124.32417*100)</f>
        <v>91.899325653637945</v>
      </c>
      <c r="D55" s="10">
        <f>IF(4124.32417="","-",4124.32417/1062650.29445*100)</f>
        <v>0.38811678607162503</v>
      </c>
      <c r="E55" s="10">
        <f>IF(3790.2261="","-",3790.2261/1075156.27333*100)</f>
        <v>0.35252792491837676</v>
      </c>
      <c r="F55" s="10">
        <f>IF(OR(684759.39703="",2736.47783="",4124.32417=""),"-",(4124.32417-2736.47783)/684759.39703*100)</f>
        <v>0.20267649425761688</v>
      </c>
      <c r="G55" s="10">
        <f>IF(OR(1062650.29445="",3790.2261="",4124.32417=""),"-",(3790.2261-4124.32417)/1062650.29445*100)</f>
        <v>-3.1440076923229053E-2</v>
      </c>
    </row>
    <row r="56" spans="1:7" s="5" customFormat="1" x14ac:dyDescent="0.25">
      <c r="A56" s="69" t="s">
        <v>331</v>
      </c>
      <c r="B56" s="70">
        <v>3000</v>
      </c>
      <c r="C56" s="10" t="str">
        <f>IF(OR(""="",3000=""),"-",3000/""*100)</f>
        <v>-</v>
      </c>
      <c r="D56" s="10" t="str">
        <f>IF(""="","-",""/1062650.29445*100)</f>
        <v>-</v>
      </c>
      <c r="E56" s="10">
        <f>IF(3000="","-",3000/1075156.27333*100)</f>
        <v>0.27902920481581039</v>
      </c>
      <c r="F56" s="10" t="str">
        <f>IF(OR(684759.39703="",""="",""=""),"-",(""-"")/684759.39703*100)</f>
        <v>-</v>
      </c>
      <c r="G56" s="10" t="str">
        <f>IF(OR(1062650.29445="",3000="",""=""),"-",(3000-"")/1062650.29445*100)</f>
        <v>-</v>
      </c>
    </row>
    <row r="57" spans="1:7" s="2" customFormat="1" x14ac:dyDescent="0.25">
      <c r="A57" s="27" t="s">
        <v>35</v>
      </c>
      <c r="B57" s="10">
        <v>2801.8951499999998</v>
      </c>
      <c r="C57" s="10">
        <f>IF(OR(2012.19184="",2801.89515=""),"-",2801.89515/2012.19184*100)</f>
        <v>139.24592547796038</v>
      </c>
      <c r="D57" s="10">
        <f>IF(2012.19184="","-",2012.19184/1062650.29445*100)</f>
        <v>0.1893559763272317</v>
      </c>
      <c r="E57" s="10">
        <f>IF(2801.89515="","-",2801.89515/1075156.27333*100)</f>
        <v>0.26060352522725855</v>
      </c>
      <c r="F57" s="10">
        <f>IF(OR(684759.39703="",747.14045="",2012.19184=""),"-",(2012.19184-747.14045)/684759.39703*100)</f>
        <v>0.18474392545569943</v>
      </c>
      <c r="G57" s="10">
        <f>IF(OR(1062650.29445="",2801.89515="",2012.19184=""),"-",(2801.89515-2012.19184)/1062650.29445*100)</f>
        <v>7.431450535744967E-2</v>
      </c>
    </row>
    <row r="58" spans="1:7" s="2" customFormat="1" x14ac:dyDescent="0.25">
      <c r="A58" s="27" t="s">
        <v>60</v>
      </c>
      <c r="B58" s="10">
        <v>2765.5580300000001</v>
      </c>
      <c r="C58" s="10" t="s">
        <v>99</v>
      </c>
      <c r="D58" s="10">
        <f>IF(1620.79263="","-",1620.79263/1062650.29445*100)</f>
        <v>0.15252361369164066</v>
      </c>
      <c r="E58" s="10">
        <f>IF(2765.55803="","-",2765.55803/1075156.27333*100)</f>
        <v>0.25722381932762639</v>
      </c>
      <c r="F58" s="10">
        <f>IF(OR(684759.39703="",1320.03231="",1620.79263=""),"-",(1620.79263-1320.03231)/684759.39703*100)</f>
        <v>4.3922043465848673E-2</v>
      </c>
      <c r="G58" s="10">
        <f>IF(OR(1062650.29445="",2765.55803="",1620.79263=""),"-",(2765.55803-1620.79263)/1062650.29445*100)</f>
        <v>0.10772738745557879</v>
      </c>
    </row>
    <row r="59" spans="1:7" s="5" customFormat="1" x14ac:dyDescent="0.25">
      <c r="A59" s="27" t="s">
        <v>82</v>
      </c>
      <c r="B59" s="10">
        <v>1795.58284</v>
      </c>
      <c r="C59" s="10" t="s">
        <v>374</v>
      </c>
      <c r="D59" s="10">
        <f>IF(1.00486="","-",1.00486/1062650.29445*100)</f>
        <v>9.456168273308478E-5</v>
      </c>
      <c r="E59" s="10">
        <f>IF(1795.58284="","-",1795.58284/1075156.27333*100)</f>
        <v>0.16700668400870483</v>
      </c>
      <c r="F59" s="10">
        <f>IF(OR(684759.39703="",17.21275="",1.00486=""),"-",(1.00486-17.21275)/684759.39703*100)</f>
        <v>-2.3669467071643436E-3</v>
      </c>
      <c r="G59" s="10">
        <f>IF(OR(1062650.29445="",1795.58284="",1.00486=""),"-",(1795.58284-1.00486)/1062650.29445*100)</f>
        <v>0.16887756860113862</v>
      </c>
    </row>
    <row r="60" spans="1:7" s="7" customFormat="1" x14ac:dyDescent="0.25">
      <c r="A60" s="27" t="s">
        <v>57</v>
      </c>
      <c r="B60" s="10">
        <v>1572.5413000000001</v>
      </c>
      <c r="C60" s="10">
        <f>IF(OR(1534.68017="",1572.5413=""),"-",1572.5413/1534.68017*100)</f>
        <v>102.4670371547187</v>
      </c>
      <c r="D60" s="10">
        <f>IF(1534.68017="","-",1534.68017/1062650.29445*100)</f>
        <v>0.14442005785114007</v>
      </c>
      <c r="E60" s="10">
        <f>IF(1572.5413="","-",1572.5413/1075156.27333*100)</f>
        <v>0.14626164949300693</v>
      </c>
      <c r="F60" s="10">
        <f>IF(OR(684759.39703="",3107.90154="",1534.68017=""),"-",(1534.68017-3107.90154)/684759.39703*100)</f>
        <v>-0.22974805118754368</v>
      </c>
      <c r="G60" s="10">
        <f>IF(OR(1062650.29445="",1572.5413="",1534.68017=""),"-",(1572.5413-1534.68017)/1062650.29445*100)</f>
        <v>3.5628964860538563E-3</v>
      </c>
    </row>
    <row r="61" spans="1:7" s="2" customFormat="1" x14ac:dyDescent="0.25">
      <c r="A61" s="27" t="s">
        <v>61</v>
      </c>
      <c r="B61" s="10">
        <v>1550.53215</v>
      </c>
      <c r="C61" s="10">
        <f>IF(OR(2091.95338="",1550.53215=""),"-",1550.53215/2091.95338*100)</f>
        <v>74.118867314337564</v>
      </c>
      <c r="D61" s="10">
        <f>IF(2091.95338="","-",2091.95338/1062650.29445*100)</f>
        <v>0.19686188306029129</v>
      </c>
      <c r="E61" s="10">
        <f>IF(1550.53215="","-",1550.53215/1075156.27333*100)</f>
        <v>0.14421458428528294</v>
      </c>
      <c r="F61" s="10">
        <f>IF(OR(684759.39703="",1175.85237="",2091.95338=""),"-",(2091.95338-1175.85237)/684759.39703*100)</f>
        <v>0.13378436484017533</v>
      </c>
      <c r="G61" s="10">
        <f>IF(OR(1062650.29445="",1550.53215="",2091.95338=""),"-",(1550.53215-2091.95338)/1062650.29445*100)</f>
        <v>-5.0950085162327602E-2</v>
      </c>
    </row>
    <row r="62" spans="1:7" s="2" customFormat="1" x14ac:dyDescent="0.25">
      <c r="A62" s="27" t="s">
        <v>55</v>
      </c>
      <c r="B62" s="10">
        <v>1197.66994</v>
      </c>
      <c r="C62" s="10">
        <f>IF(OR(2684.45301="",1197.66994=""),"-",1197.66994/2684.45301*100)</f>
        <v>44.615045804061211</v>
      </c>
      <c r="D62" s="10">
        <f>IF(2684.45301="","-",2684.45301/1062650.29445*100)</f>
        <v>0.252618667121285</v>
      </c>
      <c r="E62" s="10">
        <f>IF(1197.66994="","-",1197.66994/1075156.27333*100)</f>
        <v>0.11139496366333312</v>
      </c>
      <c r="F62" s="10">
        <f>IF(OR(684759.39703="",1463.64115="",2684.45301=""),"-",(2684.45301-1463.64115)/684759.39703*100)</f>
        <v>0.17828333065526594</v>
      </c>
      <c r="G62" s="10">
        <f>IF(OR(1062650.29445="",1197.66994="",2684.45301=""),"-",(1197.66994-2684.45301)/1062650.29445*100)</f>
        <v>-0.13991273307551477</v>
      </c>
    </row>
    <row r="63" spans="1:7" s="2" customFormat="1" x14ac:dyDescent="0.25">
      <c r="A63" s="27" t="s">
        <v>36</v>
      </c>
      <c r="B63" s="10">
        <v>794.15881999999999</v>
      </c>
      <c r="C63" s="10" t="s">
        <v>308</v>
      </c>
      <c r="D63" s="10">
        <f>IF(300.07605="","-",300.07605/1062650.29445*100)</f>
        <v>2.8238457333257652E-2</v>
      </c>
      <c r="E63" s="10">
        <f>IF(794.15882="","-",794.15882/1075156.27333*100)</f>
        <v>7.3864501347354103E-2</v>
      </c>
      <c r="F63" s="10">
        <f>IF(OR(684759.39703="",184.96721="",300.07605=""),"-",(300.07605-184.96721)/684759.39703*100)</f>
        <v>1.6810114691271184E-2</v>
      </c>
      <c r="G63" s="10">
        <f>IF(OR(1062650.29445="",794.15882="",300.07605=""),"-",(794.15882-300.07605)/1062650.29445*100)</f>
        <v>4.6495330832776398E-2</v>
      </c>
    </row>
    <row r="64" spans="1:7" s="2" customFormat="1" x14ac:dyDescent="0.25">
      <c r="A64" s="27" t="s">
        <v>73</v>
      </c>
      <c r="B64" s="10">
        <v>684.45595000000003</v>
      </c>
      <c r="C64" s="10">
        <f>IF(OR(755.81807="",684.45595=""),"-",684.45595/755.81807*100)</f>
        <v>90.558294008503921</v>
      </c>
      <c r="D64" s="10">
        <f>IF(755.81807="","-",755.81807/1062650.29445*100)</f>
        <v>7.1125757358510094E-2</v>
      </c>
      <c r="E64" s="10">
        <f>IF(684.45595="","-",684.45595/1075156.27333*100)</f>
        <v>6.3661066486650028E-2</v>
      </c>
      <c r="F64" s="10">
        <f>IF(OR(684759.39703="",450.21155="",755.81807=""),"-",(755.81807-450.21155)/684759.39703*100)</f>
        <v>4.4629766502731337E-2</v>
      </c>
      <c r="G64" s="10">
        <f>IF(OR(1062650.29445="",684.45595="",755.81807=""),"-",(684.45595-755.81807)/1062650.29445*100)</f>
        <v>-6.7154848940154084E-3</v>
      </c>
    </row>
    <row r="65" spans="1:7" s="2" customFormat="1" x14ac:dyDescent="0.25">
      <c r="A65" s="27" t="s">
        <v>295</v>
      </c>
      <c r="B65" s="10">
        <v>670.31772000000001</v>
      </c>
      <c r="C65" s="10">
        <f>IF(OR(728.56022="",670.31772=""),"-",670.31772/728.56022*100)</f>
        <v>92.005808387397281</v>
      </c>
      <c r="D65" s="10">
        <f>IF(728.56022="","-",728.56022/1062650.29445*100)</f>
        <v>6.8560675492691958E-2</v>
      </c>
      <c r="E65" s="10">
        <f>IF(670.31772="","-",670.31772/1075156.27333*100)</f>
        <v>6.2346073461849019E-2</v>
      </c>
      <c r="F65" s="10">
        <f>IF(OR(684759.39703="",546.33928="",728.56022=""),"-",(728.56022-546.33928)/684759.39703*100)</f>
        <v>2.6610944046966709E-2</v>
      </c>
      <c r="G65" s="10">
        <f>IF(OR(1062650.29445="",670.31772="",728.56022=""),"-",(670.31772-728.56022)/1062650.29445*100)</f>
        <v>-5.4808717697805509E-3</v>
      </c>
    </row>
    <row r="66" spans="1:7" s="2" customFormat="1" x14ac:dyDescent="0.25">
      <c r="A66" s="27" t="s">
        <v>75</v>
      </c>
      <c r="B66" s="10">
        <v>575.55043000000001</v>
      </c>
      <c r="C66" s="10">
        <f>IF(OR(688.61199="",575.55043=""),"-",575.55043/688.61199*100)</f>
        <v>83.581238543348633</v>
      </c>
      <c r="D66" s="10">
        <f>IF(688.61199="","-",688.61199/1062650.29445*100)</f>
        <v>6.4801373847678423E-2</v>
      </c>
      <c r="E66" s="10">
        <f>IF(575.55043="","-",575.55043/1075156.27333*100)</f>
        <v>5.3531792938099253E-2</v>
      </c>
      <c r="F66" s="10">
        <f>IF(OR(684759.39703="",20.33382="",688.61199=""),"-",(688.61199-20.33382)/684759.39703*100)</f>
        <v>9.7593136056038976E-2</v>
      </c>
      <c r="G66" s="10">
        <f>IF(OR(1062650.29445="",575.55043="",688.61199=""),"-",(575.55043-688.61199)/1062650.29445*100)</f>
        <v>-1.0639582992683186E-2</v>
      </c>
    </row>
    <row r="67" spans="1:7" s="2" customFormat="1" x14ac:dyDescent="0.25">
      <c r="A67" s="27" t="s">
        <v>121</v>
      </c>
      <c r="B67" s="10">
        <v>568.13250000000005</v>
      </c>
      <c r="C67" s="10">
        <f>IF(OR(1186.62776="",568.1325=""),"-",568.1325/1186.62776*100)</f>
        <v>47.877904019369986</v>
      </c>
      <c r="D67" s="10">
        <f>IF(1186.62776="","-",1186.62776/1062650.29445*100)</f>
        <v>0.11166681703261257</v>
      </c>
      <c r="E67" s="10">
        <f>IF(568.1325="","-",568.1325/1075156.27333*100)</f>
        <v>5.2841853235006141E-2</v>
      </c>
      <c r="F67" s="10">
        <f>IF(OR(684759.39703="",668.61055="",1186.62776=""),"-",(1186.62776-668.61055)/684759.39703*100)</f>
        <v>7.5649521897295735E-2</v>
      </c>
      <c r="G67" s="10">
        <f>IF(OR(1062650.29445="",568.1325="",1186.62776=""),"-",(568.1325-1186.62776)/1062650.29445*100)</f>
        <v>-5.8203085552252821E-2</v>
      </c>
    </row>
    <row r="68" spans="1:7" s="2" customFormat="1" x14ac:dyDescent="0.25">
      <c r="A68" s="69" t="s">
        <v>69</v>
      </c>
      <c r="B68" s="70">
        <v>495.36309</v>
      </c>
      <c r="C68" s="10">
        <f>IF(OR(332.208="",495.36309=""),"-",495.36309/332.208*100)</f>
        <v>149.11233022684581</v>
      </c>
      <c r="D68" s="10">
        <f>IF(332.208="","-",332.208/1062650.29445*100)</f>
        <v>3.1262213141524817E-2</v>
      </c>
      <c r="E68" s="10">
        <f>IF(495.36309="","-",495.36309/1075156.27333*100)</f>
        <v>4.6073589699267573E-2</v>
      </c>
      <c r="F68" s="10">
        <f>IF(OR(684759.39703="",104.40701="",332.208=""),"-",(332.208-104.40701)/684759.39703*100)</f>
        <v>3.3267303959323369E-2</v>
      </c>
      <c r="G68" s="10">
        <f>IF(OR(1062650.29445="",495.36309="",332.208=""),"-",(495.36309-332.208)/1062650.29445*100)</f>
        <v>1.5353601354286059E-2</v>
      </c>
    </row>
    <row r="69" spans="1:7" s="2" customFormat="1" x14ac:dyDescent="0.25">
      <c r="A69" s="27" t="s">
        <v>74</v>
      </c>
      <c r="B69" s="10">
        <v>441.77033</v>
      </c>
      <c r="C69" s="10">
        <f>IF(OR(347.45384="",441.77033=""),"-",441.77033/347.45384*100)</f>
        <v>127.14504177015283</v>
      </c>
      <c r="D69" s="10">
        <f>IF(347.45384="","-",347.45384/1062650.29445*100)</f>
        <v>3.2696912786330433E-2</v>
      </c>
      <c r="E69" s="10">
        <f>IF(441.77033="","-",441.77033/1075156.27333*100)</f>
        <v>4.1088941297039383E-2</v>
      </c>
      <c r="F69" s="10">
        <f>IF(OR(684759.39703="",561.86896="",347.45384=""),"-",(347.45384-561.86896)/684759.39703*100)</f>
        <v>-3.1312475729428545E-2</v>
      </c>
      <c r="G69" s="10">
        <f>IF(OR(1062650.29445="",441.77033="",347.45384=""),"-",(441.77033-347.45384)/1062650.29445*100)</f>
        <v>8.875590633399837E-3</v>
      </c>
    </row>
    <row r="70" spans="1:7" x14ac:dyDescent="0.25">
      <c r="A70" s="27" t="s">
        <v>122</v>
      </c>
      <c r="B70" s="10">
        <v>402.42448999999999</v>
      </c>
      <c r="C70" s="10" t="s">
        <v>375</v>
      </c>
      <c r="D70" s="10">
        <f>IF(93.23149="","-",93.23149/1062650.29445*100)</f>
        <v>8.7734874292068193E-3</v>
      </c>
      <c r="E70" s="10">
        <f>IF(402.42449="","-",402.42449/1075156.27333*100)</f>
        <v>3.7429395147702681E-2</v>
      </c>
      <c r="F70" s="10">
        <f>IF(OR(684759.39703="",290.49284="",93.23149=""),"-",(93.23149-290.49284)/684759.39703*100)</f>
        <v>-2.8807395832109742E-2</v>
      </c>
      <c r="G70" s="10">
        <f>IF(OR(1062650.29445="",402.42449="",93.23149=""),"-",(402.42449-93.23149)/1062650.29445*100)</f>
        <v>2.9096401856269209E-2</v>
      </c>
    </row>
    <row r="71" spans="1:7" x14ac:dyDescent="0.25">
      <c r="A71" s="27" t="s">
        <v>137</v>
      </c>
      <c r="B71" s="10">
        <v>374.01456999999999</v>
      </c>
      <c r="C71" s="10" t="s">
        <v>376</v>
      </c>
      <c r="D71" s="10">
        <f>IF(154.08815="","-",154.08815/1062650.29445*100)</f>
        <v>1.4500362989100946E-2</v>
      </c>
      <c r="E71" s="10">
        <f>IF(374.01457="","-",374.01457/1075156.27333*100)</f>
        <v>3.4786996018875749E-2</v>
      </c>
      <c r="F71" s="10">
        <f>IF(OR(684759.39703="",244.67058="",154.08815=""),"-",(154.08815-244.67058)/684759.39703*100)</f>
        <v>-1.3228358806448258E-2</v>
      </c>
      <c r="G71" s="10">
        <f>IF(OR(1062650.29445="",374.01457="",154.08815=""),"-",(374.01457-154.08815)/1062650.29445*100)</f>
        <v>2.069602964857109E-2</v>
      </c>
    </row>
    <row r="72" spans="1:7" x14ac:dyDescent="0.25">
      <c r="A72" s="27" t="s">
        <v>83</v>
      </c>
      <c r="B72" s="10">
        <v>337.07508000000001</v>
      </c>
      <c r="C72" s="10" t="s">
        <v>377</v>
      </c>
      <c r="D72" s="10">
        <f>IF(56.85673="","-",56.85673/1062650.29445*100)</f>
        <v>5.3504648045505469E-3</v>
      </c>
      <c r="E72" s="10">
        <f>IF(337.07508="","-",337.07508/1075156.27333*100)</f>
        <v>3.135126384520856E-2</v>
      </c>
      <c r="F72" s="10">
        <f>IF(OR(684759.39703="",19.7259="",56.85673=""),"-",(56.85673-19.7259)/684759.39703*100)</f>
        <v>5.4224637385112458E-3</v>
      </c>
      <c r="G72" s="10">
        <f>IF(OR(1062650.29445="",337.07508="",56.85673=""),"-",(337.07508-56.85673)/1062650.29445*100)</f>
        <v>2.6369761666986943E-2</v>
      </c>
    </row>
    <row r="73" spans="1:7" x14ac:dyDescent="0.25">
      <c r="A73" s="27" t="s">
        <v>135</v>
      </c>
      <c r="B73" s="10">
        <v>327.62565000000001</v>
      </c>
      <c r="C73" s="10" t="s">
        <v>308</v>
      </c>
      <c r="D73" s="10">
        <f>IF(126.4494="","-",126.4494/1062650.29445*100)</f>
        <v>1.1899436781829238E-2</v>
      </c>
      <c r="E73" s="10">
        <f>IF(327.62565="","-",327.62565/1075156.27333*100)</f>
        <v>3.0472374865587674E-2</v>
      </c>
      <c r="F73" s="10">
        <f>IF(OR(684759.39703="",269.148="",126.4494=""),"-",(126.4494-269.148)/684759.39703*100)</f>
        <v>-2.0839232089245541E-2</v>
      </c>
      <c r="G73" s="10">
        <f>IF(OR(1062650.29445="",327.62565="",126.4494=""),"-",(327.62565-126.4494)/1062650.29445*100)</f>
        <v>1.893155735717587E-2</v>
      </c>
    </row>
    <row r="74" spans="1:7" x14ac:dyDescent="0.25">
      <c r="A74" s="27" t="s">
        <v>89</v>
      </c>
      <c r="B74" s="10">
        <v>281.79435000000001</v>
      </c>
      <c r="C74" s="10" t="s">
        <v>308</v>
      </c>
      <c r="D74" s="10">
        <f>IF(110.19834="","-",110.19834/1062650.29445*100)</f>
        <v>1.0370141576729698E-2</v>
      </c>
      <c r="E74" s="10">
        <f>IF(281.79435="","-",281.79435/1075156.27333*100)</f>
        <v>2.6209617800696052E-2</v>
      </c>
      <c r="F74" s="10">
        <f>IF(OR(684759.39703="",112.43819="",110.19834=""),"-",(110.19834-112.43819)/684759.39703*100)</f>
        <v>-3.2710029387181581E-4</v>
      </c>
      <c r="G74" s="10">
        <f>IF(OR(1062650.29445="",281.79435="",110.19834=""),"-",(281.79435-110.19834)/1062650.29445*100)</f>
        <v>1.6147928523260194E-2</v>
      </c>
    </row>
    <row r="75" spans="1:7" x14ac:dyDescent="0.25">
      <c r="A75" s="27" t="s">
        <v>84</v>
      </c>
      <c r="B75" s="10">
        <v>271.80840000000001</v>
      </c>
      <c r="C75" s="10" t="s">
        <v>328</v>
      </c>
      <c r="D75" s="10">
        <f>IF(74.65871="","-",74.65871/1062650.29445*100)</f>
        <v>7.0257083059146385E-3</v>
      </c>
      <c r="E75" s="10">
        <f>IF(271.8084="","-",271.8084/1075156.27333*100)</f>
        <v>2.5280827238085907E-2</v>
      </c>
      <c r="F75" s="10">
        <f>IF(OR(684759.39703="",25.80287="",74.65871=""),"-",(74.65871-25.80287)/684759.39703*100)</f>
        <v>7.1347454612382018E-3</v>
      </c>
      <c r="G75" s="10">
        <f>IF(OR(1062650.29445="",271.8084="",74.65871=""),"-",(271.8084-74.65871)/1062650.29445*100)</f>
        <v>1.8552640603373621E-2</v>
      </c>
    </row>
    <row r="76" spans="1:7" x14ac:dyDescent="0.25">
      <c r="A76" s="27" t="s">
        <v>68</v>
      </c>
      <c r="B76" s="10">
        <v>271.40192999999999</v>
      </c>
      <c r="C76" s="10" t="s">
        <v>378</v>
      </c>
      <c r="D76" s="10">
        <f>IF(20.772="","-",20.772/1062650.29445*100)</f>
        <v>1.9547352603662567E-3</v>
      </c>
      <c r="E76" s="10">
        <f>IF(271.40193="","-",271.40193/1075156.27333*100)</f>
        <v>2.5243021571125415E-2</v>
      </c>
      <c r="F76" s="10" t="str">
        <f>IF(OR(684759.39703="",""="",20.772=""),"-",(20.772-"")/684759.39703*100)</f>
        <v>-</v>
      </c>
      <c r="G76" s="10">
        <f>IF(OR(1062650.29445="",271.40193="",20.772=""),"-",(271.40193-20.772)/1062650.29445*100)</f>
        <v>2.3585363059605562E-2</v>
      </c>
    </row>
    <row r="77" spans="1:7" x14ac:dyDescent="0.25">
      <c r="A77" s="27" t="s">
        <v>332</v>
      </c>
      <c r="B77" s="10">
        <v>259.70627999999999</v>
      </c>
      <c r="C77" s="10" t="str">
        <f>IF(OR(""="",259.70628=""),"-",259.70628/""*100)</f>
        <v>-</v>
      </c>
      <c r="D77" s="10" t="str">
        <f>IF(""="","-",""/1062650.29445*100)</f>
        <v>-</v>
      </c>
      <c r="E77" s="10">
        <f>IF(259.70628="","-",259.70628/1075156.27333*100)</f>
        <v>2.4155212264690737E-2</v>
      </c>
      <c r="F77" s="10" t="str">
        <f>IF(OR(684759.39703="",""="",""=""),"-",(""-"")/684759.39703*100)</f>
        <v>-</v>
      </c>
      <c r="G77" s="10" t="str">
        <f>IF(OR(1062650.29445="",259.70628="",""=""),"-",(259.70628-"")/1062650.29445*100)</f>
        <v>-</v>
      </c>
    </row>
    <row r="78" spans="1:7" x14ac:dyDescent="0.25">
      <c r="A78" s="69" t="s">
        <v>321</v>
      </c>
      <c r="B78" s="70">
        <v>257.25425999999999</v>
      </c>
      <c r="C78" s="10" t="str">
        <f>IF(OR(""="",257.25426=""),"-",257.25426/""*100)</f>
        <v>-</v>
      </c>
      <c r="D78" s="10" t="str">
        <f>IF(""="","-",""/1062650.29445*100)</f>
        <v>-</v>
      </c>
      <c r="E78" s="10">
        <f>IF(257.25426="","-",257.25426/1075156.27333*100)</f>
        <v>2.3927150534426581E-2</v>
      </c>
      <c r="F78" s="10" t="str">
        <f>IF(OR(684759.39703="",""="",""=""),"-",(""-"")/684759.39703*100)</f>
        <v>-</v>
      </c>
      <c r="G78" s="10" t="str">
        <f>IF(OR(1062650.29445="",257.25426="",""=""),"-",(257.25426-"")/1062650.29445*100)</f>
        <v>-</v>
      </c>
    </row>
    <row r="79" spans="1:7" x14ac:dyDescent="0.25">
      <c r="A79" s="27" t="s">
        <v>63</v>
      </c>
      <c r="B79" s="10">
        <v>219.81351000000001</v>
      </c>
      <c r="C79" s="10">
        <f>IF(OR(140.98429="",219.81351=""),"-",219.81351/140.98429*100)</f>
        <v>155.91347801943041</v>
      </c>
      <c r="D79" s="10">
        <f>IF(140.98429="","-",140.98429/1062650.29445*100)</f>
        <v>1.3267232949196121E-2</v>
      </c>
      <c r="E79" s="10">
        <f>IF(219.81351="","-",219.81351/1075156.27333*100)</f>
        <v>2.0444796301024065E-2</v>
      </c>
      <c r="F79" s="10">
        <f>IF(OR(684759.39703="",51.506="",140.98429=""),"-",(140.98429-51.506)/684759.39703*100)</f>
        <v>1.3067113848761079E-2</v>
      </c>
      <c r="G79" s="10">
        <f>IF(OR(1062650.29445="",219.81351="",140.98429=""),"-",(219.81351-140.98429)/1062650.29445*100)</f>
        <v>7.4181713788354026E-3</v>
      </c>
    </row>
    <row r="80" spans="1:7" x14ac:dyDescent="0.25">
      <c r="A80" s="27" t="s">
        <v>359</v>
      </c>
      <c r="B80" s="10">
        <v>215.64302000000001</v>
      </c>
      <c r="C80" s="10">
        <f>IF(OR(176.90536="",215.64302=""),"-",215.64302/176.90536*100)</f>
        <v>121.89739191622007</v>
      </c>
      <c r="D80" s="10">
        <f>IF(176.90536="","-",176.90536/1062650.29445*100)</f>
        <v>1.6647561377806007E-2</v>
      </c>
      <c r="E80" s="10">
        <f>IF(215.64302="","-",215.64302/1075156.27333*100)</f>
        <v>2.0056900131559967E-2</v>
      </c>
      <c r="F80" s="10">
        <f>IF(OR(684759.39703="",182.6786="",176.90536=""),"-",(176.90536-182.6786)/684759.39703*100)</f>
        <v>-8.4310489568163683E-4</v>
      </c>
      <c r="G80" s="10">
        <f>IF(OR(1062650.29445="",215.64302="",176.90536=""),"-",(215.64302-176.90536)/1062650.29445*100)</f>
        <v>3.645381759391466E-3</v>
      </c>
    </row>
    <row r="81" spans="1:7" x14ac:dyDescent="0.25">
      <c r="A81" s="27" t="s">
        <v>92</v>
      </c>
      <c r="B81" s="10">
        <v>207.12123</v>
      </c>
      <c r="C81" s="10">
        <f>IF(OR(542.79813="",207.12123=""),"-",207.12123/542.79813*100)</f>
        <v>38.158058871720876</v>
      </c>
      <c r="D81" s="10">
        <f>IF(542.79813="","-",542.79813/1062650.29445*100)</f>
        <v>5.10796574221003E-2</v>
      </c>
      <c r="E81" s="10">
        <f>IF(207.12123="","-",207.12123/1075156.27333*100)</f>
        <v>1.9264290702457523E-2</v>
      </c>
      <c r="F81" s="10">
        <f>IF(OR(684759.39703="",119.72808="",542.79813=""),"-",(542.79813-119.72808)/684759.39703*100)</f>
        <v>6.1783752342060218E-2</v>
      </c>
      <c r="G81" s="10">
        <f>IF(OR(1062650.29445="",207.12123="",542.79813=""),"-",(207.12123-542.79813)/1062650.29445*100)</f>
        <v>-3.1588651671501926E-2</v>
      </c>
    </row>
    <row r="82" spans="1:7" x14ac:dyDescent="0.25">
      <c r="A82" s="27" t="s">
        <v>88</v>
      </c>
      <c r="B82" s="10">
        <v>198.35219000000001</v>
      </c>
      <c r="C82" s="10" t="s">
        <v>379</v>
      </c>
      <c r="D82" s="10">
        <f>IF(4.61762="","-",4.61762/1062650.29445*100)</f>
        <v>4.3453806243849577E-4</v>
      </c>
      <c r="E82" s="10">
        <f>IF(198.35219="","-",198.35219/1075156.27333*100)</f>
        <v>1.8448684616391514E-2</v>
      </c>
      <c r="F82" s="10">
        <f>IF(OR(684759.39703="",0.73254="",4.61762=""),"-",(4.61762-0.73254)/684759.39703*100)</f>
        <v>5.6736424747885425E-4</v>
      </c>
      <c r="G82" s="10">
        <f>IF(OR(1062650.29445="",198.35219="",4.61762=""),"-",(198.35219-4.61762)/1062650.29445*100)</f>
        <v>1.8231263004568402E-2</v>
      </c>
    </row>
    <row r="83" spans="1:7" x14ac:dyDescent="0.25">
      <c r="A83" s="27" t="s">
        <v>97</v>
      </c>
      <c r="B83" s="10">
        <v>187.18860000000001</v>
      </c>
      <c r="C83" s="10" t="s">
        <v>380</v>
      </c>
      <c r="D83" s="10">
        <f>IF(16.1515="","-",16.1515/1062650.29445*100)</f>
        <v>1.5199261774410549E-3</v>
      </c>
      <c r="E83" s="10">
        <f>IF(187.1886="","-",187.1886/1075156.27333*100)</f>
        <v>1.7410362069528267E-2</v>
      </c>
      <c r="F83" s="10">
        <f>IF(OR(684759.39703="",221.38569="",16.1515=""),"-",(16.1515-221.38569)/684759.39703*100)</f>
        <v>-2.9971723044643152E-2</v>
      </c>
      <c r="G83" s="10">
        <f>IF(OR(1062650.29445="",187.1886="",16.1515=""),"-",(187.1886-16.1515)/1062650.29445*100)</f>
        <v>1.6095332669015479E-2</v>
      </c>
    </row>
    <row r="84" spans="1:7" x14ac:dyDescent="0.25">
      <c r="A84" s="27" t="s">
        <v>324</v>
      </c>
      <c r="B84" s="10">
        <v>175.10164</v>
      </c>
      <c r="C84" s="10" t="str">
        <f>IF(OR(""="",175.10164=""),"-",175.10164/""*100)</f>
        <v>-</v>
      </c>
      <c r="D84" s="10" t="str">
        <f>IF(""="","-",""/1062650.29445*100)</f>
        <v>-</v>
      </c>
      <c r="E84" s="10">
        <f>IF(175.10164="","-",175.10164/1075156.27333*100)</f>
        <v>1.6286157123714767E-2</v>
      </c>
      <c r="F84" s="10" t="str">
        <f>IF(OR(684759.39703="",""="",""=""),"-",(""-"")/684759.39703*100)</f>
        <v>-</v>
      </c>
      <c r="G84" s="10" t="str">
        <f>IF(OR(1062650.29445="",175.10164="",""=""),"-",(175.10164-"")/1062650.29445*100)</f>
        <v>-</v>
      </c>
    </row>
    <row r="85" spans="1:7" x14ac:dyDescent="0.25">
      <c r="A85" s="27" t="s">
        <v>37</v>
      </c>
      <c r="B85" s="10">
        <v>170.48973000000001</v>
      </c>
      <c r="C85" s="10" t="s">
        <v>381</v>
      </c>
      <c r="D85" s="10">
        <f>IF(14.27717="","-",14.27717/1062650.29445*100)</f>
        <v>1.3435435979801324E-3</v>
      </c>
      <c r="E85" s="10">
        <f>IF(170.48973="","-",170.48973/1075156.27333*100)</f>
        <v>1.5857204597054073E-2</v>
      </c>
      <c r="F85" s="10">
        <f>IF(OR(684759.39703="",453.64695="",14.27717=""),"-",(14.27717-453.64695)/684759.39703*100)</f>
        <v>-6.4164111059398982E-2</v>
      </c>
      <c r="G85" s="10">
        <f>IF(OR(1062650.29445="",170.48973="",14.27717=""),"-",(170.48973-14.27717)/1062650.29445*100)</f>
        <v>1.4700279180824161E-2</v>
      </c>
    </row>
    <row r="86" spans="1:7" x14ac:dyDescent="0.25">
      <c r="A86" s="27" t="s">
        <v>80</v>
      </c>
      <c r="B86" s="10">
        <v>158.90356</v>
      </c>
      <c r="C86" s="10">
        <f>IF(OR(168.3329="",158.90356=""),"-",158.90356/168.3329*100)</f>
        <v>94.39839746122118</v>
      </c>
      <c r="D86" s="10">
        <f>IF(168.3329="","-",168.3329/1062650.29445*100)</f>
        <v>1.5840855724518921E-2</v>
      </c>
      <c r="E86" s="10">
        <f>IF(158.90356="","-",158.90356/1075156.27333*100)</f>
        <v>1.4779577996400473E-2</v>
      </c>
      <c r="F86" s="10">
        <f>IF(OR(684759.39703="",187.66983="",168.3329=""),"-",(168.3329-187.66983)/684759.39703*100)</f>
        <v>-2.8239013708858712E-3</v>
      </c>
      <c r="G86" s="10">
        <f>IF(OR(1062650.29445="",158.90356="",168.3329=""),"-",(158.90356-168.3329)/1062650.29445*100)</f>
        <v>-8.8734177642894039E-4</v>
      </c>
    </row>
    <row r="87" spans="1:7" x14ac:dyDescent="0.25">
      <c r="A87" s="27" t="s">
        <v>98</v>
      </c>
      <c r="B87" s="10">
        <v>152.6917</v>
      </c>
      <c r="C87" s="10">
        <f>IF(OR(264.5807="",152.6917=""),"-",152.6917/264.5807*100)</f>
        <v>57.710823200634067</v>
      </c>
      <c r="D87" s="10">
        <f>IF(264.5807="","-",264.5807/1062650.29445*100)</f>
        <v>2.4898191002425692E-2</v>
      </c>
      <c r="E87" s="10">
        <f>IF(152.6917="","-",152.6917/1075156.27333*100)</f>
        <v>1.4201814544324759E-2</v>
      </c>
      <c r="F87" s="10">
        <f>IF(OR(684759.39703="",144.21203="",264.5807=""),"-",(264.5807-144.21203)/684759.39703*100)</f>
        <v>1.7578242886782395E-2</v>
      </c>
      <c r="G87" s="10">
        <f>IF(OR(1062650.29445="",152.6917="",264.5807=""),"-",(152.6917-264.5807)/1062650.29445*100)</f>
        <v>-1.0529240012859622E-2</v>
      </c>
    </row>
    <row r="88" spans="1:7" x14ac:dyDescent="0.25">
      <c r="A88" s="27" t="s">
        <v>103</v>
      </c>
      <c r="B88" s="10">
        <v>152.36609000000001</v>
      </c>
      <c r="C88" s="10">
        <f>IF(OR(261.34947="",152.36609=""),"-",152.36609/261.34947*100)</f>
        <v>58.299750904411638</v>
      </c>
      <c r="D88" s="10">
        <f>IF(261.34947="","-",261.34947/1062650.29445*100)</f>
        <v>2.4594118249905317E-2</v>
      </c>
      <c r="E88" s="10">
        <f>IF(152.36609="","-",152.36609/1075156.27333*100)</f>
        <v>1.4171529644531401E-2</v>
      </c>
      <c r="F88" s="10">
        <f>IF(OR(684759.39703="",37.45992="",261.34947=""),"-",(261.34947-37.45992)/684759.39703*100)</f>
        <v>3.2696090184533996E-2</v>
      </c>
      <c r="G88" s="10">
        <f>IF(OR(1062650.29445="",152.36609="",261.34947=""),"-",(152.36609-261.34947)/1062650.29445*100)</f>
        <v>-1.0255808573074073E-2</v>
      </c>
    </row>
    <row r="89" spans="1:7" x14ac:dyDescent="0.25">
      <c r="A89" s="27" t="s">
        <v>201</v>
      </c>
      <c r="B89" s="10">
        <v>151.89726999999999</v>
      </c>
      <c r="C89" s="10">
        <f>IF(OR(215.7053="",151.89727=""),"-",151.89727/215.7053*100)</f>
        <v>70.418886323145514</v>
      </c>
      <c r="D89" s="10">
        <f>IF(215.7053="","-",215.7053/1062650.29445*100)</f>
        <v>2.0298803955222489E-2</v>
      </c>
      <c r="E89" s="10">
        <f>IF(151.89727="","-",151.89727/1075156.27333*100)</f>
        <v>1.4127924820597482E-2</v>
      </c>
      <c r="F89" s="10">
        <f>IF(OR(684759.39703="",16.90411="",215.7053=""),"-",(215.7053-16.90411)/684759.39703*100)</f>
        <v>2.903226897830952E-2</v>
      </c>
      <c r="G89" s="10">
        <f>IF(OR(1062650.29445="",151.89727="",215.7053=""),"-",(151.89727-215.7053)/1062650.29445*100)</f>
        <v>-6.004612273036199E-3</v>
      </c>
    </row>
    <row r="90" spans="1:7" x14ac:dyDescent="0.25">
      <c r="A90" s="27" t="s">
        <v>118</v>
      </c>
      <c r="B90" s="10">
        <v>138.31342000000001</v>
      </c>
      <c r="C90" s="10">
        <f>IF(OR(97.54444="",138.31342=""),"-",138.31342/97.54444*100)</f>
        <v>141.79528838342813</v>
      </c>
      <c r="D90" s="10">
        <f>IF(97.54444="","-",97.54444/1062650.29445*100)</f>
        <v>9.1793547236992436E-3</v>
      </c>
      <c r="E90" s="10">
        <f>IF(138.31342="","-",138.31342/1075156.27333*100)</f>
        <v>1.2864494532651736E-2</v>
      </c>
      <c r="F90" s="10">
        <f>IF(OR(684759.39703="",140.52191="",97.54444=""),"-",(97.54444-140.52191)/684759.39703*100)</f>
        <v>-6.2762877276903014E-3</v>
      </c>
      <c r="G90" s="10">
        <f>IF(OR(1062650.29445="",138.31342="",97.54444=""),"-",(138.31342-97.54444)/1062650.29445*100)</f>
        <v>3.836537778507931E-3</v>
      </c>
    </row>
    <row r="91" spans="1:7" x14ac:dyDescent="0.25">
      <c r="A91" s="27" t="s">
        <v>67</v>
      </c>
      <c r="B91" s="10">
        <v>102.04067000000001</v>
      </c>
      <c r="C91" s="10" t="s">
        <v>333</v>
      </c>
      <c r="D91" s="10">
        <f>IF(14.7956="","-",14.7956/1062650.29445*100)</f>
        <v>1.3923301087172633E-3</v>
      </c>
      <c r="E91" s="10">
        <f>IF(102.04067="","-",102.04067/1075156.27333*100)</f>
        <v>9.4907756696575082E-3</v>
      </c>
      <c r="F91" s="10">
        <f>IF(OR(684759.39703="",82.34109="",14.7956=""),"-",(14.7956-82.34109)/684759.39703*100)</f>
        <v>-9.8641201994400327E-3</v>
      </c>
      <c r="G91" s="10">
        <f>IF(OR(1062650.29445="",102.04067="",14.7956=""),"-",(102.04067-14.7956)/1062650.29445*100)</f>
        <v>8.2101393521144955E-3</v>
      </c>
    </row>
    <row r="92" spans="1:7" x14ac:dyDescent="0.25">
      <c r="A92" s="27" t="s">
        <v>300</v>
      </c>
      <c r="B92" s="10">
        <v>99.900270000000006</v>
      </c>
      <c r="C92" s="10" t="s">
        <v>101</v>
      </c>
      <c r="D92" s="10">
        <f>IF(51.54303="","-",51.54303/1062650.29445*100)</f>
        <v>4.8504225961446077E-3</v>
      </c>
      <c r="E92" s="10">
        <f>IF(99.90027="","-",99.90027/1075156.27333*100)</f>
        <v>9.2916976329949202E-3</v>
      </c>
      <c r="F92" s="10">
        <f>IF(OR(684759.39703="",38.2974="",51.54303=""),"-",(51.54303-38.2974)/684759.39703*100)</f>
        <v>1.9343480436267301E-3</v>
      </c>
      <c r="G92" s="10">
        <f>IF(OR(1062650.29445="",99.90027="",51.54303=""),"-",(99.90027-51.54303)/1062650.29445*100)</f>
        <v>4.5506259446367022E-3</v>
      </c>
    </row>
    <row r="93" spans="1:7" x14ac:dyDescent="0.25">
      <c r="A93" s="27" t="s">
        <v>34</v>
      </c>
      <c r="B93" s="10">
        <v>98.291229999999999</v>
      </c>
      <c r="C93" s="10">
        <f>IF(OR(1231.48744="",98.29123=""),"-",98.29123/1231.48744*100)</f>
        <v>7.9815048702404949</v>
      </c>
      <c r="D93" s="10">
        <f>IF(1231.48744="","-",1231.48744/1062650.29445*100)</f>
        <v>0.11588830741701209</v>
      </c>
      <c r="E93" s="10">
        <f>IF(98.29123="","-",98.29123/1075156.27333*100)</f>
        <v>9.1420412490893083E-3</v>
      </c>
      <c r="F93" s="10">
        <f>IF(OR(684759.39703="",279.68352="",1231.48744=""),"-",(1231.48744-279.68352)/684759.39703*100)</f>
        <v>0.13899829985951995</v>
      </c>
      <c r="G93" s="10">
        <f>IF(OR(1062650.29445="",98.29123="",1231.48744=""),"-",(98.29123-1231.48744)/1062650.29445*100)</f>
        <v>-0.106638676516484</v>
      </c>
    </row>
    <row r="94" spans="1:7" x14ac:dyDescent="0.25">
      <c r="A94" s="27" t="s">
        <v>65</v>
      </c>
      <c r="B94" s="10">
        <v>80.462260000000001</v>
      </c>
      <c r="C94" s="10">
        <f>IF(OR(578.8395="",80.46226=""),"-",80.46226/578.8395*100)</f>
        <v>13.900616664895882</v>
      </c>
      <c r="D94" s="10">
        <f>IF(578.8395="","-",578.8395/1062650.29445*100)</f>
        <v>5.4471306602290291E-2</v>
      </c>
      <c r="E94" s="10">
        <f>IF(80.46226="","-",80.46226/1075156.27333*100)</f>
        <v>7.4837734751609965E-3</v>
      </c>
      <c r="F94" s="10">
        <f>IF(OR(684759.39703="",86.15138="",578.8395=""),"-",(578.8395-86.15138)/684759.39703*100)</f>
        <v>7.195054527720704E-2</v>
      </c>
      <c r="G94" s="10">
        <f>IF(OR(1062650.29445="",80.46226="",578.8395=""),"-",(80.46226-578.8395)/1062650.29445*100)</f>
        <v>-4.6899459079145792E-2</v>
      </c>
    </row>
    <row r="95" spans="1:7" x14ac:dyDescent="0.25">
      <c r="A95" s="27" t="s">
        <v>360</v>
      </c>
      <c r="B95" s="10">
        <v>77.462239999999994</v>
      </c>
      <c r="C95" s="10" t="str">
        <f>IF(OR(""="",77.46224=""),"-",77.46224/""*100)</f>
        <v>-</v>
      </c>
      <c r="D95" s="10" t="str">
        <f>IF(""="","-",""/1062650.29445*100)</f>
        <v>-</v>
      </c>
      <c r="E95" s="10">
        <f>IF(77.46224="","-",77.46224/1075156.27333*100)</f>
        <v>7.2047424101504857E-3</v>
      </c>
      <c r="F95" s="10" t="str">
        <f>IF(OR(684759.39703="",""="",""=""),"-",(""-"")/684759.39703*100)</f>
        <v>-</v>
      </c>
      <c r="G95" s="10" t="str">
        <f>IF(OR(1062650.29445="",77.46224="",""=""),"-",(77.46224-"")/1062650.29445*100)</f>
        <v>-</v>
      </c>
    </row>
    <row r="96" spans="1:7" x14ac:dyDescent="0.25">
      <c r="A96" s="27" t="s">
        <v>361</v>
      </c>
      <c r="B96" s="10">
        <v>73.098399999999998</v>
      </c>
      <c r="C96" s="10">
        <f>IF(OR(83.94764="",73.0984=""),"-",73.0984/83.94764*100)</f>
        <v>87.076182248839856</v>
      </c>
      <c r="D96" s="10">
        <f>IF(83.94764="","-",83.94764/1062650.29445*100)</f>
        <v>7.8998368925733108E-3</v>
      </c>
      <c r="E96" s="10">
        <f>IF(73.0984="","-",73.0984/1075156.27333*100)</f>
        <v>6.7988628084360118E-3</v>
      </c>
      <c r="F96" s="10" t="str">
        <f>IF(OR(684759.39703="",""="",83.94764=""),"-",(83.94764-"")/684759.39703*100)</f>
        <v>-</v>
      </c>
      <c r="G96" s="10">
        <f>IF(OR(1062650.29445="",73.0984="",83.94764=""),"-",(73.0984-83.94764)/1062650.29445*100)</f>
        <v>-1.0209605226350869E-3</v>
      </c>
    </row>
    <row r="97" spans="1:7" x14ac:dyDescent="0.25">
      <c r="A97" s="27" t="s">
        <v>302</v>
      </c>
      <c r="B97" s="10">
        <v>72.57199</v>
      </c>
      <c r="C97" s="10">
        <f>IF(OR(60.41078="",72.57199=""),"-",72.57199/60.41078*100)</f>
        <v>120.13086075034951</v>
      </c>
      <c r="D97" s="10">
        <f>IF(60.41078="","-",60.41078/1062650.29445*100)</f>
        <v>5.684916318709256E-3</v>
      </c>
      <c r="E97" s="10">
        <f>IF(72.57199="","-",72.57199/1075156.27333*100)</f>
        <v>6.7499015538669809E-3</v>
      </c>
      <c r="F97" s="10">
        <f>IF(OR(684759.39703="",164.81958="",60.41078=""),"-",(60.41078-164.81958)/684759.39703*100)</f>
        <v>-1.5247516200997201E-2</v>
      </c>
      <c r="G97" s="10">
        <f>IF(OR(1062650.29445="",72.57199="",60.41078=""),"-",(72.57199-60.41078)/1062650.29445*100)</f>
        <v>1.1444225878932564E-3</v>
      </c>
    </row>
    <row r="98" spans="1:7" x14ac:dyDescent="0.25">
      <c r="A98" s="27" t="s">
        <v>94</v>
      </c>
      <c r="B98" s="10">
        <v>72.453689999999995</v>
      </c>
      <c r="C98" s="10">
        <f>IF(OR(64.98684="",72.45369=""),"-",72.45369/64.98684*100)</f>
        <v>111.48978777857177</v>
      </c>
      <c r="D98" s="10">
        <f>IF(64.98684="","-",64.98684/1062650.29445*100)</f>
        <v>6.1155434049576483E-3</v>
      </c>
      <c r="E98" s="10">
        <f>IF(72.45369="","-",72.45369/1075156.27333*100)</f>
        <v>6.7388985022237445E-3</v>
      </c>
      <c r="F98" s="10">
        <f>IF(OR(684759.39703="",29.25017="",64.98684=""),"-",(64.98684-29.25017)/684759.39703*100)</f>
        <v>5.2188652182066139E-3</v>
      </c>
      <c r="G98" s="10">
        <f>IF(OR(1062650.29445="",72.45369="",64.98684=""),"-",(72.45369-64.98684)/1062650.29445*100)</f>
        <v>7.0266295873607605E-4</v>
      </c>
    </row>
    <row r="99" spans="1:7" x14ac:dyDescent="0.25">
      <c r="A99" s="27" t="s">
        <v>59</v>
      </c>
      <c r="B99" s="10">
        <v>67.144810000000007</v>
      </c>
      <c r="C99" s="10" t="s">
        <v>196</v>
      </c>
      <c r="D99" s="10">
        <f>IF(36.4137="","-",36.4137/1062650.29445*100)</f>
        <v>3.4266870474869418E-3</v>
      </c>
      <c r="E99" s="10">
        <f>IF(67.14481="","-",67.14481/1075156.27333*100)</f>
        <v>6.2451209806028913E-3</v>
      </c>
      <c r="F99" s="10">
        <f>IF(OR(684759.39703="",1.05825="",36.4137=""),"-",(36.4137-1.05825)/684759.39703*100)</f>
        <v>5.1631931089002698E-3</v>
      </c>
      <c r="G99" s="10">
        <f>IF(OR(1062650.29445="",67.14481="",36.4137=""),"-",(67.14481-36.4137)/1062650.29445*100)</f>
        <v>2.8919306906987335E-3</v>
      </c>
    </row>
    <row r="100" spans="1:7" x14ac:dyDescent="0.25">
      <c r="A100" s="27" t="s">
        <v>130</v>
      </c>
      <c r="B100" s="10">
        <v>66.072519999999997</v>
      </c>
      <c r="C100" s="10">
        <f>IF(OR(51.91357="",66.07252=""),"-",66.07252/51.91357*100)</f>
        <v>127.27408267241107</v>
      </c>
      <c r="D100" s="10">
        <f>IF(51.91357="","-",51.91357/1062650.29445*100)</f>
        <v>4.8852920166807187E-3</v>
      </c>
      <c r="E100" s="10">
        <f>IF(66.07252="","-",66.07252/1075156.27333*100)</f>
        <v>6.1453875719255759E-3</v>
      </c>
      <c r="F100" s="10">
        <f>IF(OR(684759.39703="",168.98978="",51.91357=""),"-",(51.91357-168.98978)/684759.39703*100)</f>
        <v>-1.7097422906176017E-2</v>
      </c>
      <c r="G100" s="10">
        <f>IF(OR(1062650.29445="",66.07252="",51.91357=""),"-",(66.07252-51.91357)/1062650.29445*100)</f>
        <v>1.3324185834181978E-3</v>
      </c>
    </row>
    <row r="101" spans="1:7" x14ac:dyDescent="0.25">
      <c r="A101" s="27" t="s">
        <v>316</v>
      </c>
      <c r="B101" s="10">
        <v>58.412739999999999</v>
      </c>
      <c r="C101" s="10" t="s">
        <v>308</v>
      </c>
      <c r="D101" s="10">
        <f>IF(22.04356="","-",22.04356/1062650.29445*100)</f>
        <v>2.0743945694203349E-3</v>
      </c>
      <c r="E101" s="10">
        <f>IF(58.41274="","-",58.41274/1075156.27333*100)</f>
        <v>5.4329534644375604E-3</v>
      </c>
      <c r="F101" s="10">
        <f>IF(OR(684759.39703="",36.51299="",22.04356=""),"-",(22.04356-36.51299)/684759.39703*100)</f>
        <v>-2.1130677523752309E-3</v>
      </c>
      <c r="G101" s="10">
        <f>IF(OR(1062650.29445="",58.41274="",22.04356=""),"-",(58.41274-22.04356)/1062650.29445*100)</f>
        <v>3.4224975224632801E-3</v>
      </c>
    </row>
    <row r="102" spans="1:7" x14ac:dyDescent="0.25">
      <c r="A102" s="27" t="s">
        <v>362</v>
      </c>
      <c r="B102" s="10">
        <v>52.124049999999997</v>
      </c>
      <c r="C102" s="10" t="str">
        <f>IF(OR(""="",52.12405=""),"-",52.12405/""*100)</f>
        <v>-</v>
      </c>
      <c r="D102" s="10" t="str">
        <f>IF(""="","-",""/1062650.29445*100)</f>
        <v>-</v>
      </c>
      <c r="E102" s="10">
        <f>IF(52.12405="","-",52.12405/1075156.27333*100)</f>
        <v>4.8480440744265137E-3</v>
      </c>
      <c r="F102" s="10" t="str">
        <f>IF(OR(684759.39703="",15.87327="",""=""),"-",(""-15.87327)/684759.39703*100)</f>
        <v>-</v>
      </c>
      <c r="G102" s="10" t="str">
        <f>IF(OR(1062650.29445="",52.12405="",""=""),"-",(52.12405-"")/1062650.29445*100)</f>
        <v>-</v>
      </c>
    </row>
    <row r="103" spans="1:7" x14ac:dyDescent="0.25">
      <c r="A103" s="28" t="s">
        <v>363</v>
      </c>
      <c r="B103" s="71">
        <v>50.55</v>
      </c>
      <c r="C103" s="71" t="str">
        <f>IF(OR(""="",50.55=""),"-",50.55/""*100)</f>
        <v>-</v>
      </c>
      <c r="D103" s="71" t="str">
        <f>IF(""="","-",""/1062650.29445*100)</f>
        <v>-</v>
      </c>
      <c r="E103" s="71">
        <f>IF(50.55="","-",50.55/1075156.27333*100)</f>
        <v>4.7016421011464053E-3</v>
      </c>
      <c r="F103" s="71" t="str">
        <f>IF(OR(684759.39703="",""="",""=""),"-",(""-"")/684759.39703*100)</f>
        <v>-</v>
      </c>
      <c r="G103" s="71" t="str">
        <f>IF(OR(1062650.29445="",50.55="",""=""),"-",(50.55-"")/1062650.29445*100)</f>
        <v>-</v>
      </c>
    </row>
    <row r="104" spans="1:7" x14ac:dyDescent="0.25">
      <c r="A104" s="20" t="s">
        <v>278</v>
      </c>
      <c r="B104" s="21"/>
      <c r="C104" s="40"/>
      <c r="D104" s="21"/>
      <c r="E104" s="21"/>
    </row>
    <row r="105" spans="1:7" x14ac:dyDescent="0.25">
      <c r="A105" s="74" t="s">
        <v>329</v>
      </c>
      <c r="B105" s="74"/>
      <c r="C105" s="74"/>
      <c r="D105" s="74"/>
      <c r="E105" s="74"/>
    </row>
  </sheetData>
  <mergeCells count="7">
    <mergeCell ref="A105:E105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15"/>
  <sheetViews>
    <sheetView zoomScaleNormal="100" workbookViewId="0">
      <selection sqref="A1:G1"/>
    </sheetView>
  </sheetViews>
  <sheetFormatPr defaultRowHeight="15.75" x14ac:dyDescent="0.25"/>
  <cols>
    <col min="1" max="1" width="30.5" customWidth="1"/>
    <col min="2" max="2" width="11.75" customWidth="1"/>
    <col min="3" max="3" width="10.25" customWidth="1"/>
    <col min="4" max="5" width="8.875" customWidth="1"/>
    <col min="6" max="6" width="9.625" customWidth="1"/>
    <col min="7" max="7" width="10.125" customWidth="1"/>
    <col min="9" max="9" width="10.25" bestFit="1" customWidth="1"/>
  </cols>
  <sheetData>
    <row r="1" spans="1:14" x14ac:dyDescent="0.25">
      <c r="A1" s="85" t="s">
        <v>288</v>
      </c>
      <c r="B1" s="85"/>
      <c r="C1" s="85"/>
      <c r="D1" s="85"/>
      <c r="E1" s="85"/>
      <c r="F1" s="85"/>
      <c r="G1" s="85"/>
    </row>
    <row r="2" spans="1:14" x14ac:dyDescent="0.25">
      <c r="A2" s="86"/>
      <c r="B2" s="86"/>
      <c r="C2" s="86"/>
      <c r="D2" s="86"/>
      <c r="E2" s="86"/>
      <c r="F2" s="86"/>
      <c r="G2" s="86"/>
    </row>
    <row r="3" spans="1:14" ht="54" customHeight="1" x14ac:dyDescent="0.25">
      <c r="A3" s="76"/>
      <c r="B3" s="78" t="s">
        <v>343</v>
      </c>
      <c r="C3" s="79"/>
      <c r="D3" s="80" t="s">
        <v>104</v>
      </c>
      <c r="E3" s="81"/>
      <c r="F3" s="82" t="s">
        <v>113</v>
      </c>
      <c r="G3" s="83"/>
    </row>
    <row r="4" spans="1:14" ht="50.25" customHeight="1" x14ac:dyDescent="0.25">
      <c r="A4" s="77"/>
      <c r="B4" s="44" t="s">
        <v>95</v>
      </c>
      <c r="C4" s="43" t="s">
        <v>344</v>
      </c>
      <c r="D4" s="44" t="s">
        <v>345</v>
      </c>
      <c r="E4" s="44" t="s">
        <v>346</v>
      </c>
      <c r="F4" s="44" t="s">
        <v>351</v>
      </c>
      <c r="G4" s="42" t="s">
        <v>352</v>
      </c>
    </row>
    <row r="5" spans="1:14" s="38" customFormat="1" ht="14.25" x14ac:dyDescent="0.2">
      <c r="A5" s="52" t="s">
        <v>116</v>
      </c>
      <c r="B5" s="58">
        <v>2306997.5400200002</v>
      </c>
      <c r="C5" s="58">
        <f>IF(2039053.91344="","-",2306997.54002/2039053.91344*100)</f>
        <v>113.14058568112915</v>
      </c>
      <c r="D5" s="58">
        <v>100</v>
      </c>
      <c r="E5" s="58">
        <v>100</v>
      </c>
      <c r="F5" s="58">
        <f>IF(1550863.02837="","-",(2039053.91344-1550863.02837)/1550863.02837*100)</f>
        <v>31.478659052379516</v>
      </c>
      <c r="G5" s="58">
        <f>IF(2039053.91344="","-",(2306997.54002-2039053.91344)/2039053.91344*100)</f>
        <v>13.140585681129146</v>
      </c>
      <c r="I5" s="64"/>
      <c r="J5" s="64"/>
      <c r="K5" s="64"/>
      <c r="L5" s="64"/>
      <c r="M5" s="64"/>
      <c r="N5" s="64"/>
    </row>
    <row r="6" spans="1:14" s="1" customFormat="1" ht="15" x14ac:dyDescent="0.25">
      <c r="A6" s="18" t="s">
        <v>119</v>
      </c>
      <c r="B6" s="39"/>
      <c r="C6" s="39"/>
      <c r="D6" s="39"/>
      <c r="E6" s="39"/>
      <c r="F6" s="39"/>
      <c r="G6" s="39"/>
    </row>
    <row r="7" spans="1:14" ht="16.5" customHeight="1" x14ac:dyDescent="0.25">
      <c r="A7" s="26" t="s">
        <v>131</v>
      </c>
      <c r="B7" s="9">
        <v>1113905.7683300001</v>
      </c>
      <c r="C7" s="9">
        <f>IF(904278.55846="","-",1113905.76833/904278.55846*100)</f>
        <v>123.18170744056991</v>
      </c>
      <c r="D7" s="9">
        <f>IF(904278.55846="","-",904278.55846/2039053.91344*100)</f>
        <v>44.347947472091633</v>
      </c>
      <c r="E7" s="9">
        <f>IF(1113905.76833="","-",1113905.76833/2306997.54002*100)</f>
        <v>48.283786567034795</v>
      </c>
      <c r="F7" s="9">
        <f>IF(1550863.02837="","-",(904278.55846-731326.8886)/1550863.02837*100)</f>
        <v>11.151962919754236</v>
      </c>
      <c r="G7" s="9">
        <f>IF(2039053.91344="","-",(1113905.76833-904278.55846)/2039053.91344*100)</f>
        <v>10.280611438877902</v>
      </c>
    </row>
    <row r="8" spans="1:14" x14ac:dyDescent="0.25">
      <c r="A8" s="27" t="s">
        <v>2</v>
      </c>
      <c r="B8" s="10">
        <v>364002.65852</v>
      </c>
      <c r="C8" s="10">
        <f>IF(OR(274366.79234="",364002.65852=""),"-",364002.65852/274366.79234*100)</f>
        <v>132.67008569642121</v>
      </c>
      <c r="D8" s="10">
        <f>IF(274366.79234="","-",274366.79234/2039053.91344*100)</f>
        <v>13.455592838010229</v>
      </c>
      <c r="E8" s="10">
        <f>IF(364002.65852="","-",364002.65852/2306997.54002*100)</f>
        <v>15.778198814934338</v>
      </c>
      <c r="F8" s="10">
        <f>IF(OR(1550863.02837="",189376.74013="",274366.79234=""),"-",(274366.79234-189376.74013)/1550863.02837*100)</f>
        <v>5.4801778529292102</v>
      </c>
      <c r="G8" s="10">
        <f>IF(OR(2039053.91344="",364002.65852="",274366.79234=""),"-",(364002.65852-274366.79234)/2039053.91344*100)</f>
        <v>4.3959537111394571</v>
      </c>
    </row>
    <row r="9" spans="1:14" s="2" customFormat="1" x14ac:dyDescent="0.25">
      <c r="A9" s="27" t="s">
        <v>4</v>
      </c>
      <c r="B9" s="70">
        <v>145180.04490000001</v>
      </c>
      <c r="C9" s="10">
        <f>IF(OR(140800.90265="",145180.0449=""),"-",145180.0449/140800.90265*100)</f>
        <v>103.11016631824128</v>
      </c>
      <c r="D9" s="10">
        <f>IF(140800.90265="","-",140800.90265/2039053.91344*100)</f>
        <v>6.9052074455677763</v>
      </c>
      <c r="E9" s="10">
        <f>IF(145180.0449="","-",145180.0449/2306997.54002*100)</f>
        <v>6.2930298962842146</v>
      </c>
      <c r="F9" s="10">
        <f>IF(OR(1550863.02837="",131228.44406="",140800.90265=""),"-",(140800.90265-131228.44406)/1550863.02837*100)</f>
        <v>0.61723430212021457</v>
      </c>
      <c r="G9" s="10">
        <f>IF(OR(2039053.91344="",145180.0449="",140800.90265=""),"-",(145180.0449-140800.90265)/2039053.91344*100)</f>
        <v>0.21476343617673854</v>
      </c>
    </row>
    <row r="10" spans="1:14" s="2" customFormat="1" x14ac:dyDescent="0.25">
      <c r="A10" s="27" t="s">
        <v>3</v>
      </c>
      <c r="B10" s="10">
        <v>108736.47164</v>
      </c>
      <c r="C10" s="10">
        <f>IF(OR(112537.0121="",108736.47164=""),"-",108736.47164/112537.0121*100)</f>
        <v>96.622852882727287</v>
      </c>
      <c r="D10" s="10">
        <f>IF(112537.0121="","-",112537.0121/2039053.91344*100)</f>
        <v>5.5190797731357506</v>
      </c>
      <c r="E10" s="10">
        <f>IF(108736.47164="","-",108736.47164/2306997.54002*100)</f>
        <v>4.7133327952771609</v>
      </c>
      <c r="F10" s="10">
        <f>IF(OR(1550863.02837="",101855.36909="",112537.0121=""),"-",(112537.0121-101855.36909)/1550863.02837*100)</f>
        <v>0.68875476522428403</v>
      </c>
      <c r="G10" s="10">
        <f>IF(OR(2039053.91344="",108736.47164="",112537.0121=""),"-",(108736.47164-112537.0121)/2039053.91344*100)</f>
        <v>-0.18638744345843586</v>
      </c>
    </row>
    <row r="11" spans="1:14" s="2" customFormat="1" x14ac:dyDescent="0.25">
      <c r="A11" s="27" t="s">
        <v>5</v>
      </c>
      <c r="B11" s="10">
        <v>72966.716010000004</v>
      </c>
      <c r="C11" s="10">
        <f>IF(OR(66254.10598="",72966.71601=""),"-",72966.71601/66254.10598*100)</f>
        <v>110.13161362712573</v>
      </c>
      <c r="D11" s="10">
        <f>IF(66254.10598="","-",66254.10598/2039053.91344*100)</f>
        <v>3.2492571943929396</v>
      </c>
      <c r="E11" s="10">
        <f>IF(72966.71601="","-",72966.71601/2306997.54002*100)</f>
        <v>3.1628432516389866</v>
      </c>
      <c r="F11" s="10">
        <f>IF(OR(1550863.02837="",60020.71357="",66254.10598=""),"-",(66254.10598-60020.71357)/1550863.02837*100)</f>
        <v>0.40193055711383241</v>
      </c>
      <c r="G11" s="10">
        <f>IF(OR(2039053.91344="",72966.71601="",66254.10598=""),"-",(72966.71601-66254.10598)/2039053.91344*100)</f>
        <v>0.32920218468747869</v>
      </c>
    </row>
    <row r="12" spans="1:14" s="2" customFormat="1" x14ac:dyDescent="0.25">
      <c r="A12" s="27" t="s">
        <v>290</v>
      </c>
      <c r="B12" s="10">
        <v>63368.072540000001</v>
      </c>
      <c r="C12" s="10">
        <f>IF(OR(58399.0911="",63368.07254=""),"-",63368.07254/58399.0911*100)</f>
        <v>108.50866228635535</v>
      </c>
      <c r="D12" s="10">
        <f>IF(58399.0911="","-",58399.0911/2039053.91344*100)</f>
        <v>2.8640287887963396</v>
      </c>
      <c r="E12" s="10">
        <f>IF(63368.07254="","-",63368.07254/2306997.54002*100)</f>
        <v>2.7467767711382405</v>
      </c>
      <c r="F12" s="10">
        <f>IF(OR(1550863.02837="",49719.63686="",58399.0911=""),"-",(58399.0911-49719.63686)/1550863.02837*100)</f>
        <v>0.55965317898656375</v>
      </c>
      <c r="G12" s="10">
        <f>IF(OR(2039053.91344="",63368.07254="",58399.0911=""),"-",(63368.07254-58399.0911)/2039053.91344*100)</f>
        <v>0.24369053742267408</v>
      </c>
    </row>
    <row r="13" spans="1:14" s="2" customFormat="1" x14ac:dyDescent="0.25">
      <c r="A13" s="27" t="s">
        <v>8</v>
      </c>
      <c r="B13" s="70">
        <v>59844.485970000002</v>
      </c>
      <c r="C13" s="10" t="s">
        <v>382</v>
      </c>
      <c r="D13" s="10">
        <f>IF(8113.73497="","-",8113.73497/2039053.91344*100)</f>
        <v>0.39791664734904769</v>
      </c>
      <c r="E13" s="10">
        <f>IF(59844.48597="","-",59844.48597/2306997.54002*100)</f>
        <v>2.5940420365372905</v>
      </c>
      <c r="F13" s="10">
        <f>IF(OR(1550863.02837="",6120.95733="",8113.73497=""),"-",(8113.73497-6120.95733)/1550863.02837*100)</f>
        <v>0.12849475443969186</v>
      </c>
      <c r="G13" s="10">
        <f>IF(OR(2039053.91344="",59844.48597="",8113.73497=""),"-",(59844.48597-8113.73497)/2039053.91344*100)</f>
        <v>2.536997705603933</v>
      </c>
    </row>
    <row r="14" spans="1:14" s="2" customFormat="1" x14ac:dyDescent="0.25">
      <c r="A14" s="27" t="s">
        <v>40</v>
      </c>
      <c r="B14" s="10">
        <v>54705.365469999997</v>
      </c>
      <c r="C14" s="10">
        <f>IF(OR(49957.33533="",54705.36547=""),"-",54705.36547/49957.33533*100)</f>
        <v>109.50417012564068</v>
      </c>
      <c r="D14" s="10">
        <f>IF(49957.33533="","-",49957.33533/2039053.91344*100)</f>
        <v>2.4500252298733547</v>
      </c>
      <c r="E14" s="10">
        <f>IF(54705.36547="","-",54705.36547/2306997.54002*100)</f>
        <v>2.3712797487216104</v>
      </c>
      <c r="F14" s="10">
        <f>IF(OR(1550863.02837="",33444.90246="",49957.33533=""),"-",(49957.33533-33444.90246)/1550863.02837*100)</f>
        <v>1.0647254185532444</v>
      </c>
      <c r="G14" s="10">
        <f>IF(OR(2039053.91344="",54705.36547="",49957.33533=""),"-",(54705.36547-49957.33533)/2039053.91344*100)</f>
        <v>0.23285456596828269</v>
      </c>
    </row>
    <row r="15" spans="1:14" s="2" customFormat="1" x14ac:dyDescent="0.25">
      <c r="A15" s="27" t="s">
        <v>6</v>
      </c>
      <c r="B15" s="10">
        <v>47340.242019999998</v>
      </c>
      <c r="C15" s="10" t="s">
        <v>196</v>
      </c>
      <c r="D15" s="10">
        <f>IF(26316.28132="","-",26316.28132/2039053.91344*100)</f>
        <v>1.2906123347961376</v>
      </c>
      <c r="E15" s="10">
        <f>IF(47340.24202="","-",47340.24202/2306997.54002*100)</f>
        <v>2.0520282834627377</v>
      </c>
      <c r="F15" s="10">
        <f>IF(OR(1550863.02837="",15429.7581="",26316.28132=""),"-",(26316.28132-15429.7581)/1550863.02837*100)</f>
        <v>0.70196548765767119</v>
      </c>
      <c r="G15" s="10">
        <f>IF(OR(2039053.91344="",47340.24202="",26316.28132=""),"-",(47340.24202-26316.28132)/2039053.91344*100)</f>
        <v>1.031064483456025</v>
      </c>
    </row>
    <row r="16" spans="1:14" s="2" customFormat="1" x14ac:dyDescent="0.25">
      <c r="A16" s="27" t="s">
        <v>298</v>
      </c>
      <c r="B16" s="10">
        <v>33167.706310000001</v>
      </c>
      <c r="C16" s="10">
        <f>IF(OR(28804.86912="",33167.70631=""),"-",33167.70631/28804.86912*100)</f>
        <v>115.14617952896987</v>
      </c>
      <c r="D16" s="10">
        <f>IF(28804.86912="","-",28804.86912/2039053.91344*100)</f>
        <v>1.4126585339474691</v>
      </c>
      <c r="E16" s="10">
        <f>IF(33167.70631="","-",33167.70631/2306997.54002*100)</f>
        <v>1.4377001160440102</v>
      </c>
      <c r="F16" s="10">
        <f>IF(OR(1550863.02837="",26740.07078="",28804.86912=""),"-",(28804.86912-26740.07078)/1550863.02837*100)</f>
        <v>0.13313866551904083</v>
      </c>
      <c r="G16" s="10">
        <f>IF(OR(2039053.91344="",33167.70631="",28804.86912=""),"-",(33167.70631-28804.86912)/2039053.91344*100)</f>
        <v>0.21396379768299739</v>
      </c>
    </row>
    <row r="17" spans="1:7" s="2" customFormat="1" x14ac:dyDescent="0.25">
      <c r="A17" s="27" t="s">
        <v>38</v>
      </c>
      <c r="B17" s="10">
        <v>30015.30745</v>
      </c>
      <c r="C17" s="10">
        <f>IF(OR(28303.05068="",30015.30745=""),"-",30015.30745/28303.05068*100)</f>
        <v>106.04972513160902</v>
      </c>
      <c r="D17" s="10">
        <f>IF(28303.05068="","-",28303.05068/2039053.91344*100)</f>
        <v>1.3880481773162703</v>
      </c>
      <c r="E17" s="10">
        <f>IF(30015.30745="","-",30015.30745/2306997.54002*100)</f>
        <v>1.3010550262545919</v>
      </c>
      <c r="F17" s="10">
        <f>IF(OR(1550863.02837="",22833.31556="",28303.05068=""),"-",(28303.05068-22833.31556)/1550863.02837*100)</f>
        <v>0.35268976176115591</v>
      </c>
      <c r="G17" s="10">
        <f>IF(OR(2039053.91344="",30015.30745="",28303.05068=""),"-",(30015.30745-28303.05068)/2039053.91344*100)</f>
        <v>8.3973099421943448E-2</v>
      </c>
    </row>
    <row r="18" spans="1:7" s="2" customFormat="1" x14ac:dyDescent="0.25">
      <c r="A18" s="27" t="s">
        <v>7</v>
      </c>
      <c r="B18" s="70">
        <v>24816.070179999999</v>
      </c>
      <c r="C18" s="10">
        <f>IF(OR(20447.27205="",24816.07018=""),"-",24816.07018/20447.27205*100)</f>
        <v>121.36616620210714</v>
      </c>
      <c r="D18" s="10">
        <f>IF(20447.27205="","-",20447.27205/2039053.91344*100)</f>
        <v>1.0027823156232434</v>
      </c>
      <c r="E18" s="10">
        <f>IF(24816.07018="","-",24816.07018/2306997.54002*100)</f>
        <v>1.0756868938744018</v>
      </c>
      <c r="F18" s="10">
        <f>IF(OR(1550863.02837="",21566.29886="",20447.27205=""),"-",(20447.27205-21566.29886)/1550863.02837*100)</f>
        <v>-7.2155102644759522E-2</v>
      </c>
      <c r="G18" s="10">
        <f>IF(OR(2039053.91344="",24816.07018="",20447.27205=""),"-",(24816.07018-20447.27205)/2039053.91344*100)</f>
        <v>0.21425613620140077</v>
      </c>
    </row>
    <row r="19" spans="1:7" s="2" customFormat="1" ht="15.75" customHeight="1" x14ac:dyDescent="0.25">
      <c r="A19" s="27" t="s">
        <v>304</v>
      </c>
      <c r="B19" s="10">
        <v>22894.210220000001</v>
      </c>
      <c r="C19" s="10">
        <f>IF(OR(21892.55647="",22894.21022=""),"-",22894.21022/21892.55647*100)</f>
        <v>104.5753165071087</v>
      </c>
      <c r="D19" s="10">
        <f>IF(21892.55647="","-",21892.55647/2039053.91344*100)</f>
        <v>1.073662463052093</v>
      </c>
      <c r="E19" s="10">
        <f>IF(22894.21022="","-",22894.21022/2306997.54002*100)</f>
        <v>0.99238121510097155</v>
      </c>
      <c r="F19" s="10">
        <f>IF(OR(1550863.02837="",16137.79956="",21892.55647=""),"-",(21892.55647-16137.79956)/1550863.02837*100)</f>
        <v>0.37106803145912948</v>
      </c>
      <c r="G19" s="10">
        <f>IF(OR(2039053.91344="",22894.21022="",21892.55647=""),"-",(22894.21022-21892.55647)/2039053.91344*100)</f>
        <v>4.9123455902652151E-2</v>
      </c>
    </row>
    <row r="20" spans="1:7" s="2" customFormat="1" x14ac:dyDescent="0.25">
      <c r="A20" s="27" t="s">
        <v>42</v>
      </c>
      <c r="B20" s="70">
        <v>20324.916089999999</v>
      </c>
      <c r="C20" s="10" t="s">
        <v>196</v>
      </c>
      <c r="D20" s="10">
        <f>IF(11052.09884="","-",11052.09884/2039053.91344*100)</f>
        <v>0.54202092289725101</v>
      </c>
      <c r="E20" s="10">
        <f>IF(20324.91609="","-",20324.91609/2306997.54002*100)</f>
        <v>0.88101160653269672</v>
      </c>
      <c r="F20" s="10">
        <f>IF(OR(1550863.02837="",7433.47874="",11052.09884=""),"-",(11052.09884-7433.47874)/1550863.02837*100)</f>
        <v>0.23332944520595547</v>
      </c>
      <c r="G20" s="10">
        <f>IF(OR(2039053.91344="",20324.91609="",11052.09884=""),"-",(20324.91609-11052.09884)/2039053.91344*100)</f>
        <v>0.45476076865256726</v>
      </c>
    </row>
    <row r="21" spans="1:7" s="2" customFormat="1" x14ac:dyDescent="0.25">
      <c r="A21" s="27" t="s">
        <v>39</v>
      </c>
      <c r="B21" s="10">
        <v>16045.252990000001</v>
      </c>
      <c r="C21" s="10">
        <f>IF(OR(11991.3967="",16045.25299=""),"-",16045.25299/11991.3967*100)</f>
        <v>133.80637294736485</v>
      </c>
      <c r="D21" s="10">
        <f>IF(11991.3967="","-",11991.3967/2039053.91344*100)</f>
        <v>0.58808629928621303</v>
      </c>
      <c r="E21" s="10">
        <f>IF(16045.25299="","-",16045.25299/2306997.54002*100)</f>
        <v>0.6955036887408601</v>
      </c>
      <c r="F21" s="10">
        <f>IF(OR(1550863.02837="",10953.54546="",11991.3967=""),"-",(11991.3967-10953.54546)/1550863.02837*100)</f>
        <v>6.6920883470335243E-2</v>
      </c>
      <c r="G21" s="10">
        <f>IF(OR(2039053.91344="",16045.25299="",11991.3967=""),"-",(16045.25299-11991.3967)/2039053.91344*100)</f>
        <v>0.19881064758905342</v>
      </c>
    </row>
    <row r="22" spans="1:7" s="2" customFormat="1" x14ac:dyDescent="0.25">
      <c r="A22" s="27" t="s">
        <v>49</v>
      </c>
      <c r="B22" s="10">
        <v>9823.8787499999999</v>
      </c>
      <c r="C22" s="10">
        <f>IF(OR(7199.53792="",9823.87875=""),"-",9823.87875/7199.53792*100)</f>
        <v>136.45151757183885</v>
      </c>
      <c r="D22" s="10">
        <f>IF(7199.53792="","-",7199.53792/2039053.91344*100)</f>
        <v>0.35308227372242301</v>
      </c>
      <c r="E22" s="10">
        <f>IF(9823.87875="","-",9823.87875/2306997.54002*100)</f>
        <v>0.42582961531527397</v>
      </c>
      <c r="F22" s="10">
        <f>IF(OR(1550863.02837="",6783.422="",7199.53792=""),"-",(7199.53792-6783.422)/1550863.02837*100)</f>
        <v>2.6831248949002903E-2</v>
      </c>
      <c r="G22" s="10">
        <f>IF(OR(2039053.91344="",9823.87875="",7199.53792=""),"-",(9823.87875-7199.53792)/2039053.91344*100)</f>
        <v>0.12870384704897711</v>
      </c>
    </row>
    <row r="23" spans="1:7" s="2" customFormat="1" x14ac:dyDescent="0.25">
      <c r="A23" s="69" t="s">
        <v>48</v>
      </c>
      <c r="B23" s="70">
        <v>8351.1556999999993</v>
      </c>
      <c r="C23" s="10">
        <f>IF(OR(7060.5414="",8351.1557=""),"-",8351.1557/7060.5414*100)</f>
        <v>118.27925405267079</v>
      </c>
      <c r="D23" s="10">
        <f>IF(7060.5414="","-",7060.5414/2039053.91344*100)</f>
        <v>0.34626555744612286</v>
      </c>
      <c r="E23" s="10">
        <f>IF(8351.1557="","-",8351.1557/2306997.54002*100)</f>
        <v>0.36199239726660482</v>
      </c>
      <c r="F23" s="10">
        <f>IF(OR(1550863.02837="",6126.16149="",7060.5414=""),"-",(7060.5414-6126.16149)/1550863.02837*100)</f>
        <v>6.0249028631629634E-2</v>
      </c>
      <c r="G23" s="10">
        <f>IF(OR(2039053.91344="",8351.1557="",7060.5414=""),"-",(8351.1557-7060.5414)/2039053.91344*100)</f>
        <v>6.3294760942473535E-2</v>
      </c>
    </row>
    <row r="24" spans="1:7" s="2" customFormat="1" x14ac:dyDescent="0.25">
      <c r="A24" s="27" t="s">
        <v>50</v>
      </c>
      <c r="B24" s="10">
        <v>7624.9250000000002</v>
      </c>
      <c r="C24" s="10">
        <f>IF(OR(7660.02538="",7624.925=""),"-",7624.925/7660.02538*100)</f>
        <v>99.541772014337639</v>
      </c>
      <c r="D24" s="10">
        <f>IF(7660.02538="","-",7660.02538/2039053.91344*100)</f>
        <v>0.3756656618792929</v>
      </c>
      <c r="E24" s="10">
        <f>IF(7624.925="","-",7624.925/2306997.54002*100)</f>
        <v>0.33051292286743816</v>
      </c>
      <c r="F24" s="10">
        <f>IF(OR(1550863.02837="",7235.50435="",7660.02538=""),"-",(7660.02538-7235.50435)/1550863.02837*100)</f>
        <v>2.7373212349138483E-2</v>
      </c>
      <c r="G24" s="10">
        <f>IF(OR(2039053.91344="",7624.925="",7660.02538=""),"-",(7624.925-7660.02538)/2039053.91344*100)</f>
        <v>-1.7214051952546719E-3</v>
      </c>
    </row>
    <row r="25" spans="1:7" s="2" customFormat="1" x14ac:dyDescent="0.25">
      <c r="A25" s="27" t="s">
        <v>43</v>
      </c>
      <c r="B25" s="10">
        <v>5307.3799300000001</v>
      </c>
      <c r="C25" s="10">
        <f>IF(OR(4029.70498="",5307.37993=""),"-",5307.37993/4029.70498*100)</f>
        <v>131.7064141504473</v>
      </c>
      <c r="D25" s="10">
        <f>IF(4029.70498="","-",4029.70498/2039053.91344*100)</f>
        <v>0.19762621054004692</v>
      </c>
      <c r="E25" s="10">
        <f>IF(5307.37993="","-",5307.37993/2306997.54002*100)</f>
        <v>0.2300557255884195</v>
      </c>
      <c r="F25" s="10">
        <f>IF(OR(1550863.02837="",3591.07146="",4029.70498=""),"-",(4029.70498-3591.07146)/1550863.02837*100)</f>
        <v>2.8283188906825373E-2</v>
      </c>
      <c r="G25" s="10">
        <f>IF(OR(2039053.91344="",5307.37993="",4029.70498=""),"-",(5307.37993-4029.70498)/2039053.91344*100)</f>
        <v>6.2660184783662226E-2</v>
      </c>
    </row>
    <row r="26" spans="1:7" s="2" customFormat="1" x14ac:dyDescent="0.25">
      <c r="A26" s="27" t="s">
        <v>47</v>
      </c>
      <c r="B26" s="10">
        <v>5087.6922800000002</v>
      </c>
      <c r="C26" s="10">
        <f>IF(OR(3617.46777="",5087.69228=""),"-",5087.69228/3617.46777*100)</f>
        <v>140.6423665248025</v>
      </c>
      <c r="D26" s="10">
        <f>IF(3617.46777="","-",3617.46777/2039053.91344*100)</f>
        <v>0.17740912813320989</v>
      </c>
      <c r="E26" s="10">
        <f>IF(5087.69228="","-",5087.69228/2306997.54002*100)</f>
        <v>0.22053306047113919</v>
      </c>
      <c r="F26" s="10">
        <f>IF(OR(1550863.02837="",2719.92417="",3617.46777=""),"-",(3617.46777-2719.92417)/1550863.02837*100)</f>
        <v>5.7873815003723676E-2</v>
      </c>
      <c r="G26" s="10">
        <f>IF(OR(2039053.91344="",5087.69228="",3617.46777=""),"-",(5087.69228-3617.46777)/2039053.91344*100)</f>
        <v>7.2103268104355689E-2</v>
      </c>
    </row>
    <row r="27" spans="1:7" s="2" customFormat="1" x14ac:dyDescent="0.25">
      <c r="A27" s="27" t="s">
        <v>46</v>
      </c>
      <c r="B27" s="10">
        <v>4901.7758199999998</v>
      </c>
      <c r="C27" s="10">
        <f>IF(OR(5491.43596="",4901.77582=""),"-",4901.77582/5491.43596*100)</f>
        <v>89.262186715913188</v>
      </c>
      <c r="D27" s="10">
        <f>IF(5491.43596="","-",5491.43596/2039053.91344*100)</f>
        <v>0.26931293595546157</v>
      </c>
      <c r="E27" s="10">
        <f>IF(4901.77582="","-",4901.77582/2306997.54002*100)</f>
        <v>0.21247425430533853</v>
      </c>
      <c r="F27" s="10">
        <f>IF(OR(1550863.02837="",3551.77662="",5491.43596=""),"-",(5491.43596-3551.77662)/1550863.02837*100)</f>
        <v>0.1250696744017836</v>
      </c>
      <c r="G27" s="10">
        <f>IF(OR(2039053.91344="",4901.77582="",5491.43596=""),"-",(4901.77582-5491.43596)/2039053.91344*100)</f>
        <v>-2.8918320212789752E-2</v>
      </c>
    </row>
    <row r="28" spans="1:7" s="2" customFormat="1" x14ac:dyDescent="0.25">
      <c r="A28" s="27" t="s">
        <v>41</v>
      </c>
      <c r="B28" s="10">
        <v>3521.6635799999999</v>
      </c>
      <c r="C28" s="10">
        <f>IF(OR(4350.64001="",3521.66358=""),"-",3521.66358/4350.64001*100)</f>
        <v>80.945873984181929</v>
      </c>
      <c r="D28" s="10">
        <f>IF(4350.64001="","-",4350.64001/2039053.91344*100)</f>
        <v>0.21336561928665351</v>
      </c>
      <c r="E28" s="10">
        <f>IF(3521.66358="","-",3521.66358/2306997.54002*100)</f>
        <v>0.15265137993902972</v>
      </c>
      <c r="F28" s="10">
        <f>IF(OR(1550863.02837="",2268.45516="",4350.64001=""),"-",(4350.64001-2268.45516)/1550863.02837*100)</f>
        <v>0.13425975162928697</v>
      </c>
      <c r="G28" s="10">
        <f>IF(OR(2039053.91344="",3521.66358="",4350.64001=""),"-",(3521.66358-4350.64001)/2039053.91344*100)</f>
        <v>-4.06549539733096E-2</v>
      </c>
    </row>
    <row r="29" spans="1:7" s="2" customFormat="1" x14ac:dyDescent="0.25">
      <c r="A29" s="27" t="s">
        <v>51</v>
      </c>
      <c r="B29" s="10">
        <v>2072.92364</v>
      </c>
      <c r="C29" s="10">
        <f>IF(OR(2241.34211="",2072.92364=""),"-",2072.92364/2241.34211*100)</f>
        <v>92.48582047119973</v>
      </c>
      <c r="D29" s="10">
        <f>IF(2241.34211="","-",2241.34211/2039053.91344*100)</f>
        <v>0.10992068896396802</v>
      </c>
      <c r="E29" s="10">
        <f>IF(2072.92364="","-",2072.92364/2306997.54002*100)</f>
        <v>8.9853742972869799E-2</v>
      </c>
      <c r="F29" s="10">
        <f>IF(OR(1550863.02837="",1887.88902="",2241.34211=""),"-",(2241.34211-1887.88902)/1550863.02837*100)</f>
        <v>2.2790735450795352E-2</v>
      </c>
      <c r="G29" s="10">
        <f>IF(OR(2039053.91344="",2072.92364="",2241.34211=""),"-",(2072.92364-2241.34211)/2039053.91344*100)</f>
        <v>-8.259637908046704E-3</v>
      </c>
    </row>
    <row r="30" spans="1:7" s="2" customFormat="1" x14ac:dyDescent="0.25">
      <c r="A30" s="27" t="s">
        <v>291</v>
      </c>
      <c r="B30" s="10">
        <v>1661.4954</v>
      </c>
      <c r="C30" s="10">
        <f>IF(OR(1758.39035="",1661.4954=""),"-",1661.4954/1758.39035*100)</f>
        <v>94.489565414186899</v>
      </c>
      <c r="D30" s="10">
        <f>IF(1758.39035="","-",1758.39035/2039053.91344*100)</f>
        <v>8.6235598696529567E-2</v>
      </c>
      <c r="E30" s="10">
        <f>IF(1661.4954="","-",1661.4954/2306997.54002*100)</f>
        <v>7.20198167175157E-2</v>
      </c>
      <c r="F30" s="10">
        <f>IF(OR(1550863.02837="",1757.48178="",1758.39035=""),"-",(1758.39035-1757.48178)/1550863.02837*100)</f>
        <v>5.8584799777886191E-5</v>
      </c>
      <c r="G30" s="10">
        <f>IF(OR(2039053.91344="",1661.4954="",1758.39035=""),"-",(1661.4954-1758.39035)/2039053.91344*100)</f>
        <v>-4.7519562558565494E-3</v>
      </c>
    </row>
    <row r="31" spans="1:7" s="2" customFormat="1" x14ac:dyDescent="0.25">
      <c r="A31" s="27" t="s">
        <v>44</v>
      </c>
      <c r="B31" s="10">
        <v>1426.04033</v>
      </c>
      <c r="C31" s="10" t="s">
        <v>100</v>
      </c>
      <c r="D31" s="10">
        <f>IF(869.01446="","-",869.01446/2039053.91344*100)</f>
        <v>4.2618513138474257E-2</v>
      </c>
      <c r="E31" s="10">
        <f>IF(1426.04033="","-",1426.04033/2306997.54002*100)</f>
        <v>6.1813690966815563E-2</v>
      </c>
      <c r="F31" s="10">
        <f>IF(OR(1550863.02837="",1384.20191="",869.01446=""),"-",(869.01446-1384.20191)/1550863.02837*100)</f>
        <v>-3.3219403685280723E-2</v>
      </c>
      <c r="G31" s="10">
        <f>IF(OR(2039053.91344="",1426.04033="",869.01446=""),"-",(1426.04033-869.01446)/2039053.91344*100)</f>
        <v>2.7317858852504089E-2</v>
      </c>
    </row>
    <row r="32" spans="1:7" s="2" customFormat="1" x14ac:dyDescent="0.25">
      <c r="A32" s="27" t="s">
        <v>52</v>
      </c>
      <c r="B32" s="10">
        <v>511.44596999999999</v>
      </c>
      <c r="C32" s="10">
        <f>IF(OR(579.0045="",511.44597=""),"-",511.44597/579.0045*100)</f>
        <v>88.33195078794725</v>
      </c>
      <c r="D32" s="10">
        <f>IF(579.0045="","-",579.0045/2039053.91344*100)</f>
        <v>2.8395742563922032E-2</v>
      </c>
      <c r="E32" s="10">
        <f>IF(511.44597="","-",511.44597/2306997.54002*100)</f>
        <v>2.216933313225666E-2</v>
      </c>
      <c r="F32" s="10">
        <f>IF(OR(1550863.02837="",950.6016="",579.0045=""),"-",(579.0045-950.6016)/1550863.02837*100)</f>
        <v>-2.3960665332937805E-2</v>
      </c>
      <c r="G32" s="10">
        <f>IF(OR(2039053.91344="",511.44597="",579.0045=""),"-",(511.44597-579.0045)/2039053.91344*100)</f>
        <v>-3.3132292164862343E-3</v>
      </c>
    </row>
    <row r="33" spans="1:7" s="2" customFormat="1" x14ac:dyDescent="0.25">
      <c r="A33" s="27" t="s">
        <v>45</v>
      </c>
      <c r="B33" s="10">
        <v>202.32558</v>
      </c>
      <c r="C33" s="10">
        <f>IF(OR(164.28184="",202.32558=""),"-",202.32558/164.28184*100)</f>
        <v>123.15760524717767</v>
      </c>
      <c r="D33" s="10">
        <f>IF(164.28184="","-",164.28184/2039053.91344*100)</f>
        <v>8.0567678430261396E-3</v>
      </c>
      <c r="E33" s="10">
        <f>IF(202.32558="","-",202.32558/2306997.54002*100)</f>
        <v>8.7700821734836339E-3</v>
      </c>
      <c r="F33" s="10">
        <f>IF(OR(1550863.02837="",169.11711="",164.28184=""),"-",(164.28184-169.11711)/1550863.02837*100)</f>
        <v>-3.1177930684710505E-4</v>
      </c>
      <c r="G33" s="10">
        <f>IF(OR(2039053.91344="",202.32558="",164.28184=""),"-",(202.32558-164.28184)/2039053.91344*100)</f>
        <v>1.8657544927695444E-3</v>
      </c>
    </row>
    <row r="34" spans="1:7" s="2" customFormat="1" x14ac:dyDescent="0.25">
      <c r="A34" s="27" t="s">
        <v>53</v>
      </c>
      <c r="B34" s="10">
        <v>5.5460399999999996</v>
      </c>
      <c r="C34" s="10">
        <f>IF(OR(20.67213="",5.54604=""),"-",5.54604/20.67213*100)</f>
        <v>26.82858515305389</v>
      </c>
      <c r="D34" s="10">
        <f>IF(20.67213="","-",20.67213/2039053.91344*100)</f>
        <v>1.0138098783825161E-3</v>
      </c>
      <c r="E34" s="10">
        <f>IF(5.54604="","-",5.54604/2306997.54002*100)</f>
        <v>2.4040077649809365E-4</v>
      </c>
      <c r="F34" s="10">
        <f>IF(OR(1550863.02837="",33.55809="",20.67213=""),"-",(20.67213-33.55809)/1550863.02837*100)</f>
        <v>-8.3088962495569334E-4</v>
      </c>
      <c r="G34" s="10">
        <f>IF(OR(2039053.91344="",5.54604="",20.67213=""),"-",(5.54604-20.67213)/2039053.91344*100)</f>
        <v>-7.418190318705907E-4</v>
      </c>
    </row>
    <row r="35" spans="1:7" s="2" customFormat="1" x14ac:dyDescent="0.25">
      <c r="A35" s="26" t="s">
        <v>197</v>
      </c>
      <c r="B35" s="9">
        <v>524893.66491000005</v>
      </c>
      <c r="C35" s="9">
        <f>IF(630030.9753="","-",524893.66491/630030.9753*100)</f>
        <v>83.31235851698608</v>
      </c>
      <c r="D35" s="9">
        <f>IF(630030.9753="","-",630030.9753/2039053.91344*100)</f>
        <v>30.898200932662046</v>
      </c>
      <c r="E35" s="9">
        <f>IF(524893.66491="","-",524893.66491/2306997.54002*100)</f>
        <v>22.752242072414589</v>
      </c>
      <c r="F35" s="9">
        <f>IF(1550863.02837="","-",(630030.9753-360583.47945)/1550863.02837*100)</f>
        <v>17.374035676973797</v>
      </c>
      <c r="G35" s="9">
        <f>IF(2039053.91344="","-",(524893.66491-630030.9753)/2039053.91344*100)</f>
        <v>-5.156180996343906</v>
      </c>
    </row>
    <row r="36" spans="1:7" s="2" customFormat="1" x14ac:dyDescent="0.25">
      <c r="A36" s="27" t="s">
        <v>10</v>
      </c>
      <c r="B36" s="10">
        <v>292751.65388</v>
      </c>
      <c r="C36" s="10" t="s">
        <v>195</v>
      </c>
      <c r="D36" s="10">
        <f>IF(132830.48857="","-",132830.48857/2039053.91344*100)</f>
        <v>6.5143195917712333</v>
      </c>
      <c r="E36" s="10">
        <f>IF(292751.65388="","-",292751.65388/2306997.54002*100)</f>
        <v>12.689725446237885</v>
      </c>
      <c r="F36" s="10">
        <f>IF(OR(1550863.02837="",129154.6166="",132830.48857=""),"-",(132830.48857-129154.6166)/1550863.02837*100)</f>
        <v>0.23702105877547652</v>
      </c>
      <c r="G36" s="10">
        <f>IF(OR(2039053.91344="",292751.65388="",132830.48857=""),"-",(292751.65388-132830.48857)/2039053.91344*100)</f>
        <v>7.8429100994295879</v>
      </c>
    </row>
    <row r="37" spans="1:7" s="2" customFormat="1" x14ac:dyDescent="0.25">
      <c r="A37" s="27" t="s">
        <v>292</v>
      </c>
      <c r="B37" s="10">
        <v>149316.94811999999</v>
      </c>
      <c r="C37" s="10">
        <f>IF(OR(448083.75902="",149316.94812=""),"-",149316.94812/448083.75902*100)</f>
        <v>33.323445698315368</v>
      </c>
      <c r="D37" s="10">
        <f>IF(448083.75902="","-",448083.75902/2039053.91344*100)</f>
        <v>21.975081485906237</v>
      </c>
      <c r="E37" s="10">
        <f>IF(149316.94812="","-",149316.94812/2306997.54002*100)</f>
        <v>6.4723496895755472</v>
      </c>
      <c r="F37" s="10">
        <f>IF(OR(1550863.02837="",195586.84294="",448083.75902=""),"-",(448083.75902-195586.84294)/1550863.02837*100)</f>
        <v>16.281058446881751</v>
      </c>
      <c r="G37" s="10">
        <f>IF(OR(2039053.91344="",149316.94812="",448083.75902=""),"-",(149316.94812-448083.75902)/2039053.91344*100)</f>
        <v>-14.652227139789719</v>
      </c>
    </row>
    <row r="38" spans="1:7" s="2" customFormat="1" x14ac:dyDescent="0.25">
      <c r="A38" s="27" t="s">
        <v>11</v>
      </c>
      <c r="B38" s="10">
        <v>41291.129439999997</v>
      </c>
      <c r="C38" s="10" t="s">
        <v>372</v>
      </c>
      <c r="D38" s="10">
        <f>IF(4048.96348="","-",4048.96348/2039053.91344*100)</f>
        <v>0.19857069267821215</v>
      </c>
      <c r="E38" s="10">
        <f>IF(41291.12944="","-",41291.12944/2306997.54002*100)</f>
        <v>1.7898211300061477</v>
      </c>
      <c r="F38" s="10">
        <f>IF(OR(1550863.02837="",3295.09559="",4048.96348=""),"-",(4048.96348-3295.09559)/1550863.02837*100)</f>
        <v>4.8609572619210353E-2</v>
      </c>
      <c r="G38" s="10">
        <f>IF(OR(2039053.91344="",41291.12944="",4048.96348=""),"-",(41291.12944-4048.96348)/2039053.91344*100)</f>
        <v>1.8264434164553474</v>
      </c>
    </row>
    <row r="39" spans="1:7" s="2" customFormat="1" x14ac:dyDescent="0.25">
      <c r="A39" s="27" t="s">
        <v>9</v>
      </c>
      <c r="B39" s="10">
        <v>21712.960510000001</v>
      </c>
      <c r="C39" s="10">
        <f>IF(OR(27704.48289="",21712.96051=""),"-",21712.96051/27704.48289*100)</f>
        <v>78.373455285957888</v>
      </c>
      <c r="D39" s="10">
        <f>IF(27704.48289="","-",27704.48289/2039053.91344*100)</f>
        <v>1.3586930049956825</v>
      </c>
      <c r="E39" s="10">
        <f>IF(21712.96051="","-",21712.96051/2306997.54002*100)</f>
        <v>0.94117831221492176</v>
      </c>
      <c r="F39" s="10">
        <f>IF(OR(1550863.02837="",29061.11823="",27704.48289=""),"-",(27704.48289-29061.11823)/1550863.02837*100)</f>
        <v>-8.7476154578645285E-2</v>
      </c>
      <c r="G39" s="10">
        <f>IF(OR(2039053.91344="",21712.96051="",27704.48289=""),"-",(21712.96051-27704.48289)/2039053.91344*100)</f>
        <v>-0.29383835025195382</v>
      </c>
    </row>
    <row r="40" spans="1:7" s="2" customFormat="1" x14ac:dyDescent="0.25">
      <c r="A40" s="27" t="s">
        <v>12</v>
      </c>
      <c r="B40" s="10">
        <v>11235.68376</v>
      </c>
      <c r="C40" s="10" t="s">
        <v>18</v>
      </c>
      <c r="D40" s="10">
        <f>IF(5636.26435="","-",5636.26435/2039053.91344*100)</f>
        <v>0.27641566085377806</v>
      </c>
      <c r="E40" s="10">
        <f>IF(11235.68376="","-",11235.68376/2306997.54002*100)</f>
        <v>0.4870262566427615</v>
      </c>
      <c r="F40" s="10">
        <f>IF(OR(1550863.02837="",211.5006="",5636.26435=""),"-",(5636.26435-211.5006)/1550863.02837*100)</f>
        <v>0.34978999761839558</v>
      </c>
      <c r="G40" s="10">
        <f>IF(OR(2039053.91344="",11235.68376="",5636.26435=""),"-",(11235.68376-5636.26435)/2039053.91344*100)</f>
        <v>0.27460869833272139</v>
      </c>
    </row>
    <row r="41" spans="1:7" s="2" customFormat="1" x14ac:dyDescent="0.25">
      <c r="A41" s="27" t="s">
        <v>14</v>
      </c>
      <c r="B41" s="10">
        <v>4684.35808</v>
      </c>
      <c r="C41" s="10">
        <f>IF(OR(4176.25494="",4684.35808=""),"-",4684.35808/4176.25494*100)</f>
        <v>112.16647803594097</v>
      </c>
      <c r="D41" s="10">
        <f>IF(4176.25494="","-",4176.25494/2039053.91344*100)</f>
        <v>0.20481336528049032</v>
      </c>
      <c r="E41" s="10">
        <f>IF(4684.35808="","-",4684.35808/2306997.54002*100)</f>
        <v>0.20304998157732712</v>
      </c>
      <c r="F41" s="10">
        <f>IF(OR(1550863.02837="",76.84934="",4176.25494=""),"-",(4176.25494-76.84934)/1550863.02837*100)</f>
        <v>0.26433060334854902</v>
      </c>
      <c r="G41" s="10">
        <f>IF(OR(2039053.91344="",4684.35808="",4176.25494=""),"-",(4684.35808-4176.25494)/2039053.91344*100)</f>
        <v>2.4918573101522422E-2</v>
      </c>
    </row>
    <row r="42" spans="1:7" s="2" customFormat="1" x14ac:dyDescent="0.25">
      <c r="A42" s="27" t="s">
        <v>13</v>
      </c>
      <c r="B42" s="10">
        <v>2326.1051499999999</v>
      </c>
      <c r="C42" s="10">
        <f>IF(OR(5515.22791="",2326.10515=""),"-",2326.10515/5515.22791*100)</f>
        <v>42.176047625926671</v>
      </c>
      <c r="D42" s="10">
        <f>IF(5515.22791="","-",5515.22791/2039053.91344*100)</f>
        <v>0.27047974914481276</v>
      </c>
      <c r="E42" s="10">
        <f>IF(2326.10515="","-",2326.10515/2306997.54002*100)</f>
        <v>0.10082824578910622</v>
      </c>
      <c r="F42" s="10">
        <f>IF(OR(1550863.02837="",2819.24028="",5515.22791=""),"-",(5515.22791-2819.24028)/1550863.02837*100)</f>
        <v>0.17383789417132198</v>
      </c>
      <c r="G42" s="10">
        <f>IF(OR(2039053.91344="",2326.10515="",5515.22791=""),"-",(2326.10515-5515.22791)/2039053.91344*100)</f>
        <v>-0.15640208132700956</v>
      </c>
    </row>
    <row r="43" spans="1:7" s="2" customFormat="1" x14ac:dyDescent="0.25">
      <c r="A43" s="27" t="s">
        <v>299</v>
      </c>
      <c r="B43" s="10">
        <v>996.08808999999997</v>
      </c>
      <c r="C43" s="10">
        <f>IF(OR(1843.10254="",996.08809=""),"-",996.08809/1843.10254*100)</f>
        <v>54.044095126687843</v>
      </c>
      <c r="D43" s="10">
        <f>IF(1843.10254="","-",1843.10254/2039053.91344*100)</f>
        <v>9.0390083746759844E-2</v>
      </c>
      <c r="E43" s="10">
        <f>IF(996.08809="","-",996.08809/2306997.54002*100)</f>
        <v>4.3176816304336611E-2</v>
      </c>
      <c r="F43" s="10">
        <f>IF(OR(1550863.02837="",40.37531="",1843.10254=""),"-",(1843.10254-40.37531)/1550863.02837*100)</f>
        <v>0.11624026087556658</v>
      </c>
      <c r="G43" s="10">
        <f>IF(OR(2039053.91344="",996.08809="",1843.10254=""),"-",(996.08809-1843.10254)/2039053.91344*100)</f>
        <v>-4.1539580901568146E-2</v>
      </c>
    </row>
    <row r="44" spans="1:7" s="2" customFormat="1" x14ac:dyDescent="0.25">
      <c r="A44" s="27" t="s">
        <v>15</v>
      </c>
      <c r="B44" s="10">
        <v>578.73788000000002</v>
      </c>
      <c r="C44" s="10" t="s">
        <v>311</v>
      </c>
      <c r="D44" s="10">
        <f>IF(190.81885="","-",190.81885/2039053.91344*100)</f>
        <v>9.3582052314682418E-3</v>
      </c>
      <c r="E44" s="10">
        <f>IF(578.73788="","-",578.73788/2306997.54002*100)</f>
        <v>2.5086194066552089E-2</v>
      </c>
      <c r="F44" s="10">
        <f>IF(OR(1550863.02837="",324.08152="",190.81885=""),"-",(190.81885-324.08152)/1550863.02837*100)</f>
        <v>-8.5928072023267448E-3</v>
      </c>
      <c r="G44" s="10">
        <f>IF(OR(2039053.91344="",578.73788="",190.81885=""),"-",(578.73788-190.81885)/2039053.91344*100)</f>
        <v>1.9024461660533464E-2</v>
      </c>
    </row>
    <row r="45" spans="1:7" s="2" customFormat="1" x14ac:dyDescent="0.25">
      <c r="A45" s="27" t="s">
        <v>16</v>
      </c>
      <c r="B45" s="10" t="s">
        <v>322</v>
      </c>
      <c r="C45" s="10" t="str">
        <f>IF(OR(1.61275="",""=""),"-",""/1.61275*100)</f>
        <v>-</v>
      </c>
      <c r="D45" s="10">
        <f>IF(1.61275="","-",1.61275/2039053.91344*100)</f>
        <v>7.9093053369991528E-5</v>
      </c>
      <c r="E45" s="10" t="str">
        <f>IF(""="","-",""/2306997.54002*100)</f>
        <v>-</v>
      </c>
      <c r="F45" s="10">
        <f>IF(OR(1550863.02837="",13.75904="",1.61275=""),"-",(1.61275-13.75904)/1550863.02837*100)</f>
        <v>-7.8319553550554939E-4</v>
      </c>
      <c r="G45" s="10" t="str">
        <f>IF(OR(2039053.91344="",""="",1.61275=""),"-",(""-1.61275)/2039053.91344*100)</f>
        <v>-</v>
      </c>
    </row>
    <row r="46" spans="1:7" s="2" customFormat="1" x14ac:dyDescent="0.25">
      <c r="A46" s="26" t="s">
        <v>132</v>
      </c>
      <c r="B46" s="9">
        <v>668198.10678000003</v>
      </c>
      <c r="C46" s="9">
        <f>IF(504744.37968="","-",668198.10678/504744.37968*100)</f>
        <v>132.38346649914698</v>
      </c>
      <c r="D46" s="9">
        <f>IF(504744.37968="","-",504744.37968/2039053.91344*100)</f>
        <v>24.753851595246324</v>
      </c>
      <c r="E46" s="9">
        <f>IF(668198.10678="","-",668198.10678/2306997.54002*100)</f>
        <v>28.963971360550612</v>
      </c>
      <c r="F46" s="9">
        <f>IF(1550863.02837="","-",(504744.37968-458952.66032)/1550863.02837*100)</f>
        <v>2.9526604556514804</v>
      </c>
      <c r="G46" s="9">
        <f>IF(2039053.91344="","-",(668198.10678-504744.37968)/2039053.91344*100)</f>
        <v>8.016155238595152</v>
      </c>
    </row>
    <row r="47" spans="1:7" s="2" customFormat="1" x14ac:dyDescent="0.25">
      <c r="A47" s="27" t="s">
        <v>57</v>
      </c>
      <c r="B47" s="10">
        <v>228568.51047000001</v>
      </c>
      <c r="C47" s="10">
        <f>IF(OR(183471.21904="",228568.51047=""),"-",228568.51047/183471.21904*100)</f>
        <v>124.5800358584678</v>
      </c>
      <c r="D47" s="10">
        <f>IF(183471.21904="","-",183471.21904/2039053.91344*100)</f>
        <v>8.997860126732677</v>
      </c>
      <c r="E47" s="10">
        <f>IF(228568.51047="","-",228568.51047/2306997.54002*100)</f>
        <v>9.9076183006254297</v>
      </c>
      <c r="F47" s="10">
        <f>IF(OR(1550863.02837="",182851.30169="",183471.21904=""),"-",(183471.21904-182851.30169)/1550863.02837*100)</f>
        <v>3.997241140318844E-2</v>
      </c>
      <c r="G47" s="10">
        <f>IF(OR(2039053.91344="",228568.51047="",183471.21904=""),"-",(228568.51047-183471.21904)/2039053.91344*100)</f>
        <v>2.211677245645669</v>
      </c>
    </row>
    <row r="48" spans="1:7" s="2" customFormat="1" x14ac:dyDescent="0.25">
      <c r="A48" s="27" t="s">
        <v>54</v>
      </c>
      <c r="B48" s="70">
        <v>188676.12507000001</v>
      </c>
      <c r="C48" s="10">
        <f>IF(OR(133097.13221="",188676.12507=""),"-",188676.12507/133097.13221*100)</f>
        <v>141.75821968298138</v>
      </c>
      <c r="D48" s="10">
        <f>IF(133097.13221="","-",133097.13221/2039053.91344*100)</f>
        <v>6.5273964230527657</v>
      </c>
      <c r="E48" s="10">
        <f>IF(188676.12507="","-",188676.12507/2306997.54002*100)</f>
        <v>8.178427666132853</v>
      </c>
      <c r="F48" s="10">
        <f>IF(OR(1550863.02837="",115342.49214="",133097.13221=""),"-",(133097.13221-115342.49214)/1550863.02837*100)</f>
        <v>1.1448232206980025</v>
      </c>
      <c r="G48" s="10">
        <f>IF(OR(2039053.91344="",188676.12507="",133097.13221=""),"-",(188676.12507-133097.13221)/2039053.91344*100)</f>
        <v>2.725724537917444</v>
      </c>
    </row>
    <row r="49" spans="1:7" s="2" customFormat="1" x14ac:dyDescent="0.25">
      <c r="A49" s="27" t="s">
        <v>67</v>
      </c>
      <c r="B49" s="10">
        <v>44375.19126</v>
      </c>
      <c r="C49" s="10" t="s">
        <v>196</v>
      </c>
      <c r="D49" s="10">
        <f>IF(25106.62423="","-",25106.62423/2039053.91344*100)</f>
        <v>1.2312879058525577</v>
      </c>
      <c r="E49" s="10">
        <f>IF(44375.19126="","-",44375.19126/2306997.54002*100)</f>
        <v>1.9235040562555299</v>
      </c>
      <c r="F49" s="10">
        <f>IF(OR(1550863.02837="",11433.91986="",25106.62423=""),"-",(25106.62423-11433.91986)/1550863.02837*100)</f>
        <v>0.88161908046582249</v>
      </c>
      <c r="G49" s="10">
        <f>IF(OR(2039053.91344="",44375.19126="",25106.62423=""),"-",(44375.19126-25106.62423)/2039053.91344*100)</f>
        <v>0.94497584899522502</v>
      </c>
    </row>
    <row r="50" spans="1:7" s="2" customFormat="1" x14ac:dyDescent="0.25">
      <c r="A50" s="27" t="s">
        <v>17</v>
      </c>
      <c r="B50" s="70">
        <v>30593.725119999999</v>
      </c>
      <c r="C50" s="10">
        <f>IF(OR(29232.47403="",30593.72512=""),"-",30593.72512/29232.47403*100)</f>
        <v>104.65664003875624</v>
      </c>
      <c r="D50" s="10">
        <f>IF(29232.47403="","-",29232.47403/2039053.91344*100)</f>
        <v>1.4336292845088707</v>
      </c>
      <c r="E50" s="10">
        <f>IF(30593.72512="","-",30593.72512/2306997.54002*100)</f>
        <v>1.3261273403756977</v>
      </c>
      <c r="F50" s="10">
        <f>IF(OR(1550863.02837="",21565.75766="",29232.47403=""),"-",(29232.47403-21565.75766)/1550863.02837*100)</f>
        <v>0.49435161131269822</v>
      </c>
      <c r="G50" s="10">
        <f>IF(OR(2039053.91344="",30593.72512="",29232.47403=""),"-",(30593.72512-29232.47403)/2039053.91344*100)</f>
        <v>6.6758955269774586E-2</v>
      </c>
    </row>
    <row r="51" spans="1:7" s="2" customFormat="1" x14ac:dyDescent="0.25">
      <c r="A51" s="27" t="s">
        <v>73</v>
      </c>
      <c r="B51" s="70">
        <v>20725.361700000001</v>
      </c>
      <c r="C51" s="10" t="s">
        <v>196</v>
      </c>
      <c r="D51" s="10">
        <f>IF(11817.3493="","-",11817.3493/2039053.91344*100)</f>
        <v>0.57955060541108783</v>
      </c>
      <c r="E51" s="10">
        <f>IF(20725.3617="","-",20725.3617/2306997.54002*100)</f>
        <v>0.89836947549672397</v>
      </c>
      <c r="F51" s="10">
        <f>IF(OR(1550863.02837="",14532.73016="",11817.3493=""),"-",(11817.3493-14532.73016)/1550863.02837*100)</f>
        <v>-0.17508837404254454</v>
      </c>
      <c r="G51" s="10">
        <f>IF(OR(2039053.91344="",20725.3617="",11817.3493=""),"-",(20725.3617-11817.3493)/2039053.91344*100)</f>
        <v>0.43686988074639366</v>
      </c>
    </row>
    <row r="52" spans="1:7" s="2" customFormat="1" ht="25.5" x14ac:dyDescent="0.25">
      <c r="A52" s="27" t="s">
        <v>294</v>
      </c>
      <c r="B52" s="70">
        <v>18050.682199999999</v>
      </c>
      <c r="C52" s="10">
        <f>IF(OR(16208.94364="",18050.6822=""),"-",18050.6822/16208.94364*100)</f>
        <v>111.36248358255133</v>
      </c>
      <c r="D52" s="10">
        <f>IF(16208.94364="","-",16208.94364/2039053.91344*100)</f>
        <v>0.79492472137014714</v>
      </c>
      <c r="E52" s="10">
        <f>IF(18050.6822="","-",18050.6822/2306997.54002*100)</f>
        <v>0.78243179226985693</v>
      </c>
      <c r="F52" s="10">
        <f>IF(OR(1550863.02837="",14459.55656="",16208.94364=""),"-",(16208.94364-14459.55656)/1550863.02837*100)</f>
        <v>0.11280087589931478</v>
      </c>
      <c r="G52" s="10">
        <f>IF(OR(2039053.91344="",18050.6822="",16208.94364=""),"-",(18050.6822-16208.94364)/2039053.91344*100)</f>
        <v>9.032319095932495E-2</v>
      </c>
    </row>
    <row r="53" spans="1:7" s="2" customFormat="1" x14ac:dyDescent="0.25">
      <c r="A53" s="27" t="s">
        <v>60</v>
      </c>
      <c r="B53" s="70">
        <v>15902.483539999999</v>
      </c>
      <c r="C53" s="10" t="s">
        <v>327</v>
      </c>
      <c r="D53" s="10">
        <f>IF(3777.26106="","-",3777.26106/2039053.91344*100)</f>
        <v>0.18524576692665989</v>
      </c>
      <c r="E53" s="10">
        <f>IF(15902.48354="","-",15902.48354/2306997.54002*100)</f>
        <v>0.68931514941546645</v>
      </c>
      <c r="F53" s="10">
        <f>IF(OR(1550863.02837="",2921.76544="",3777.26106=""),"-",(3777.26106-2921.76544)/1550863.02837*100)</f>
        <v>5.516255171155568E-2</v>
      </c>
      <c r="G53" s="10">
        <f>IF(OR(2039053.91344="",15902.48354="",3777.26106=""),"-",(15902.48354-3777.26106)/2039053.91344*100)</f>
        <v>0.59464943031074935</v>
      </c>
    </row>
    <row r="54" spans="1:7" s="2" customFormat="1" x14ac:dyDescent="0.25">
      <c r="A54" s="27" t="s">
        <v>69</v>
      </c>
      <c r="B54" s="70">
        <v>12013.32101</v>
      </c>
      <c r="C54" s="10">
        <f>IF(OR(8819.68987="",12013.32101=""),"-",12013.32101/8819.68987*100)</f>
        <v>136.21024307059903</v>
      </c>
      <c r="D54" s="10">
        <f>IF(8819.68987="","-",8819.68987/2039053.91344*100)</f>
        <v>0.4325383361306363</v>
      </c>
      <c r="E54" s="10">
        <f>IF(12013.32101="","-",12013.32101/2306997.54002*100)</f>
        <v>0.520734019070339</v>
      </c>
      <c r="F54" s="10">
        <f>IF(OR(1550863.02837="",12474.54527="",8819.68987=""),"-",(8819.68987-12474.54527)/1550863.02837*100)</f>
        <v>-0.23566590557267683</v>
      </c>
      <c r="G54" s="10">
        <f>IF(OR(2039053.91344="",12013.32101="",8819.68987=""),"-",(12013.32101-8819.68987)/2039053.91344*100)</f>
        <v>0.15662318288642807</v>
      </c>
    </row>
    <row r="55" spans="1:7" s="2" customFormat="1" x14ac:dyDescent="0.25">
      <c r="A55" s="27" t="s">
        <v>34</v>
      </c>
      <c r="B55" s="10">
        <v>10944.844590000001</v>
      </c>
      <c r="C55" s="10">
        <f>IF(OR(13745.78418="",10944.84459=""),"-",10944.84459/13745.78418*100)</f>
        <v>79.623282649269711</v>
      </c>
      <c r="D55" s="10">
        <f>IF(13745.78418="","-",13745.78418/2039053.91344*100)</f>
        <v>0.67412558782274079</v>
      </c>
      <c r="E55" s="10">
        <f>IF(10944.84459="","-",10944.84459/2306997.54002*100)</f>
        <v>0.47441943045613805</v>
      </c>
      <c r="F55" s="10">
        <f>IF(OR(1550863.02837="",9591.89952="",13745.78418=""),"-",(13745.78418-9591.89952)/1550863.02837*100)</f>
        <v>0.26784342550004869</v>
      </c>
      <c r="G55" s="10">
        <f>IF(OR(2039053.91344="",10944.84459="",13745.78418=""),"-",(10944.84459-13745.78418)/2039053.91344*100)</f>
        <v>-0.13736466561958899</v>
      </c>
    </row>
    <row r="56" spans="1:7" s="2" customFormat="1" x14ac:dyDescent="0.25">
      <c r="A56" s="27" t="s">
        <v>64</v>
      </c>
      <c r="B56" s="70">
        <v>9910.0910600000007</v>
      </c>
      <c r="C56" s="10">
        <f>IF(OR(9033.88416="",9910.09106=""),"-",9910.09106/9033.88416*100)</f>
        <v>109.69911595589909</v>
      </c>
      <c r="D56" s="10">
        <f>IF(9033.88416="","-",9033.88416/2039053.91344*100)</f>
        <v>0.44304292792137717</v>
      </c>
      <c r="E56" s="10">
        <f>IF(9910.09106="","-",9910.09106/2306997.54002*100)</f>
        <v>0.42956660716309591</v>
      </c>
      <c r="F56" s="10">
        <f>IF(OR(1550863.02837="",6953.56959="",9033.88416=""),"-",(9033.88416-6953.56959)/1550863.02837*100)</f>
        <v>0.13413915555047229</v>
      </c>
      <c r="G56" s="10">
        <f>IF(OR(2039053.91344="",9910.09106="",9033.88416=""),"-",(9910.09106-9033.88416)/2039053.91344*100)</f>
        <v>4.2971247313504823E-2</v>
      </c>
    </row>
    <row r="57" spans="1:7" s="2" customFormat="1" x14ac:dyDescent="0.25">
      <c r="A57" s="27" t="s">
        <v>76</v>
      </c>
      <c r="B57" s="10">
        <v>9307.8745400000007</v>
      </c>
      <c r="C57" s="10">
        <f>IF(OR(5957.32297="",9307.87454=""),"-",9307.87454/5957.32297*100)</f>
        <v>156.24257047792727</v>
      </c>
      <c r="D57" s="10">
        <f>IF(5957.32297="","-",5957.32297/2039053.91344*100)</f>
        <v>0.29216113074468236</v>
      </c>
      <c r="E57" s="10">
        <f>IF(9307.87454="","-",9307.87454/2306997.54002*100)</f>
        <v>0.40346269896409631</v>
      </c>
      <c r="F57" s="10">
        <f>IF(OR(1550863.02837="",6219.44981="",5957.32297=""),"-",(5957.32297-6219.44981)/1550863.02837*100)</f>
        <v>-1.6901998126520722E-2</v>
      </c>
      <c r="G57" s="10">
        <f>IF(OR(2039053.91344="",9307.87454="",5957.32297=""),"-",(9307.87454-5957.32297)/2039053.91344*100)</f>
        <v>0.16431892986818722</v>
      </c>
    </row>
    <row r="58" spans="1:7" s="2" customFormat="1" x14ac:dyDescent="0.25">
      <c r="A58" s="27" t="s">
        <v>293</v>
      </c>
      <c r="B58" s="10">
        <v>8964.6118700000006</v>
      </c>
      <c r="C58" s="10">
        <f>IF(OR(8642.31752="",8964.61187=""),"-",8964.61187/8642.31752*100)</f>
        <v>103.72925837605651</v>
      </c>
      <c r="D58" s="10">
        <f>IF(8642.31752="","-",8642.31752/2039053.91344*100)</f>
        <v>0.42383957888685336</v>
      </c>
      <c r="E58" s="10">
        <f>IF(8964.61187="","-",8964.61187/2306997.54002*100)</f>
        <v>0.38858350364440714</v>
      </c>
      <c r="F58" s="10">
        <f>IF(OR(1550863.02837="",8293.69906="",8642.31752=""),"-",(8642.31752-8293.69906)/1550863.02837*100)</f>
        <v>2.2478997411293465E-2</v>
      </c>
      <c r="G58" s="10">
        <f>IF(OR(2039053.91344="",8964.61187="",8642.31752=""),"-",(8964.61187-8642.31752)/2039053.91344*100)</f>
        <v>1.5806072996680659E-2</v>
      </c>
    </row>
    <row r="59" spans="1:7" s="2" customFormat="1" x14ac:dyDescent="0.25">
      <c r="A59" s="27" t="s">
        <v>300</v>
      </c>
      <c r="B59" s="70">
        <v>5656.9675999999999</v>
      </c>
      <c r="C59" s="10">
        <f>IF(OR(4610.9921="",5656.9676=""),"-",5656.9676/4610.9921*100)</f>
        <v>122.68439150004183</v>
      </c>
      <c r="D59" s="10">
        <f>IF(4610.9921="","-",4610.9921/2039053.91344*100)</f>
        <v>0.22613389815774876</v>
      </c>
      <c r="E59" s="10">
        <f>IF(5656.9676="","-",5656.9676/2306997.54002*100)</f>
        <v>0.24520908678346306</v>
      </c>
      <c r="F59" s="10">
        <f>IF(OR(1550863.02837="",4490.10111="",4610.9921=""),"-",(4610.9921-4490.10111)/1550863.02837*100)</f>
        <v>7.7950784684744576E-3</v>
      </c>
      <c r="G59" s="10">
        <f>IF(OR(2039053.91344="",5656.9676="",4610.9921=""),"-",(5656.9676-4610.9921)/2039053.91344*100)</f>
        <v>5.1297098772409573E-2</v>
      </c>
    </row>
    <row r="60" spans="1:7" s="2" customFormat="1" x14ac:dyDescent="0.25">
      <c r="A60" s="27" t="s">
        <v>56</v>
      </c>
      <c r="B60" s="10">
        <v>4609.2163600000003</v>
      </c>
      <c r="C60" s="10" t="s">
        <v>320</v>
      </c>
      <c r="D60" s="10">
        <f>IF(503.05727="","-",503.05727/2039053.91344*100)</f>
        <v>2.4671111768266776E-2</v>
      </c>
      <c r="E60" s="10">
        <f>IF(4609.21636="","-",4609.21636/2306997.54002*100)</f>
        <v>0.19979285976872091</v>
      </c>
      <c r="F60" s="10">
        <f>IF(OR(1550863.02837="",1109.44967="",503.05727=""),"-",(503.05727-1109.44967)/1550863.02837*100)</f>
        <v>-3.9100319558029256E-2</v>
      </c>
      <c r="G60" s="10">
        <f>IF(OR(2039053.91344="",4609.21636="",503.05727=""),"-",(4609.21636-503.05727)/2039053.91344*100)</f>
        <v>0.20137569992314114</v>
      </c>
    </row>
    <row r="61" spans="1:7" s="2" customFormat="1" x14ac:dyDescent="0.25">
      <c r="A61" s="27" t="s">
        <v>61</v>
      </c>
      <c r="B61" s="10">
        <v>4198.2737100000004</v>
      </c>
      <c r="C61" s="10" t="s">
        <v>308</v>
      </c>
      <c r="D61" s="10">
        <f>IF(1616.23886="","-",1616.23886/2039053.91344*100)</f>
        <v>7.9264155270583933E-2</v>
      </c>
      <c r="E61" s="10">
        <f>IF(4198.27371="","-",4198.27371/2306997.54002*100)</f>
        <v>0.18197998208370886</v>
      </c>
      <c r="F61" s="10">
        <f>IF(OR(1550863.02837="",1727.81831="",1616.23886=""),"-",(1616.23886-1727.81831)/1550863.02837*100)</f>
        <v>-7.1946682562465418E-3</v>
      </c>
      <c r="G61" s="10">
        <f>IF(OR(2039053.91344="",4198.27371="",1616.23886=""),"-",(4198.27371-1616.23886)/2039053.91344*100)</f>
        <v>0.12662906228133813</v>
      </c>
    </row>
    <row r="62" spans="1:7" s="2" customFormat="1" x14ac:dyDescent="0.25">
      <c r="A62" s="27" t="s">
        <v>68</v>
      </c>
      <c r="B62" s="10">
        <v>4173.7331800000002</v>
      </c>
      <c r="C62" s="10">
        <f>IF(OR(2719.85312="",4173.73318=""),"-",4173.73318/2719.85312*100)</f>
        <v>153.45435932952142</v>
      </c>
      <c r="D62" s="10">
        <f>IF(2719.85312="","-",2719.85312/2039053.91344*100)</f>
        <v>0.13338799440626134</v>
      </c>
      <c r="E62" s="10">
        <f>IF(4173.73318="","-",4173.73318/2306997.54002*100)</f>
        <v>0.18091623886013405</v>
      </c>
      <c r="F62" s="10">
        <f>IF(OR(1550863.02837="",2665.78595="",2719.85312=""),"-",(2719.85312-2665.78595)/1550863.02837*100)</f>
        <v>3.4862633908312561E-3</v>
      </c>
      <c r="G62" s="10">
        <f>IF(OR(2039053.91344="",4173.73318="",2719.85312=""),"-",(4173.73318-2719.85312)/2039053.91344*100)</f>
        <v>7.1301697832364883E-2</v>
      </c>
    </row>
    <row r="63" spans="1:7" s="2" customFormat="1" x14ac:dyDescent="0.25">
      <c r="A63" s="27" t="s">
        <v>79</v>
      </c>
      <c r="B63" s="70">
        <v>3414.2809299999999</v>
      </c>
      <c r="C63" s="10">
        <f>IF(OR(3138.30308="",3414.28093=""),"-",3414.28093/3138.30308*100)</f>
        <v>108.79385588214123</v>
      </c>
      <c r="D63" s="10">
        <f>IF(3138.30308="","-",3138.30308/2039053.91344*100)</f>
        <v>0.15390976468618742</v>
      </c>
      <c r="E63" s="10">
        <f>IF(3414.28093="","-",3414.28093/2306997.54002*100)</f>
        <v>0.14799673041569003</v>
      </c>
      <c r="F63" s="10">
        <f>IF(OR(1550863.02837="",2892.15616="",3138.30308=""),"-",(3138.30308-2892.15616)/1550863.02837*100)</f>
        <v>1.5871609258665955E-2</v>
      </c>
      <c r="G63" s="10">
        <f>IF(OR(2039053.91344="",3414.28093="",3138.30308=""),"-",(3414.28093-3138.30308)/2039053.91344*100)</f>
        <v>1.3534602895046039E-2</v>
      </c>
    </row>
    <row r="64" spans="1:7" s="2" customFormat="1" x14ac:dyDescent="0.25">
      <c r="A64" s="27" t="s">
        <v>75</v>
      </c>
      <c r="B64" s="70">
        <v>3405.4284899999998</v>
      </c>
      <c r="C64" s="10">
        <f>IF(OR(3238.79392="",3405.42849=""),"-",3405.42849/3238.79392*100)</f>
        <v>105.14495747849249</v>
      </c>
      <c r="D64" s="10">
        <f>IF(3238.79392="","-",3238.79392/2039053.91344*100)</f>
        <v>0.15883807184558305</v>
      </c>
      <c r="E64" s="10">
        <f>IF(3405.42849="","-",3405.42849/2306997.54002*100)</f>
        <v>0.14761300915693551</v>
      </c>
      <c r="F64" s="10">
        <f>IF(OR(1550863.02837="",2892.47075="",3238.79392=""),"-",(3238.79392-2892.47075)/1550863.02837*100)</f>
        <v>2.2330996591233165E-2</v>
      </c>
      <c r="G64" s="10">
        <f>IF(OR(2039053.91344="",3405.42849="",3238.79392=""),"-",(3405.42849-3238.79392)/2039053.91344*100)</f>
        <v>8.1721512561125816E-3</v>
      </c>
    </row>
    <row r="65" spans="1:7" s="2" customFormat="1" x14ac:dyDescent="0.25">
      <c r="A65" s="27" t="s">
        <v>80</v>
      </c>
      <c r="B65" s="10">
        <v>3373.75027</v>
      </c>
      <c r="C65" s="10">
        <f>IF(OR(2519.06108="",3373.75027=""),"-",3373.75027/2519.06108*100)</f>
        <v>133.92887916794777</v>
      </c>
      <c r="D65" s="10">
        <f>IF(2519.06108="","-",2519.06108/2039053.91344*100)</f>
        <v>0.12354068047912478</v>
      </c>
      <c r="E65" s="10">
        <f>IF(3373.75027="","-",3373.75027/2306997.54002*100)</f>
        <v>0.14623987288563609</v>
      </c>
      <c r="F65" s="10">
        <f>IF(OR(1550863.02837="",1786.10668="",2519.06108=""),"-",(2519.06108-1786.10668)/1550863.02837*100)</f>
        <v>4.7261066038201661E-2</v>
      </c>
      <c r="G65" s="10">
        <f>IF(OR(2039053.91344="",3373.75027="",2519.06108=""),"-",(3373.75027-2519.06108)/2039053.91344*100)</f>
        <v>4.1915968203022687E-2</v>
      </c>
    </row>
    <row r="66" spans="1:7" s="2" customFormat="1" x14ac:dyDescent="0.25">
      <c r="A66" s="27" t="s">
        <v>71</v>
      </c>
      <c r="B66" s="70">
        <v>3227.9867399999998</v>
      </c>
      <c r="C66" s="10">
        <f>IF(OR(5423.97403="",3227.98674=""),"-",3227.98674/5423.97403*100)</f>
        <v>59.513314815779083</v>
      </c>
      <c r="D66" s="10">
        <f>IF(5423.97403="","-",5423.97403/2039053.91344*100)</f>
        <v>0.26600444423018949</v>
      </c>
      <c r="E66" s="10">
        <f>IF(3227.98674="","-",3227.98674/2306997.54002*100)</f>
        <v>0.13992155102046686</v>
      </c>
      <c r="F66" s="10">
        <f>IF(OR(1550863.02837="",2807.22432="",5423.97403=""),"-",(5423.97403-2807.22432)/1550863.02837*100)</f>
        <v>0.16872861510860035</v>
      </c>
      <c r="G66" s="10">
        <f>IF(OR(2039053.91344="",3227.98674="",5423.97403=""),"-",(3227.98674-5423.97403)/2039053.91344*100)</f>
        <v>-0.10769638191151332</v>
      </c>
    </row>
    <row r="67" spans="1:7" s="2" customFormat="1" x14ac:dyDescent="0.25">
      <c r="A67" s="27" t="s">
        <v>81</v>
      </c>
      <c r="B67" s="70">
        <v>2819.7460099999998</v>
      </c>
      <c r="C67" s="10">
        <f>IF(OR(2068.55717="",2819.74601=""),"-",2819.74601/2068.55717*100)</f>
        <v>136.3146279394347</v>
      </c>
      <c r="D67" s="10">
        <f>IF(2068.55717="","-",2068.55717/2039053.91344*100)</f>
        <v>0.10144690909669113</v>
      </c>
      <c r="E67" s="10">
        <f>IF(2819.74601="","-",2819.74601/2306997.54002*100)</f>
        <v>0.12222579179584016</v>
      </c>
      <c r="F67" s="10">
        <f>IF(OR(1550863.02837="",1602.74254="",2068.55717=""),"-",(2068.55717-1602.74254)/1550863.02837*100)</f>
        <v>3.0035833047718223E-2</v>
      </c>
      <c r="G67" s="10">
        <f>IF(OR(2039053.91344="",2819.74601="",2068.55717=""),"-",(2819.74601-2068.55717)/2039053.91344*100)</f>
        <v>3.6840067594519924E-2</v>
      </c>
    </row>
    <row r="68" spans="1:7" s="2" customFormat="1" x14ac:dyDescent="0.25">
      <c r="A68" s="27" t="s">
        <v>63</v>
      </c>
      <c r="B68" s="70">
        <v>2631.7057</v>
      </c>
      <c r="C68" s="10">
        <f>IF(OR(2140.68569="",2631.7057=""),"-",2631.7057/2140.68569*100)</f>
        <v>122.9375107375058</v>
      </c>
      <c r="D68" s="10">
        <f>IF(2140.68569="","-",2140.68569/2039053.91344*100)</f>
        <v>0.10498426137190954</v>
      </c>
      <c r="E68" s="10">
        <f>IF(2631.7057="","-",2631.7057/2306997.54002*100)</f>
        <v>0.11407492441353816</v>
      </c>
      <c r="F68" s="10">
        <f>IF(OR(1550863.02837="",2003.30328="",2140.68569=""),"-",(2140.68569-2003.30328)/1550863.02837*100)</f>
        <v>8.858448972401671E-3</v>
      </c>
      <c r="G68" s="10">
        <f>IF(OR(2039053.91344="",2631.7057="",2140.68569=""),"-",(2631.7057-2140.68569)/2039053.91344*100)</f>
        <v>2.408077622487291E-2</v>
      </c>
    </row>
    <row r="69" spans="1:7" s="2" customFormat="1" x14ac:dyDescent="0.25">
      <c r="A69" s="27" t="s">
        <v>59</v>
      </c>
      <c r="B69" s="70">
        <v>2360.3287700000001</v>
      </c>
      <c r="C69" s="10">
        <f>IF(OR(2677.83268="",2360.32877=""),"-",2360.32877/2677.83268*100)</f>
        <v>88.143250608174668</v>
      </c>
      <c r="D69" s="10">
        <f>IF(2677.83268="","-",2677.83268/2039053.91344*100)</f>
        <v>0.13132721319184462</v>
      </c>
      <c r="E69" s="10">
        <f>IF(2360.32877="","-",2360.32877/2306997.54002*100)</f>
        <v>0.10231171594485261</v>
      </c>
      <c r="F69" s="10">
        <f>IF(OR(1550863.02837="",3557.77632="",2677.83268=""),"-",(2677.83268-3557.77632)/1550863.02837*100)</f>
        <v>-5.6738965589040131E-2</v>
      </c>
      <c r="G69" s="10">
        <f>IF(OR(2039053.91344="",2360.32877="",2677.83268=""),"-",(2360.32877-2677.83268)/2039053.91344*100)</f>
        <v>-1.5571138551425192E-2</v>
      </c>
    </row>
    <row r="70" spans="1:7" s="2" customFormat="1" x14ac:dyDescent="0.25">
      <c r="A70" s="27" t="s">
        <v>82</v>
      </c>
      <c r="B70" s="70">
        <v>2054.1668100000002</v>
      </c>
      <c r="C70" s="10" t="s">
        <v>196</v>
      </c>
      <c r="D70" s="10">
        <f>IF(1153.06058="","-",1153.06058/2039053.91344*100)</f>
        <v>5.6548802971801829E-2</v>
      </c>
      <c r="E70" s="10">
        <f>IF(2054.16681="","-",2054.16681/2306997.54002*100)</f>
        <v>8.9040702227285079E-2</v>
      </c>
      <c r="F70" s="10">
        <f>IF(OR(1550863.02837="",1864.31522="",1153.06058=""),"-",(1153.06058-1864.31522)/1550863.02837*100)</f>
        <v>-4.5861860589168101E-2</v>
      </c>
      <c r="G70" s="10">
        <f>IF(OR(2039053.91344="",2054.16681="",1153.06058=""),"-",(2054.16681-1153.06058)/2039053.91344*100)</f>
        <v>4.4192369022738716E-2</v>
      </c>
    </row>
    <row r="71" spans="1:7" s="2" customFormat="1" x14ac:dyDescent="0.25">
      <c r="A71" s="27" t="s">
        <v>78</v>
      </c>
      <c r="B71" s="10">
        <v>1728.4695899999999</v>
      </c>
      <c r="C71" s="10" t="s">
        <v>313</v>
      </c>
      <c r="D71" s="10">
        <f>IF(753.20029="","-",753.20029/2039053.91344*100)</f>
        <v>3.693871383367732E-2</v>
      </c>
      <c r="E71" s="10">
        <f>IF(1728.46959="","-",1728.46959/2306997.54002*100)</f>
        <v>7.4922905638859727E-2</v>
      </c>
      <c r="F71" s="10">
        <f>IF(OR(1550863.02837="",287.09005="",753.20029=""),"-",(753.20029-287.09005)/1550863.02837*100)</f>
        <v>3.0054894047599725E-2</v>
      </c>
      <c r="G71" s="10">
        <f>IF(OR(2039053.91344="",1728.46959="",753.20029=""),"-",(1728.46959-753.20029)/2039053.91344*100)</f>
        <v>4.7829500415448312E-2</v>
      </c>
    </row>
    <row r="72" spans="1:7" s="2" customFormat="1" x14ac:dyDescent="0.25">
      <c r="A72" s="27" t="s">
        <v>87</v>
      </c>
      <c r="B72" s="70">
        <v>1627.37167</v>
      </c>
      <c r="C72" s="10">
        <f>IF(OR(1049.90736="",1627.37167=""),"-",1627.37167/1049.90736*100)</f>
        <v>155.00145365206316</v>
      </c>
      <c r="D72" s="10">
        <f>IF(1049.90736="","-",1049.90736/2039053.91344*100)</f>
        <v>5.1489926434987995E-2</v>
      </c>
      <c r="E72" s="10">
        <f>IF(1627.37167="","-",1627.37167/2306997.54002*100)</f>
        <v>7.0540676432012644E-2</v>
      </c>
      <c r="F72" s="10">
        <f>IF(OR(1550863.02837="",1016.9437="",1049.90736=""),"-",(1049.90736-1016.9437)/1550863.02837*100)</f>
        <v>2.1255042771021249E-3</v>
      </c>
      <c r="G72" s="10">
        <f>IF(OR(2039053.91344="",1627.37167="",1049.90736=""),"-",(1627.37167-1049.90736)/2039053.91344*100)</f>
        <v>2.8320208023621354E-2</v>
      </c>
    </row>
    <row r="73" spans="1:7" s="2" customFormat="1" x14ac:dyDescent="0.25">
      <c r="A73" s="27" t="s">
        <v>37</v>
      </c>
      <c r="B73" s="10">
        <v>1611.4059400000001</v>
      </c>
      <c r="C73" s="10" t="s">
        <v>313</v>
      </c>
      <c r="D73" s="10">
        <f>IF(699.94974="","-",699.94974/2039053.91344*100)</f>
        <v>3.4327181610374638E-2</v>
      </c>
      <c r="E73" s="10">
        <f>IF(1611.40594="","-",1611.40594/2306997.54002*100)</f>
        <v>6.9848619777289844E-2</v>
      </c>
      <c r="F73" s="10">
        <f>IF(OR(1550863.02837="",600.71496="",699.94974=""),"-",(699.94974-600.71496)/1550863.02837*100)</f>
        <v>6.3986811333234571E-3</v>
      </c>
      <c r="G73" s="10">
        <f>IF(OR(2039053.91344="",1611.40594="",699.94974=""),"-",(1611.40594-699.94974)/2039053.91344*100)</f>
        <v>4.4699955895836106E-2</v>
      </c>
    </row>
    <row r="74" spans="1:7" s="2" customFormat="1" x14ac:dyDescent="0.25">
      <c r="A74" s="27" t="s">
        <v>77</v>
      </c>
      <c r="B74" s="70">
        <v>1438.0665100000001</v>
      </c>
      <c r="C74" s="10">
        <f>IF(OR(1194.86177="",1438.06651=""),"-",1438.06651/1194.86177*100)</f>
        <v>120.35421553406968</v>
      </c>
      <c r="D74" s="10">
        <f>IF(1194.86177="","-",1194.86177/2039053.91344*100)</f>
        <v>5.8598831650517769E-2</v>
      </c>
      <c r="E74" s="10">
        <f>IF(1438.06651="","-",1438.06651/2306997.54002*100)</f>
        <v>6.2334982376597292E-2</v>
      </c>
      <c r="F74" s="10">
        <f>IF(OR(1550863.02837="",1079.21556="",1194.86177=""),"-",(1194.86177-1079.21556)/1550863.02837*100)</f>
        <v>7.4568938638989446E-3</v>
      </c>
      <c r="G74" s="10">
        <f>IF(OR(2039053.91344="",1438.06651="",1194.86177=""),"-",(1438.06651-1194.86177)/2039053.91344*100)</f>
        <v>1.1927332494593039E-2</v>
      </c>
    </row>
    <row r="75" spans="1:7" s="2" customFormat="1" x14ac:dyDescent="0.25">
      <c r="A75" s="27" t="s">
        <v>36</v>
      </c>
      <c r="B75" s="10">
        <v>1393.0059000000001</v>
      </c>
      <c r="C75" s="10" t="s">
        <v>340</v>
      </c>
      <c r="D75" s="10">
        <f>IF(175.60234="","-",175.60234/2039053.91344*100)</f>
        <v>8.6119517901196065E-3</v>
      </c>
      <c r="E75" s="10">
        <f>IF(1393.0059="","-",1393.0059/2306997.54002*100)</f>
        <v>6.0381767896810309E-2</v>
      </c>
      <c r="F75" s="10">
        <f>IF(OR(1550863.02837="",596.95037="",175.60234=""),"-",(175.60234-596.95037)/1550863.02837*100)</f>
        <v>-2.7168616589103196E-2</v>
      </c>
      <c r="G75" s="10">
        <f>IF(OR(2039053.91344="",1393.0059="",175.60234=""),"-",(1393.0059-175.60234)/2039053.91344*100)</f>
        <v>5.9704334052951606E-2</v>
      </c>
    </row>
    <row r="76" spans="1:7" s="2" customFormat="1" x14ac:dyDescent="0.25">
      <c r="A76" s="27" t="s">
        <v>70</v>
      </c>
      <c r="B76" s="70">
        <v>1236.9837</v>
      </c>
      <c r="C76" s="10">
        <f>IF(OR(2280.43921="",1236.9837=""),"-",1236.9837/2280.43921*100)</f>
        <v>54.243221857249161</v>
      </c>
      <c r="D76" s="10">
        <f>IF(2280.43921="","-",2280.43921/2039053.91344*100)</f>
        <v>0.11183810270875914</v>
      </c>
      <c r="E76" s="10">
        <f>IF(1236.9837="","-",1236.9837/2306997.54002*100)</f>
        <v>5.361876978808032E-2</v>
      </c>
      <c r="F76" s="10">
        <f>IF(OR(1550863.02837="",885.95384="",2280.43921=""),"-",(2280.43921-885.95384)/1550863.02837*100)</f>
        <v>8.991673310219038E-2</v>
      </c>
      <c r="G76" s="10">
        <f>IF(OR(2039053.91344="",1236.9837="",2280.43921=""),"-",(1236.9837-2280.43921)/2039053.91344*100)</f>
        <v>-5.1173512535508746E-2</v>
      </c>
    </row>
    <row r="77" spans="1:7" s="2" customFormat="1" x14ac:dyDescent="0.25">
      <c r="A77" s="27" t="s">
        <v>85</v>
      </c>
      <c r="B77" s="10">
        <v>1185.5120099999999</v>
      </c>
      <c r="C77" s="10">
        <f>IF(OR(1140.90196="",1185.51201=""),"-",1185.51201/1140.90196*100)</f>
        <v>103.9100686618156</v>
      </c>
      <c r="D77" s="10">
        <f>IF(1140.90196="","-",1140.90196/2039053.91344*100)</f>
        <v>5.5952515648555523E-2</v>
      </c>
      <c r="E77" s="10">
        <f>IF(1185.51201="","-",1185.51201/2306997.54002*100)</f>
        <v>5.1387658176251121E-2</v>
      </c>
      <c r="F77" s="10">
        <f>IF(OR(1550863.02837="",1883.8009="",1140.90196=""),"-",(1140.90196-1883.8009)/1550863.02837*100)</f>
        <v>-4.7902292234073524E-2</v>
      </c>
      <c r="G77" s="10">
        <f>IF(OR(2039053.91344="",1185.51201="",1140.90196=""),"-",(1185.51201-1140.90196)/2039053.91344*100)</f>
        <v>2.1877817798716418E-3</v>
      </c>
    </row>
    <row r="78" spans="1:7" s="2" customFormat="1" x14ac:dyDescent="0.25">
      <c r="A78" s="27" t="s">
        <v>66</v>
      </c>
      <c r="B78" s="10">
        <v>1137.6375700000001</v>
      </c>
      <c r="C78" s="10">
        <f>IF(OR(1796.96568="",1137.63757=""),"-",1137.63757/1796.96568*100)</f>
        <v>63.308808991833402</v>
      </c>
      <c r="D78" s="10">
        <f>IF(1796.96568="","-",1796.96568/2039053.91344*100)</f>
        <v>8.8127423613258787E-2</v>
      </c>
      <c r="E78" s="10">
        <f>IF(1137.63757="","-",1137.63757/2306997.54002*100)</f>
        <v>4.9312474342306296E-2</v>
      </c>
      <c r="F78" s="10">
        <f>IF(OR(1550863.02837="",1544.88411="",1796.96568=""),"-",(1796.96568-1544.88411)/1550863.02837*100)</f>
        <v>1.6254276837390648E-2</v>
      </c>
      <c r="G78" s="10">
        <f>IF(OR(2039053.91344="",1137.63757="",1796.96568=""),"-",(1137.63757-1796.96568)/2039053.91344*100)</f>
        <v>-3.2335001328516903E-2</v>
      </c>
    </row>
    <row r="79" spans="1:7" s="2" customFormat="1" x14ac:dyDescent="0.25">
      <c r="A79" s="27" t="s">
        <v>121</v>
      </c>
      <c r="B79" s="70">
        <v>1073.73633</v>
      </c>
      <c r="C79" s="10">
        <f>IF(OR(961.18963="",1073.73633=""),"-",1073.73633/961.18963*100)</f>
        <v>111.70910468520138</v>
      </c>
      <c r="D79" s="10">
        <f>IF(961.18963="","-",961.18963/2039053.91344*100)</f>
        <v>4.7139000281675648E-2</v>
      </c>
      <c r="E79" s="10">
        <f>IF(1073.73633="","-",1073.73633/2306997.54002*100)</f>
        <v>4.6542586690001039E-2</v>
      </c>
      <c r="F79" s="10">
        <f>IF(OR(1550863.02837="",952.29278="",961.18963=""),"-",(961.18963-952.29278)/1550863.02837*100)</f>
        <v>5.7367090692405037E-4</v>
      </c>
      <c r="G79" s="10">
        <f>IF(OR(2039053.91344="",1073.73633="",961.18963=""),"-",(1073.73633-961.18963)/2039053.91344*100)</f>
        <v>5.5195548905387836E-3</v>
      </c>
    </row>
    <row r="80" spans="1:7" s="2" customFormat="1" x14ac:dyDescent="0.25">
      <c r="A80" s="27" t="s">
        <v>295</v>
      </c>
      <c r="B80" s="10">
        <v>949.37253999999996</v>
      </c>
      <c r="C80" s="10">
        <f>IF(OR(949.50326="",949.37254=""),"-",949.37254/949.50326*100)</f>
        <v>99.986232801349203</v>
      </c>
      <c r="D80" s="10">
        <f>IF(949.50326="","-",949.50326/2039053.91344*100)</f>
        <v>4.6565873209214653E-2</v>
      </c>
      <c r="E80" s="10">
        <f>IF(949.37254="","-",949.37254/2306997.54002*100)</f>
        <v>4.1151866160714222E-2</v>
      </c>
      <c r="F80" s="10">
        <f>IF(OR(1550863.02837="",422.77016="",949.50326=""),"-",(949.50326-422.77016)/1550863.02837*100)</f>
        <v>3.3963869817285608E-2</v>
      </c>
      <c r="G80" s="10">
        <f>IF(OR(2039053.91344="",949.37254="",949.50326=""),"-",(949.37254-949.50326)/2039053.91344*100)</f>
        <v>-6.4108162681909939E-6</v>
      </c>
    </row>
    <row r="81" spans="1:7" s="2" customFormat="1" x14ac:dyDescent="0.25">
      <c r="A81" s="27" t="s">
        <v>65</v>
      </c>
      <c r="B81" s="70">
        <v>933.61715000000004</v>
      </c>
      <c r="C81" s="10" t="s">
        <v>296</v>
      </c>
      <c r="D81" s="10">
        <f>IF(335.386="","-",335.386/2039053.91344*100)</f>
        <v>1.6448118305718792E-2</v>
      </c>
      <c r="E81" s="10">
        <f>IF(933.61715="","-",933.61715/2306997.54002*100)</f>
        <v>4.0468926984287383E-2</v>
      </c>
      <c r="F81" s="10">
        <f>IF(OR(1550863.02837="",450.10113="",335.386=""),"-",(335.386-450.10113)/1550863.02837*100)</f>
        <v>-7.3968576142129563E-3</v>
      </c>
      <c r="G81" s="10">
        <f>IF(OR(2039053.91344="",933.61715="",335.386=""),"-",(933.61715-335.386)/2039053.91344*100)</f>
        <v>2.9338662703172473E-2</v>
      </c>
    </row>
    <row r="82" spans="1:7" s="2" customFormat="1" x14ac:dyDescent="0.25">
      <c r="A82" s="27" t="s">
        <v>86</v>
      </c>
      <c r="B82" s="10">
        <v>811.74991999999997</v>
      </c>
      <c r="C82" s="10">
        <f>IF(OR(772.18648="",811.74992=""),"-",811.74992/772.18648*100)</f>
        <v>105.12356030890362</v>
      </c>
      <c r="D82" s="10">
        <f>IF(772.18648="","-",772.18648/2039053.91344*100)</f>
        <v>3.7869841248938697E-2</v>
      </c>
      <c r="E82" s="10">
        <f>IF(811.74992="","-",811.74992/2306997.54002*100)</f>
        <v>3.5186423302079578E-2</v>
      </c>
      <c r="F82" s="10">
        <f>IF(OR(1550863.02837="",725.91858="",772.18648=""),"-",(772.18648-725.91858)/1550863.02837*100)</f>
        <v>2.98336469137631E-3</v>
      </c>
      <c r="G82" s="10">
        <f>IF(OR(2039053.91344="",811.74992="",772.18648=""),"-",(811.74992-772.18648)/2039053.91344*100)</f>
        <v>1.9402841552754353E-3</v>
      </c>
    </row>
    <row r="83" spans="1:7" s="2" customFormat="1" x14ac:dyDescent="0.25">
      <c r="A83" s="27" t="s">
        <v>93</v>
      </c>
      <c r="B83" s="70">
        <v>797.90494999999999</v>
      </c>
      <c r="C83" s="10" t="s">
        <v>196</v>
      </c>
      <c r="D83" s="10">
        <f>IF(450.35199="","-",450.35199/2039053.91344*100)</f>
        <v>2.208632086830066E-2</v>
      </c>
      <c r="E83" s="10">
        <f>IF(797.90495="","-",797.90495/2306997.54002*100)</f>
        <v>3.4586293923533296E-2</v>
      </c>
      <c r="F83" s="10">
        <f>IF(OR(1550863.02837="",343.92746="",450.35199=""),"-",(450.35199-343.92746)/1550863.02837*100)</f>
        <v>6.8622778448626208E-3</v>
      </c>
      <c r="G83" s="10">
        <f>IF(OR(2039053.91344="",797.90495="",450.35199=""),"-",(797.90495-450.35199)/2039053.91344*100)</f>
        <v>1.7044814642181695E-2</v>
      </c>
    </row>
    <row r="84" spans="1:7" s="2" customFormat="1" x14ac:dyDescent="0.25">
      <c r="A84" s="27" t="s">
        <v>72</v>
      </c>
      <c r="B84" s="10">
        <v>737.91858000000002</v>
      </c>
      <c r="C84" s="10">
        <f>IF(OR(2035.11728="",737.91858=""),"-",737.91858/2035.11728*100)</f>
        <v>36.259265608515697</v>
      </c>
      <c r="D84" s="10">
        <f>IF(2035.11728="","-",2035.11728/2039053.91344*100)</f>
        <v>9.9806938236696299E-2</v>
      </c>
      <c r="E84" s="10">
        <f>IF(737.91858="","-",737.91858/2306997.54002*100)</f>
        <v>3.1986101727425456E-2</v>
      </c>
      <c r="F84" s="10">
        <f>IF(OR(1550863.02837="",1080.73253="",2035.11728=""),"-",(2035.11728-1080.73253)/1550863.02837*100)</f>
        <v>6.1538945254442277E-2</v>
      </c>
      <c r="G84" s="10">
        <f>IF(OR(2039053.91344="",737.91858="",2035.11728=""),"-",(737.91858-2035.11728)/2039053.91344*100)</f>
        <v>-6.3617675405725382E-2</v>
      </c>
    </row>
    <row r="85" spans="1:7" s="2" customFormat="1" x14ac:dyDescent="0.25">
      <c r="A85" s="27" t="s">
        <v>84</v>
      </c>
      <c r="B85" s="10">
        <v>724.32402000000002</v>
      </c>
      <c r="C85" s="10">
        <f>IF(OR(775.43384="",724.32402=""),"-",724.32402/775.43384*100)</f>
        <v>93.40887418583641</v>
      </c>
      <c r="D85" s="10">
        <f>IF(775.43384="","-",775.43384/2039053.91344*100)</f>
        <v>3.8029099421495877E-2</v>
      </c>
      <c r="E85" s="10">
        <f>IF(724.32402="","-",724.32402/2306997.54002*100)</f>
        <v>3.1396826716760196E-2</v>
      </c>
      <c r="F85" s="10">
        <f>IF(OR(1550863.02837="",880.43344="",775.43384=""),"-",(775.43384-880.43344)/1550863.02837*100)</f>
        <v>-6.7703980351093594E-3</v>
      </c>
      <c r="G85" s="10">
        <f>IF(OR(2039053.91344="",724.32402="",775.43384=""),"-",(724.32402-775.43384)/2039053.91344*100)</f>
        <v>-2.5065457888641522E-3</v>
      </c>
    </row>
    <row r="86" spans="1:7" x14ac:dyDescent="0.25">
      <c r="A86" s="27" t="s">
        <v>35</v>
      </c>
      <c r="B86" s="10">
        <v>682.05097000000001</v>
      </c>
      <c r="C86" s="10" t="s">
        <v>18</v>
      </c>
      <c r="D86" s="10">
        <f>IF(345.01399="","-",345.01399/2039053.91344*100)</f>
        <v>1.6920297581437743E-2</v>
      </c>
      <c r="E86" s="10">
        <f>IF(682.05097="","-",682.05097/2306997.54002*100)</f>
        <v>2.9564442881637711E-2</v>
      </c>
      <c r="F86" s="10">
        <f>IF(OR(1550863.02837="",731.96517="",345.01399=""),"-",(345.01399-731.96517)/1550863.02837*100)</f>
        <v>-2.4950699895573393E-2</v>
      </c>
      <c r="G86" s="10">
        <f>IF(OR(2039053.91344="",682.05097="",345.01399=""),"-",(682.05097-345.01399)/2039053.91344*100)</f>
        <v>1.6529086248210055E-2</v>
      </c>
    </row>
    <row r="87" spans="1:7" x14ac:dyDescent="0.25">
      <c r="A87" s="27" t="s">
        <v>98</v>
      </c>
      <c r="B87" s="10">
        <v>671.06460000000004</v>
      </c>
      <c r="C87" s="10">
        <f>IF(OR(642.22399="",671.0646=""),"-",671.0646/642.22399*100)</f>
        <v>104.490740060956</v>
      </c>
      <c r="D87" s="10">
        <f>IF(642.22399="","-",642.22399/2039053.91344*100)</f>
        <v>3.1496175052896543E-2</v>
      </c>
      <c r="E87" s="10">
        <f>IF(671.0646="","-",671.0646/2306997.54002*100)</f>
        <v>2.9088223474836576E-2</v>
      </c>
      <c r="F87" s="10">
        <f>IF(OR(1550863.02837="",344.78847="",642.22399=""),"-",(642.22399-344.78847)/1550863.02837*100)</f>
        <v>1.9178709825368196E-2</v>
      </c>
      <c r="G87" s="10">
        <f>IF(OR(2039053.91344="",671.0646="",642.22399=""),"-",(671.0646-642.22399)/2039053.91344*100)</f>
        <v>1.4144113507692561E-3</v>
      </c>
    </row>
    <row r="88" spans="1:7" x14ac:dyDescent="0.25">
      <c r="A88" s="27" t="s">
        <v>301</v>
      </c>
      <c r="B88" s="70">
        <v>638.47627999999997</v>
      </c>
      <c r="C88" s="10">
        <f>IF(OR(438.13372="",638.47628=""),"-",638.47628/438.13372*100)</f>
        <v>145.7263503936652</v>
      </c>
      <c r="D88" s="10">
        <f>IF(438.13372="","-",438.13372/2039053.91344*100)</f>
        <v>2.1487108168750841E-2</v>
      </c>
      <c r="E88" s="10">
        <f>IF(638.47628="","-",638.47628/2306997.54002*100)</f>
        <v>2.7675637659954542E-2</v>
      </c>
      <c r="F88" s="10">
        <f>IF(OR(1550863.02837="",1153.092="",438.13372=""),"-",(438.13372-1153.092)/1550863.02837*100)</f>
        <v>-4.6100672136819267E-2</v>
      </c>
      <c r="G88" s="10">
        <f>IF(OR(2039053.91344="",638.47628="",438.13372=""),"-",(638.47628-438.13372)/2039053.91344*100)</f>
        <v>9.8252703707088686E-3</v>
      </c>
    </row>
    <row r="89" spans="1:7" x14ac:dyDescent="0.25">
      <c r="A89" s="27" t="s">
        <v>74</v>
      </c>
      <c r="B89" s="70">
        <v>590.31962999999996</v>
      </c>
      <c r="C89" s="10" t="s">
        <v>383</v>
      </c>
      <c r="D89" s="10">
        <f>IF(14.08834="","-",14.08834/2039053.91344*100)</f>
        <v>6.9092533096548527E-4</v>
      </c>
      <c r="E89" s="10">
        <f>IF(590.31963="","-",590.31963/2306997.54002*100)</f>
        <v>2.5588221043134806E-2</v>
      </c>
      <c r="F89" s="10">
        <f>IF(OR(1550863.02837="",4.00444="",14.08834=""),"-",(14.08834-4.00444)/1550863.02837*100)</f>
        <v>6.5021216029622275E-4</v>
      </c>
      <c r="G89" s="10">
        <f>IF(OR(2039053.91344="",590.31963="",14.08834=""),"-",(590.31963-14.08834)/2039053.91344*100)</f>
        <v>2.8259737822619167E-2</v>
      </c>
    </row>
    <row r="90" spans="1:7" x14ac:dyDescent="0.25">
      <c r="A90" s="27" t="s">
        <v>88</v>
      </c>
      <c r="B90" s="10">
        <v>562.18407999999999</v>
      </c>
      <c r="C90" s="10">
        <f>IF(OR(414.21691="",562.18408=""),"-",562.18408/414.21691*100)</f>
        <v>135.72214615767376</v>
      </c>
      <c r="D90" s="10">
        <f>IF(414.21691="","-",414.21691/2039053.91344*100)</f>
        <v>2.0314171551314819E-2</v>
      </c>
      <c r="E90" s="10">
        <f>IF(562.18408="","-",562.18408/2306997.54002*100)</f>
        <v>2.4368646704110757E-2</v>
      </c>
      <c r="F90" s="10">
        <f>IF(OR(1550863.02837="",170.69036="",414.21691=""),"-",(414.21691-170.69036)/1550863.02837*100)</f>
        <v>1.5702647206436608E-2</v>
      </c>
      <c r="G90" s="10">
        <f>IF(OR(2039053.91344="",562.18408="",414.21691=""),"-",(562.18408-414.21691)/2039053.91344*100)</f>
        <v>7.2566580522812653E-3</v>
      </c>
    </row>
    <row r="91" spans="1:7" x14ac:dyDescent="0.25">
      <c r="A91" s="27" t="s">
        <v>136</v>
      </c>
      <c r="B91" s="10">
        <v>524.65624000000003</v>
      </c>
      <c r="C91" s="10">
        <f>IF(OR(384.32057="",524.65624=""),"-",524.65624/384.32057*100)</f>
        <v>136.51526380698283</v>
      </c>
      <c r="D91" s="10">
        <f>IF(384.32057="","-",384.32057/2039053.91344*100)</f>
        <v>1.8847984718149472E-2</v>
      </c>
      <c r="E91" s="10">
        <f>IF(524.65624="","-",524.65624/2306997.54002*100)</f>
        <v>2.2741950561223901E-2</v>
      </c>
      <c r="F91" s="10">
        <f>IF(OR(1550863.02837="",418.68472="",384.32057=""),"-",(384.32057-418.68472)/1550863.02837*100)</f>
        <v>-2.2158081901093307E-3</v>
      </c>
      <c r="G91" s="10">
        <f>IF(OR(2039053.91344="",524.65624="",384.32057=""),"-",(524.65624-384.32057)/2039053.91344*100)</f>
        <v>6.8823913421320864E-3</v>
      </c>
    </row>
    <row r="92" spans="1:7" x14ac:dyDescent="0.25">
      <c r="A92" s="27" t="s">
        <v>62</v>
      </c>
      <c r="B92" s="70">
        <v>507.23257000000001</v>
      </c>
      <c r="C92" s="10" t="s">
        <v>101</v>
      </c>
      <c r="D92" s="10">
        <f>IF(271.66714="","-",271.66714/2039053.91344*100)</f>
        <v>1.3323195537369686E-2</v>
      </c>
      <c r="E92" s="10">
        <f>IF(507.23257="","-",507.23257/2306997.54002*100)</f>
        <v>2.1986697480206357E-2</v>
      </c>
      <c r="F92" s="10">
        <f>IF(OR(1550863.02837="",332.31382="",271.66714=""),"-",(271.66714-332.31382)/1550863.02837*100)</f>
        <v>-3.9105116886912535E-3</v>
      </c>
      <c r="G92" s="10">
        <f>IF(OR(2039053.91344="",507.23257="",271.66714=""),"-",(507.23257-271.66714)/2039053.91344*100)</f>
        <v>1.155268276367385E-2</v>
      </c>
    </row>
    <row r="93" spans="1:7" x14ac:dyDescent="0.25">
      <c r="A93" s="27" t="s">
        <v>89</v>
      </c>
      <c r="B93" s="10">
        <v>425.03768000000002</v>
      </c>
      <c r="C93" s="10" t="s">
        <v>101</v>
      </c>
      <c r="D93" s="10">
        <f>IF(228.77048="","-",228.77048/2039053.91344*100)</f>
        <v>1.1219442433184672E-2</v>
      </c>
      <c r="E93" s="10">
        <f>IF(425.03768="","-",425.03768/2306997.54002*100)</f>
        <v>1.8423846260205167E-2</v>
      </c>
      <c r="F93" s="10">
        <f>IF(OR(1550863.02837="",1110.23109="",228.77048=""),"-",(228.77048-1110.23109)/1550863.02837*100)</f>
        <v>-5.6836780158879635E-2</v>
      </c>
      <c r="G93" s="10">
        <f>IF(OR(2039053.91344="",425.03768="",228.77048=""),"-",(425.03768-228.77048)/2039053.91344*100)</f>
        <v>9.6254051306022652E-3</v>
      </c>
    </row>
    <row r="94" spans="1:7" x14ac:dyDescent="0.25">
      <c r="A94" s="27" t="s">
        <v>83</v>
      </c>
      <c r="B94" s="70">
        <v>406.30086</v>
      </c>
      <c r="C94" s="10">
        <f>IF(OR(348.96257="",406.30086=""),"-",406.30086/348.96257*100)</f>
        <v>116.43107167625455</v>
      </c>
      <c r="D94" s="10">
        <f>IF(348.96257="","-",348.96257/2039053.91344*100)</f>
        <v>1.7113945232143483E-2</v>
      </c>
      <c r="E94" s="10">
        <f>IF(406.30086="","-",406.30086/2306997.54002*100)</f>
        <v>1.7611672875753378E-2</v>
      </c>
      <c r="F94" s="10">
        <f>IF(OR(1550863.02837="",771.7356="",348.96257=""),"-",(348.96257-771.7356)/1550863.02837*100)</f>
        <v>-2.7260500912472337E-2</v>
      </c>
      <c r="G94" s="10">
        <f>IF(OR(2039053.91344="",406.30086="",348.96257=""),"-",(406.30086-348.96257)/2039053.91344*100)</f>
        <v>2.8120046077284447E-3</v>
      </c>
    </row>
    <row r="95" spans="1:7" x14ac:dyDescent="0.25">
      <c r="A95" s="27" t="s">
        <v>94</v>
      </c>
      <c r="B95" s="70">
        <v>340.28915999999998</v>
      </c>
      <c r="C95" s="10" t="s">
        <v>18</v>
      </c>
      <c r="D95" s="10">
        <f>IF(173.00309="","-",173.00309/2039053.91344*100)</f>
        <v>8.4844784563902938E-3</v>
      </c>
      <c r="E95" s="10">
        <f>IF(340.28916="","-",340.28916/2306997.54002*100)</f>
        <v>1.4750304415021176E-2</v>
      </c>
      <c r="F95" s="10">
        <f>IF(OR(1550863.02837="",341.14878="",173.00309=""),"-",(173.00309-341.14878)/1550863.02837*100)</f>
        <v>-1.0842072247781017E-2</v>
      </c>
      <c r="G95" s="10">
        <f>IF(OR(2039053.91344="",340.28916="",173.00309=""),"-",(340.28916-173.00309)/2039053.91344*100)</f>
        <v>8.2041023485141147E-3</v>
      </c>
    </row>
    <row r="96" spans="1:7" x14ac:dyDescent="0.25">
      <c r="A96" s="27" t="s">
        <v>97</v>
      </c>
      <c r="B96" s="70">
        <v>312.83999999999997</v>
      </c>
      <c r="C96" s="10" t="s">
        <v>338</v>
      </c>
      <c r="D96" s="10">
        <f>IF(88.73="","-",88.73/2039053.91344*100)</f>
        <v>4.3515279029727781E-3</v>
      </c>
      <c r="E96" s="10">
        <f>IF(312.84="","-",312.84/2306997.54002*100)</f>
        <v>1.3560482600136968E-2</v>
      </c>
      <c r="F96" s="10" t="str">
        <f>IF(OR(1550863.02837="",""="",88.73=""),"-",(88.73-"")/1550863.02837*100)</f>
        <v>-</v>
      </c>
      <c r="G96" s="10">
        <f>IF(OR(2039053.91344="",312.84="",88.73=""),"-",(312.84-88.73)/2039053.91344*100)</f>
        <v>1.0990881532009795E-2</v>
      </c>
    </row>
    <row r="97" spans="1:7" x14ac:dyDescent="0.25">
      <c r="A97" s="27" t="s">
        <v>202</v>
      </c>
      <c r="B97" s="70">
        <v>284.09149000000002</v>
      </c>
      <c r="C97" s="10">
        <f>IF(OR(214.26081="",284.09149=""),"-",284.09149/214.26081*100)</f>
        <v>132.5914384436426</v>
      </c>
      <c r="D97" s="10">
        <f>IF(214.26081="","-",214.26081/2039053.91344*100)</f>
        <v>1.050785408800348E-2</v>
      </c>
      <c r="E97" s="10">
        <f>IF(284.09149="","-",284.09149/2306997.54002*100)</f>
        <v>1.2314338661910194E-2</v>
      </c>
      <c r="F97" s="10">
        <f>IF(OR(1550863.02837="",385.90234="",214.26081=""),"-",(214.26081-385.90234)/1550863.02837*100)</f>
        <v>-1.106748480427701E-2</v>
      </c>
      <c r="G97" s="10">
        <f>IF(OR(2039053.91344="",284.09149="",214.26081=""),"-",(284.09149-214.26081)/2039053.91344*100)</f>
        <v>3.4246607968394368E-3</v>
      </c>
    </row>
    <row r="98" spans="1:7" x14ac:dyDescent="0.25">
      <c r="A98" s="27" t="s">
        <v>90</v>
      </c>
      <c r="B98" s="70">
        <v>262.47329999999999</v>
      </c>
      <c r="C98" s="10">
        <f>IF(OR(435.5429="",262.4733=""),"-",262.4733/435.5429*100)</f>
        <v>60.263478063814155</v>
      </c>
      <c r="D98" s="10">
        <f>IF(435.5429="","-",435.5429/2039053.91344*100)</f>
        <v>2.136004826204984E-2</v>
      </c>
      <c r="E98" s="10">
        <f>IF(262.4733="","-",262.4733/2306997.54002*100)</f>
        <v>1.1377268308561981E-2</v>
      </c>
      <c r="F98" s="10">
        <f>IF(OR(1550863.02837="",177.05382="",435.5429=""),"-",(435.5429-177.05382)/1550863.02837*100)</f>
        <v>1.6667434536219432E-2</v>
      </c>
      <c r="G98" s="10">
        <f>IF(OR(2039053.91344="",262.4733="",435.5429=""),"-",(262.4733-435.5429)/2039053.91344*100)</f>
        <v>-8.4877402632293174E-3</v>
      </c>
    </row>
    <row r="99" spans="1:7" x14ac:dyDescent="0.25">
      <c r="A99" s="27" t="s">
        <v>297</v>
      </c>
      <c r="B99" s="70">
        <v>256.62418000000002</v>
      </c>
      <c r="C99" s="10">
        <f>IF(OR(462.93209="",256.62418=""),"-",256.62418/462.93209*100)</f>
        <v>55.434519564197849</v>
      </c>
      <c r="D99" s="10">
        <f>IF(462.93209="","-",462.93209/2039053.91344*100)</f>
        <v>2.2703278562115466E-2</v>
      </c>
      <c r="E99" s="10">
        <f>IF(256.62418="","-",256.62418/2306997.54002*100)</f>
        <v>1.1123730110166275E-2</v>
      </c>
      <c r="F99" s="10">
        <f>IF(OR(1550863.02837="",349.13877="",462.93209=""),"-",(462.93209-349.13877)/1550863.02837*100)</f>
        <v>7.337419096230563E-3</v>
      </c>
      <c r="G99" s="10">
        <f>IF(OR(2039053.91344="",256.62418="",462.93209=""),"-",(256.62418-462.93209)/2039053.91344*100)</f>
        <v>-1.0117825165885231E-2</v>
      </c>
    </row>
    <row r="100" spans="1:7" x14ac:dyDescent="0.25">
      <c r="A100" s="27" t="s">
        <v>117</v>
      </c>
      <c r="B100" s="10">
        <v>228.26264</v>
      </c>
      <c r="C100" s="10" t="s">
        <v>101</v>
      </c>
      <c r="D100" s="10">
        <f>IF(121.71703="","-",121.71703/2039053.91344*100)</f>
        <v>5.9692894433897746E-3</v>
      </c>
      <c r="E100" s="10">
        <f>IF(228.26264="","-",228.26264/2306997.54002*100)</f>
        <v>9.8943599219451766E-3</v>
      </c>
      <c r="F100" s="10">
        <f>IF(OR(1550863.02837="",176.79672="",121.71703=""),"-",(121.71703-176.79672)/1550863.02837*100)</f>
        <v>-3.5515509101980646E-3</v>
      </c>
      <c r="G100" s="10">
        <f>IF(OR(2039053.91344="",228.26264="",121.71703=""),"-",(228.26264-121.71703)/2039053.91344*100)</f>
        <v>5.2252473216979093E-3</v>
      </c>
    </row>
    <row r="101" spans="1:7" x14ac:dyDescent="0.25">
      <c r="A101" s="27" t="s">
        <v>115</v>
      </c>
      <c r="B101" s="70">
        <v>206.28630000000001</v>
      </c>
      <c r="C101" s="10" t="s">
        <v>384</v>
      </c>
      <c r="D101" s="10">
        <f>IF(0.51364="","-",0.51364/2039053.91344*100)</f>
        <v>2.5190113739241944E-5</v>
      </c>
      <c r="E101" s="10">
        <f>IF(206.2863="","-",206.2863/2306997.54002*100)</f>
        <v>8.9417650613624697E-3</v>
      </c>
      <c r="F101" s="10">
        <f>IF(OR(1550863.02837="",235.91269="",0.51364=""),"-",(0.51364-235.91269)/1550863.02837*100)</f>
        <v>-1.5178584162097856E-2</v>
      </c>
      <c r="G101" s="10">
        <f>IF(OR(2039053.91344="",206.2863="",0.51364=""),"-",(206.2863-0.51364)/2039053.91344*100)</f>
        <v>1.0091575246916833E-2</v>
      </c>
    </row>
    <row r="102" spans="1:7" x14ac:dyDescent="0.25">
      <c r="A102" s="27" t="s">
        <v>315</v>
      </c>
      <c r="B102" s="70">
        <v>203.89457999999999</v>
      </c>
      <c r="C102" s="10" t="s">
        <v>385</v>
      </c>
      <c r="D102" s="10">
        <f>IF(35.76866="","-",35.76866/2039053.91344*100)</f>
        <v>1.7541792183246509E-3</v>
      </c>
      <c r="E102" s="10">
        <f>IF(203.89458="","-",203.89458/2306997.54002*100)</f>
        <v>8.8380926491249037E-3</v>
      </c>
      <c r="F102" s="10">
        <f>IF(OR(1550863.02837="",21.38897="",35.76866=""),"-",(35.76866-21.38897)/1550863.02837*100)</f>
        <v>9.2720567432144217E-4</v>
      </c>
      <c r="G102" s="10">
        <f>IF(OR(2039053.91344="",203.89458="",35.76866=""),"-",(203.89458-35.76866)/2039053.91344*100)</f>
        <v>8.2452905679360877E-3</v>
      </c>
    </row>
    <row r="103" spans="1:7" x14ac:dyDescent="0.25">
      <c r="A103" s="27" t="s">
        <v>122</v>
      </c>
      <c r="B103" s="10">
        <v>189.66412</v>
      </c>
      <c r="C103" s="10" t="s">
        <v>312</v>
      </c>
      <c r="D103" s="10">
        <f>IF(47.33495="","-",47.33495/2039053.91344*100)</f>
        <v>2.3214172851439342E-3</v>
      </c>
      <c r="E103" s="10">
        <f>IF(189.66412="","-",189.66412/2306997.54002*100)</f>
        <v>8.2212536732204633E-3</v>
      </c>
      <c r="F103" s="10">
        <f>IF(OR(1550863.02837="",26.6882="",47.33495=""),"-",(47.33495-26.6882)/1550863.02837*100)</f>
        <v>1.3313071252785173E-3</v>
      </c>
      <c r="G103" s="10">
        <f>IF(OR(2039053.91344="",189.66412="",47.33495=""),"-",(189.66412-47.33495)/2039053.91344*100)</f>
        <v>6.9801572710690412E-3</v>
      </c>
    </row>
    <row r="104" spans="1:7" x14ac:dyDescent="0.25">
      <c r="A104" s="27" t="s">
        <v>125</v>
      </c>
      <c r="B104" s="10">
        <v>169.04562999999999</v>
      </c>
      <c r="C104" s="10" t="s">
        <v>91</v>
      </c>
      <c r="D104" s="10">
        <f>IF(79.42584="","-",79.42584/2039053.91344*100)</f>
        <v>3.8952300121385254E-3</v>
      </c>
      <c r="E104" s="10">
        <f>IF(169.04563="","-",169.04563/2306997.54002*100)</f>
        <v>7.3275166994124525E-3</v>
      </c>
      <c r="F104" s="10">
        <f>IF(OR(1550863.02837="",149.13327="",79.42584=""),"-",(79.42584-149.13327)/1550863.02837*100)</f>
        <v>-4.4947509048084309E-3</v>
      </c>
      <c r="G104" s="10">
        <f>IF(OR(2039053.91344="",169.04563="",79.42584=""),"-",(169.04563-79.42584)/2039053.91344*100)</f>
        <v>4.3951652974592668E-3</v>
      </c>
    </row>
    <row r="105" spans="1:7" x14ac:dyDescent="0.25">
      <c r="A105" s="27" t="s">
        <v>366</v>
      </c>
      <c r="B105" s="10">
        <v>163.16614999999999</v>
      </c>
      <c r="C105" s="10">
        <f>IF(OR(217.15461="",163.16615=""),"-",163.16615/217.15461*100)</f>
        <v>75.138239063863296</v>
      </c>
      <c r="D105" s="10">
        <f>IF(217.15461="","-",217.15461/2039053.91344*100)</f>
        <v>1.0649772846547632E-2</v>
      </c>
      <c r="E105" s="10">
        <f>IF(163.16615="","-",163.16615/2306997.54002*100)</f>
        <v>7.0726625048150435E-3</v>
      </c>
      <c r="F105" s="10">
        <f>IF(OR(1550863.02837="",13.50966="",217.15461=""),"-",(217.15461-13.50966)/1550863.02837*100)</f>
        <v>1.3131072588275993E-2</v>
      </c>
      <c r="G105" s="10">
        <f>IF(OR(2039053.91344="",163.16615="",217.15461=""),"-",(163.16615-217.15461)/2039053.91344*100)</f>
        <v>-2.647721065350273E-3</v>
      </c>
    </row>
    <row r="106" spans="1:7" x14ac:dyDescent="0.25">
      <c r="A106" s="27" t="s">
        <v>58</v>
      </c>
      <c r="B106" s="70">
        <v>152.10783000000001</v>
      </c>
      <c r="C106" s="10">
        <f>IF(OR(122.11688="",152.10783=""),"-",152.10783/122.11688*100)</f>
        <v>124.55921736618232</v>
      </c>
      <c r="D106" s="10">
        <f>IF(122.11688="","-",122.11688/2039053.91344*100)</f>
        <v>5.9888990278820957E-3</v>
      </c>
      <c r="E106" s="10">
        <f>IF(152.10783="","-",152.10783/2306997.54002*100)</f>
        <v>6.5933243257243063E-3</v>
      </c>
      <c r="F106" s="10">
        <f>IF(OR(1550863.02837="",1.01171="",122.11688=""),"-",(122.11688-1.01171)/1550863.02837*100)</f>
        <v>7.8088888434773573E-3</v>
      </c>
      <c r="G106" s="10">
        <f>IF(OR(2039053.91344="",152.10783="",122.11688=""),"-",(152.10783-122.11688)/2039053.91344*100)</f>
        <v>1.4708267300987433E-3</v>
      </c>
    </row>
    <row r="107" spans="1:7" x14ac:dyDescent="0.25">
      <c r="A107" s="27" t="s">
        <v>124</v>
      </c>
      <c r="B107" s="70">
        <v>149.98193000000001</v>
      </c>
      <c r="C107" s="10">
        <f>IF(OR(184.3359="",149.98193=""),"-",149.98193/184.3359*100)</f>
        <v>81.363386079434335</v>
      </c>
      <c r="D107" s="10">
        <f>IF(184.3359="","-",184.3359/2039053.91344*100)</f>
        <v>9.0402661148382708E-3</v>
      </c>
      <c r="E107" s="10">
        <f>IF(149.98193="","-",149.98193/2306997.54002*100)</f>
        <v>6.5011742491368129E-3</v>
      </c>
      <c r="F107" s="10">
        <f>IF(OR(1550863.02837="",78.65367="",184.3359=""),"-",(184.3359-78.65367)/1550863.02837*100)</f>
        <v>6.8144141724156629E-3</v>
      </c>
      <c r="G107" s="10">
        <f>IF(OR(2039053.91344="",149.98193="",184.3359=""),"-",(149.98193-184.3359)/2039053.91344*100)</f>
        <v>-1.68479949321413E-3</v>
      </c>
    </row>
    <row r="108" spans="1:7" x14ac:dyDescent="0.25">
      <c r="A108" s="27" t="s">
        <v>360</v>
      </c>
      <c r="B108" s="10">
        <v>141.15432000000001</v>
      </c>
      <c r="C108" s="10" t="s">
        <v>386</v>
      </c>
      <c r="D108" s="10">
        <f>IF(0.37434="","-",0.37434/2039053.91344*100)</f>
        <v>1.8358514089922572E-5</v>
      </c>
      <c r="E108" s="10">
        <f>IF(141.15432="","-",141.15432/2306997.54002*100)</f>
        <v>6.1185292810835117E-3</v>
      </c>
      <c r="F108" s="10" t="str">
        <f>IF(OR(1550863.02837="",""="",0.37434=""),"-",(0.37434-"")/1550863.02837*100)</f>
        <v>-</v>
      </c>
      <c r="G108" s="10">
        <f>IF(OR(2039053.91344="",141.15432="",0.37434=""),"-",(141.15432-0.37434)/2039053.91344*100)</f>
        <v>6.9041813495993431E-3</v>
      </c>
    </row>
    <row r="109" spans="1:7" x14ac:dyDescent="0.25">
      <c r="A109" s="27" t="s">
        <v>286</v>
      </c>
      <c r="B109" s="70">
        <v>118.98926</v>
      </c>
      <c r="C109" s="10">
        <f>IF(OR(76.0032="",118.98926=""),"-",118.98926/76.0032*100)</f>
        <v>156.55822386425834</v>
      </c>
      <c r="D109" s="10">
        <f>IF(76.0032="","-",76.0032/2039053.91344*100)</f>
        <v>3.7273756961030166E-3</v>
      </c>
      <c r="E109" s="10">
        <f>IF(118.98926="","-",118.98926/2306997.54002*100)</f>
        <v>5.1577540910151317E-3</v>
      </c>
      <c r="F109" s="10">
        <f>IF(OR(1550863.02837="",0.49901="",76.0032=""),"-",(76.0032-0.49901)/1550863.02837*100)</f>
        <v>4.8685273050423413E-3</v>
      </c>
      <c r="G109" s="10">
        <f>IF(OR(2039053.91344="",118.98926="",76.0032=""),"-",(118.98926-76.0032)/2039053.91344*100)</f>
        <v>2.1081374904639016E-3</v>
      </c>
    </row>
    <row r="110" spans="1:7" x14ac:dyDescent="0.25">
      <c r="A110" s="27" t="s">
        <v>367</v>
      </c>
      <c r="B110" s="70">
        <v>74.931439999999995</v>
      </c>
      <c r="C110" s="10" t="s">
        <v>387</v>
      </c>
      <c r="D110" s="10">
        <f>IF(1.1846="","-",1.1846/2039053.91344*100)</f>
        <v>5.8095570312876736E-5</v>
      </c>
      <c r="E110" s="10">
        <f>IF(74.93144="","-",74.93144/2306997.54002*100)</f>
        <v>3.2480069310932332E-3</v>
      </c>
      <c r="F110" s="10">
        <f>IF(OR(1550863.02837="",3.53519="",1.1846=""),"-",(1.1846-3.53519)/1550863.02837*100)</f>
        <v>-1.5156657660931767E-4</v>
      </c>
      <c r="G110" s="10">
        <f>IF(OR(2039053.91344="",74.93144="",1.1846=""),"-",(74.93144-1.1846)/2039053.91344*100)</f>
        <v>3.6167184944896759E-3</v>
      </c>
    </row>
    <row r="111" spans="1:7" x14ac:dyDescent="0.25">
      <c r="A111" s="27" t="s">
        <v>201</v>
      </c>
      <c r="B111" s="10">
        <v>63.052</v>
      </c>
      <c r="C111" s="10">
        <f>IF(OR(101.88999="",63.052=""),"-",63.052/101.88999*100)</f>
        <v>61.882428293495764</v>
      </c>
      <c r="D111" s="10">
        <f>IF(101.88999="","-",101.88999/2039053.91344*100)</f>
        <v>4.9969247663543027E-3</v>
      </c>
      <c r="E111" s="10">
        <f>IF(63.052="","-",63.052/2306997.54002*100)</f>
        <v>2.7330761696197289E-3</v>
      </c>
      <c r="F111" s="10">
        <f>IF(OR(1550863.02837="",7.35358="",101.88999=""),"-",(101.88999-7.35358)/1550863.02837*100)</f>
        <v>6.0957291695424836E-3</v>
      </c>
      <c r="G111" s="10">
        <f>IF(OR(2039053.91344="",63.052="",101.88999=""),"-",(63.052-101.88999)/2039053.91344*100)</f>
        <v>-1.9047063809351709E-3</v>
      </c>
    </row>
    <row r="112" spans="1:7" x14ac:dyDescent="0.25">
      <c r="A112" s="27" t="s">
        <v>368</v>
      </c>
      <c r="B112" s="70">
        <v>51.129980000000003</v>
      </c>
      <c r="C112" s="10" t="s">
        <v>388</v>
      </c>
      <c r="D112" s="10">
        <f>IF(0.73795="","-",0.73795/2039053.91344*100)</f>
        <v>3.6190803741674308E-5</v>
      </c>
      <c r="E112" s="10">
        <f>IF(51.12998="","-",51.12998/2306997.54002*100)</f>
        <v>2.216299719138701E-3</v>
      </c>
      <c r="F112" s="10">
        <f>IF(OR(1550863.02837="",45.38131="",0.73795=""),"-",(0.73795-45.38131)/1550863.02837*100)</f>
        <v>-2.8786139835264117E-3</v>
      </c>
      <c r="G112" s="10">
        <f>IF(OR(2039053.91344="",51.12998="",0.73795=""),"-",(51.12998-0.73795)/2039053.91344*100)</f>
        <v>2.4713436789410722E-3</v>
      </c>
    </row>
    <row r="113" spans="1:7" x14ac:dyDescent="0.25">
      <c r="A113" s="28" t="s">
        <v>369</v>
      </c>
      <c r="B113" s="72">
        <v>50.438299999999998</v>
      </c>
      <c r="C113" s="71">
        <f>IF(OR(50.16433="",50.4383=""),"-",50.4383/50.16433*100)</f>
        <v>100.54614503971248</v>
      </c>
      <c r="D113" s="71">
        <f>IF(50.16433="","-",50.16433/2039053.91344*100)</f>
        <v>2.4601767353649774E-3</v>
      </c>
      <c r="E113" s="71">
        <f>IF(50.4383="","-",50.4383/2306997.54002*100)</f>
        <v>2.1863178926303812E-3</v>
      </c>
      <c r="F113" s="71">
        <f>IF(OR(1550863.02837="",45.0277="",50.16433=""),"-",(50.16433-45.0277)/1550863.02837*100)</f>
        <v>3.3121106803343797E-4</v>
      </c>
      <c r="G113" s="71">
        <f>IF(OR(2039053.91344="",50.4383="",50.16433=""),"-",(50.4383-50.16433)/2039053.91344*100)</f>
        <v>1.3436133208356199E-5</v>
      </c>
    </row>
    <row r="114" spans="1:7" x14ac:dyDescent="0.25">
      <c r="A114" s="20" t="s">
        <v>278</v>
      </c>
      <c r="B114" s="21"/>
      <c r="C114" s="21"/>
      <c r="D114" s="21"/>
      <c r="E114" s="21"/>
      <c r="F114" s="2"/>
      <c r="G114" s="2"/>
    </row>
    <row r="115" spans="1:7" x14ac:dyDescent="0.25">
      <c r="A115" s="74" t="s">
        <v>329</v>
      </c>
      <c r="B115" s="74"/>
      <c r="C115" s="74"/>
      <c r="D115" s="74"/>
      <c r="E115" s="74"/>
      <c r="F115" s="2"/>
      <c r="G115" s="2"/>
    </row>
  </sheetData>
  <mergeCells count="7">
    <mergeCell ref="A115:E115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29"/>
  <sheetViews>
    <sheetView workbookViewId="0">
      <selection sqref="A1:D1"/>
    </sheetView>
  </sheetViews>
  <sheetFormatPr defaultRowHeight="15.75" x14ac:dyDescent="0.25"/>
  <cols>
    <col min="1" max="1" width="48" customWidth="1"/>
    <col min="2" max="2" width="12.875" customWidth="1"/>
    <col min="3" max="3" width="13.375" customWidth="1"/>
    <col min="4" max="4" width="15" customWidth="1"/>
  </cols>
  <sheetData>
    <row r="1" spans="1:4" x14ac:dyDescent="0.25">
      <c r="A1" s="85" t="s">
        <v>289</v>
      </c>
      <c r="B1" s="85"/>
      <c r="C1" s="85"/>
      <c r="D1" s="85"/>
    </row>
    <row r="2" spans="1:4" x14ac:dyDescent="0.25">
      <c r="A2" s="86"/>
      <c r="B2" s="86"/>
      <c r="C2" s="86"/>
      <c r="D2" s="86"/>
    </row>
    <row r="3" spans="1:4" ht="76.5" customHeight="1" x14ac:dyDescent="0.25">
      <c r="A3" s="45"/>
      <c r="B3" s="45" t="s">
        <v>353</v>
      </c>
      <c r="C3" s="46" t="s">
        <v>354</v>
      </c>
      <c r="D3" s="46" t="s">
        <v>355</v>
      </c>
    </row>
    <row r="4" spans="1:4" s="1" customFormat="1" ht="16.5" customHeight="1" x14ac:dyDescent="0.25">
      <c r="A4" s="53" t="s">
        <v>335</v>
      </c>
      <c r="B4" s="54">
        <v>-976403.61898999999</v>
      </c>
      <c r="C4" s="54">
        <v>-1231841.26669</v>
      </c>
      <c r="D4" s="54">
        <f>IF(-976403.61899="","-",-1231841.26669/-976403.61899*100)</f>
        <v>126.16107137786183</v>
      </c>
    </row>
    <row r="5" spans="1:4" x14ac:dyDescent="0.25">
      <c r="A5" s="18" t="s">
        <v>123</v>
      </c>
      <c r="B5" s="34"/>
      <c r="C5" s="34"/>
      <c r="D5" s="34"/>
    </row>
    <row r="6" spans="1:4" x14ac:dyDescent="0.25">
      <c r="A6" s="26" t="s">
        <v>305</v>
      </c>
      <c r="B6" s="17">
        <v>-190342.16245999999</v>
      </c>
      <c r="C6" s="17">
        <v>-443442.76828999998</v>
      </c>
      <c r="D6" s="17" t="s">
        <v>313</v>
      </c>
    </row>
    <row r="7" spans="1:4" x14ac:dyDescent="0.25">
      <c r="A7" s="27" t="s">
        <v>4</v>
      </c>
      <c r="B7" s="15">
        <v>-77111.541769999996</v>
      </c>
      <c r="C7" s="15">
        <v>-84985.581439999994</v>
      </c>
      <c r="D7" s="15">
        <f>IF(OR(-77111.54177="",-84985.58144="",-77111.54177=0),"-",-84985.58144/-77111.54177*100)</f>
        <v>110.21123360947162</v>
      </c>
    </row>
    <row r="8" spans="1:4" x14ac:dyDescent="0.25">
      <c r="A8" s="27" t="s">
        <v>290</v>
      </c>
      <c r="B8" s="15">
        <v>-45577.454640000004</v>
      </c>
      <c r="C8" s="15">
        <v>-48920.811159999997</v>
      </c>
      <c r="D8" s="15">
        <f>IF(OR(-45577.45464="",-48920.81116="",-45577.45464=0),"-",-48920.81116/-45577.45464*100)</f>
        <v>107.33554900423459</v>
      </c>
    </row>
    <row r="9" spans="1:4" x14ac:dyDescent="0.25">
      <c r="A9" s="27" t="s">
        <v>8</v>
      </c>
      <c r="B9" s="15">
        <v>7467.80656</v>
      </c>
      <c r="C9" s="15">
        <v>-48135.76195</v>
      </c>
      <c r="D9" s="15" t="s">
        <v>20</v>
      </c>
    </row>
    <row r="10" spans="1:4" x14ac:dyDescent="0.25">
      <c r="A10" s="27" t="s">
        <v>3</v>
      </c>
      <c r="B10" s="15">
        <v>5233.4826499999999</v>
      </c>
      <c r="C10" s="15">
        <v>-44543.025159999997</v>
      </c>
      <c r="D10" s="15" t="s">
        <v>20</v>
      </c>
    </row>
    <row r="11" spans="1:4" x14ac:dyDescent="0.25">
      <c r="A11" s="27" t="s">
        <v>5</v>
      </c>
      <c r="B11" s="15">
        <v>-36435.847040000001</v>
      </c>
      <c r="C11" s="15">
        <v>-44202.746469999998</v>
      </c>
      <c r="D11" s="15">
        <f>IF(OR(-36435.84704="",-44202.74647="",-36435.84704=0),"-",-44202.74647/-36435.84704*100)</f>
        <v>121.31664297929822</v>
      </c>
    </row>
    <row r="12" spans="1:4" x14ac:dyDescent="0.25">
      <c r="A12" s="27" t="s">
        <v>40</v>
      </c>
      <c r="B12" s="15">
        <v>-36549.548470000002</v>
      </c>
      <c r="C12" s="15">
        <v>-40192.48126</v>
      </c>
      <c r="D12" s="15">
        <f>IF(OR(-36549.54847="",-40192.48126="",-36549.54847=0),"-",-40192.48126/-36549.54847*100)</f>
        <v>109.96710750883867</v>
      </c>
    </row>
    <row r="13" spans="1:4" x14ac:dyDescent="0.25">
      <c r="A13" s="27" t="s">
        <v>6</v>
      </c>
      <c r="B13" s="15">
        <v>22418.927810000001</v>
      </c>
      <c r="C13" s="15">
        <v>-33467.928140000004</v>
      </c>
      <c r="D13" s="15" t="s">
        <v>20</v>
      </c>
    </row>
    <row r="14" spans="1:4" x14ac:dyDescent="0.25">
      <c r="A14" s="27" t="s">
        <v>7</v>
      </c>
      <c r="B14" s="15">
        <v>-15034.4054</v>
      </c>
      <c r="C14" s="15">
        <v>-21746.335050000002</v>
      </c>
      <c r="D14" s="15">
        <f>IF(OR(-15034.4054="",-21746.33505="",-15034.4054=0),"-",-21746.33505/-15034.4054*100)</f>
        <v>144.64379848370993</v>
      </c>
    </row>
    <row r="15" spans="1:4" x14ac:dyDescent="0.25">
      <c r="A15" s="27" t="s">
        <v>42</v>
      </c>
      <c r="B15" s="15">
        <v>-8428.9581699999999</v>
      </c>
      <c r="C15" s="15">
        <v>-16952.556670000002</v>
      </c>
      <c r="D15" s="15" t="s">
        <v>18</v>
      </c>
    </row>
    <row r="16" spans="1:4" x14ac:dyDescent="0.25">
      <c r="A16" s="27" t="s">
        <v>304</v>
      </c>
      <c r="B16" s="15">
        <v>-10079.065210000001</v>
      </c>
      <c r="C16" s="15">
        <v>-13533.416139999999</v>
      </c>
      <c r="D16" s="15">
        <f>IF(OR(-10079.06521="",-13533.41614="",-10079.06521=0),"-",-13533.41614/-10079.06521*100)</f>
        <v>134.27253279969599</v>
      </c>
    </row>
    <row r="17" spans="1:4" x14ac:dyDescent="0.25">
      <c r="A17" s="27" t="s">
        <v>39</v>
      </c>
      <c r="B17" s="15">
        <v>-6973.9760299999998</v>
      </c>
      <c r="C17" s="15">
        <v>-12383.09871</v>
      </c>
      <c r="D17" s="15" t="s">
        <v>196</v>
      </c>
    </row>
    <row r="18" spans="1:4" x14ac:dyDescent="0.25">
      <c r="A18" s="27" t="s">
        <v>49</v>
      </c>
      <c r="B18" s="15">
        <v>-6932.33043</v>
      </c>
      <c r="C18" s="15">
        <v>-9519.2795399999995</v>
      </c>
      <c r="D18" s="15">
        <f>IF(OR(-6932.33043="",-9519.27954="",-6932.33043=0),"-",-9519.27954/-6932.33043*100)</f>
        <v>137.31716391943539</v>
      </c>
    </row>
    <row r="19" spans="1:4" x14ac:dyDescent="0.25">
      <c r="A19" s="27" t="s">
        <v>38</v>
      </c>
      <c r="B19" s="15">
        <v>-16548.00447</v>
      </c>
      <c r="C19" s="15">
        <v>-8923.5489300000008</v>
      </c>
      <c r="D19" s="15">
        <f>IF(OR(-16548.00447="",-8923.54893="",-16548.00447=0),"-",-8923.54893/-16548.00447*100)</f>
        <v>53.925226731583066</v>
      </c>
    </row>
    <row r="20" spans="1:4" x14ac:dyDescent="0.25">
      <c r="A20" s="27" t="s">
        <v>2</v>
      </c>
      <c r="B20" s="15">
        <v>62811.669990000002</v>
      </c>
      <c r="C20" s="15">
        <v>-8767.9345900000008</v>
      </c>
      <c r="D20" s="15" t="s">
        <v>20</v>
      </c>
    </row>
    <row r="21" spans="1:4" x14ac:dyDescent="0.25">
      <c r="A21" s="27" t="s">
        <v>48</v>
      </c>
      <c r="B21" s="15">
        <v>-6623.5601800000004</v>
      </c>
      <c r="C21" s="15">
        <v>-8152.6782499999999</v>
      </c>
      <c r="D21" s="15">
        <f>IF(OR(-6623.56018="",-8152.67825="",-6623.56018=0),"-",-8152.67825/-6623.56018*100)</f>
        <v>123.08604479230382</v>
      </c>
    </row>
    <row r="22" spans="1:4" x14ac:dyDescent="0.25">
      <c r="A22" s="27" t="s">
        <v>50</v>
      </c>
      <c r="B22" s="15">
        <v>-7650.5075800000004</v>
      </c>
      <c r="C22" s="15">
        <v>-7564.0961799999995</v>
      </c>
      <c r="D22" s="15">
        <f>IF(OR(-7650.50758="",-7564.09618="",-7650.50758=0),"-",-7564.09618/-7650.50758*100)</f>
        <v>98.870514157441022</v>
      </c>
    </row>
    <row r="23" spans="1:4" x14ac:dyDescent="0.25">
      <c r="A23" s="27" t="s">
        <v>47</v>
      </c>
      <c r="B23" s="15">
        <v>-3566.22759</v>
      </c>
      <c r="C23" s="15">
        <v>-4933.8074399999996</v>
      </c>
      <c r="D23" s="15">
        <f>IF(OR(-3566.22759="",-4933.80744="",-3566.22759=0),"-",-4933.80744/-3566.22759*100)</f>
        <v>138.34808114419863</v>
      </c>
    </row>
    <row r="24" spans="1:4" x14ac:dyDescent="0.25">
      <c r="A24" s="27" t="s">
        <v>46</v>
      </c>
      <c r="B24" s="15">
        <v>-4968.3804399999999</v>
      </c>
      <c r="C24" s="15">
        <v>-4361.8313600000001</v>
      </c>
      <c r="D24" s="15">
        <f>IF(OR(-4968.38044="",-4361.83136="",-4968.38044=0),"-",-4361.83136/-4968.38044*100)</f>
        <v>87.791814911822669</v>
      </c>
    </row>
    <row r="25" spans="1:4" x14ac:dyDescent="0.25">
      <c r="A25" s="27" t="s">
        <v>43</v>
      </c>
      <c r="B25" s="15">
        <v>-2818.5339600000002</v>
      </c>
      <c r="C25" s="15">
        <v>-3297.8773999999999</v>
      </c>
      <c r="D25" s="15">
        <f>IF(OR(-2818.53396="",-3297.8774="",-2818.53396=0),"-",-3297.8774/-2818.53396*100)</f>
        <v>117.00683570972477</v>
      </c>
    </row>
    <row r="26" spans="1:4" x14ac:dyDescent="0.25">
      <c r="A26" s="27" t="s">
        <v>51</v>
      </c>
      <c r="B26" s="15">
        <v>-2008.9254599999999</v>
      </c>
      <c r="C26" s="15">
        <v>-1847.6120599999999</v>
      </c>
      <c r="D26" s="15">
        <f>IF(OR(-2008.92546="",-1847.61206="",-2008.92546=0),"-",-1847.61206/-2008.92546*100)</f>
        <v>91.970164985613749</v>
      </c>
    </row>
    <row r="27" spans="1:4" x14ac:dyDescent="0.25">
      <c r="A27" s="27" t="s">
        <v>291</v>
      </c>
      <c r="B27" s="15">
        <v>-1468.31294</v>
      </c>
      <c r="C27" s="15">
        <v>-1259.5363299999999</v>
      </c>
      <c r="D27" s="15">
        <f>IF(OR(-1468.31294="",-1259.53633="",-1468.31294=0),"-",-1259.53633/-1468.31294*100)</f>
        <v>85.781191167599459</v>
      </c>
    </row>
    <row r="28" spans="1:4" x14ac:dyDescent="0.25">
      <c r="A28" s="27" t="s">
        <v>44</v>
      </c>
      <c r="B28" s="15">
        <v>-64.684129999999996</v>
      </c>
      <c r="C28" s="15">
        <v>-533.33663000000001</v>
      </c>
      <c r="D28" s="15" t="s">
        <v>389</v>
      </c>
    </row>
    <row r="29" spans="1:4" x14ac:dyDescent="0.25">
      <c r="A29" s="27" t="s">
        <v>52</v>
      </c>
      <c r="B29" s="15">
        <v>-579.00450000000001</v>
      </c>
      <c r="C29" s="15">
        <v>-507.44385999999997</v>
      </c>
      <c r="D29" s="15">
        <f>IF(OR(-579.0045="",-507.44386="",-579.0045=0),"-",-507.44386/-579.0045*100)</f>
        <v>87.640745451891988</v>
      </c>
    </row>
    <row r="30" spans="1:4" x14ac:dyDescent="0.25">
      <c r="A30" s="27" t="s">
        <v>53</v>
      </c>
      <c r="B30" s="15">
        <v>-18.06879</v>
      </c>
      <c r="C30" s="15">
        <v>-3.8284199999999999</v>
      </c>
      <c r="D30" s="15">
        <f>IF(OR(-18.06879="",-3.82842="",-18.06879=0),"-",-3.82842/-18.06879*100)</f>
        <v>21.18802642567654</v>
      </c>
    </row>
    <row r="31" spans="1:4" x14ac:dyDescent="0.25">
      <c r="A31" s="27" t="s">
        <v>41</v>
      </c>
      <c r="B31" s="15">
        <v>-1824.54026</v>
      </c>
      <c r="C31" s="15">
        <v>1819.18544</v>
      </c>
      <c r="D31" s="15" t="s">
        <v>20</v>
      </c>
    </row>
    <row r="32" spans="1:4" x14ac:dyDescent="0.25">
      <c r="A32" s="27" t="s">
        <v>298</v>
      </c>
      <c r="B32" s="15">
        <v>-5697.2565100000002</v>
      </c>
      <c r="C32" s="15">
        <v>5339.8734199999999</v>
      </c>
      <c r="D32" s="15" t="s">
        <v>20</v>
      </c>
    </row>
    <row r="33" spans="1:4" x14ac:dyDescent="0.25">
      <c r="A33" s="27" t="s">
        <v>45</v>
      </c>
      <c r="B33" s="15">
        <v>8685.0845000000008</v>
      </c>
      <c r="C33" s="15">
        <v>18134.725989999999</v>
      </c>
      <c r="D33" s="15" t="s">
        <v>91</v>
      </c>
    </row>
    <row r="34" spans="1:4" x14ac:dyDescent="0.25">
      <c r="A34" s="26" t="s">
        <v>197</v>
      </c>
      <c r="B34" s="17">
        <v>-527433.07949000003</v>
      </c>
      <c r="C34" s="17">
        <v>-258638.63774999999</v>
      </c>
      <c r="D34" s="17">
        <f>IF(-527433.07949="","-",-258638.63775/-527433.07949*100)</f>
        <v>49.037242411888521</v>
      </c>
    </row>
    <row r="35" spans="1:4" x14ac:dyDescent="0.25">
      <c r="A35" s="27" t="s">
        <v>10</v>
      </c>
      <c r="B35" s="15">
        <v>-107750.48096</v>
      </c>
      <c r="C35" s="15">
        <v>-119396.8936</v>
      </c>
      <c r="D35" s="15">
        <f>IF(OR(-107750.48096="",-119396.8936="",-107750.48096=0),"-",-119396.8936/-107750.48096*100)</f>
        <v>110.80868738240109</v>
      </c>
    </row>
    <row r="36" spans="1:4" x14ac:dyDescent="0.25">
      <c r="A36" s="27" t="s">
        <v>292</v>
      </c>
      <c r="B36" s="15">
        <v>-391181.75410999998</v>
      </c>
      <c r="C36" s="15">
        <v>-103243.29745</v>
      </c>
      <c r="D36" s="15">
        <f>IF(OR(-391181.75411="",-103243.29745="",-391181.75411=0),"-",-103243.29745/-391181.75411*100)</f>
        <v>26.392666929186088</v>
      </c>
    </row>
    <row r="37" spans="1:4" x14ac:dyDescent="0.25">
      <c r="A37" s="27" t="s">
        <v>11</v>
      </c>
      <c r="B37" s="15">
        <v>-2154.54223</v>
      </c>
      <c r="C37" s="15">
        <v>-28080.862649999999</v>
      </c>
      <c r="D37" s="15" t="s">
        <v>390</v>
      </c>
    </row>
    <row r="38" spans="1:4" x14ac:dyDescent="0.25">
      <c r="A38" s="27" t="s">
        <v>12</v>
      </c>
      <c r="B38" s="15">
        <v>-4823.018</v>
      </c>
      <c r="C38" s="15">
        <v>-9900.6327299999994</v>
      </c>
      <c r="D38" s="15" t="s">
        <v>91</v>
      </c>
    </row>
    <row r="39" spans="1:4" x14ac:dyDescent="0.25">
      <c r="A39" s="27" t="s">
        <v>14</v>
      </c>
      <c r="B39" s="15">
        <v>-3547.8593599999999</v>
      </c>
      <c r="C39" s="15">
        <v>-4414.7033899999997</v>
      </c>
      <c r="D39" s="15">
        <f>IF(OR(-3547.85936="",-4414.70339="",-3547.85936=0),"-",-4414.70339/-3547.85936*100)</f>
        <v>124.43287464472661</v>
      </c>
    </row>
    <row r="40" spans="1:4" x14ac:dyDescent="0.25">
      <c r="A40" s="27" t="s">
        <v>13</v>
      </c>
      <c r="B40" s="15">
        <v>-3332.1561200000001</v>
      </c>
      <c r="C40" s="15">
        <v>-646.79309000000001</v>
      </c>
      <c r="D40" s="15">
        <f>IF(OR(-3332.15612="",-646.79309="",-3332.15612=0),"-",-646.79309/-3332.15612*100)</f>
        <v>19.410647842034486</v>
      </c>
    </row>
    <row r="41" spans="1:4" x14ac:dyDescent="0.25">
      <c r="A41" s="27" t="s">
        <v>16</v>
      </c>
      <c r="B41" s="15">
        <v>18.319430000000001</v>
      </c>
      <c r="C41" s="15">
        <v>62.19556</v>
      </c>
      <c r="D41" s="15" t="s">
        <v>319</v>
      </c>
    </row>
    <row r="42" spans="1:4" x14ac:dyDescent="0.25">
      <c r="A42" s="27" t="s">
        <v>15</v>
      </c>
      <c r="B42" s="15">
        <v>-97.671180000000007</v>
      </c>
      <c r="C42" s="15">
        <v>373.91807</v>
      </c>
      <c r="D42" s="15" t="s">
        <v>20</v>
      </c>
    </row>
    <row r="43" spans="1:4" x14ac:dyDescent="0.25">
      <c r="A43" s="27" t="s">
        <v>299</v>
      </c>
      <c r="B43" s="15">
        <v>-1536.2161699999999</v>
      </c>
      <c r="C43" s="15">
        <v>1157.23612</v>
      </c>
      <c r="D43" s="15" t="s">
        <v>20</v>
      </c>
    </row>
    <row r="44" spans="1:4" x14ac:dyDescent="0.25">
      <c r="A44" s="27" t="s">
        <v>9</v>
      </c>
      <c r="B44" s="15">
        <v>-13027.700790000001</v>
      </c>
      <c r="C44" s="15">
        <v>5451.1954100000003</v>
      </c>
      <c r="D44" s="15" t="s">
        <v>20</v>
      </c>
    </row>
    <row r="45" spans="1:4" x14ac:dyDescent="0.25">
      <c r="A45" s="26" t="s">
        <v>132</v>
      </c>
      <c r="B45" s="17">
        <v>-258628.37703999999</v>
      </c>
      <c r="C45" s="17">
        <v>-529759.86065000005</v>
      </c>
      <c r="D45" s="17" t="s">
        <v>18</v>
      </c>
    </row>
    <row r="46" spans="1:4" x14ac:dyDescent="0.25">
      <c r="A46" s="27" t="s">
        <v>57</v>
      </c>
      <c r="B46" s="15">
        <v>-181936.53886999999</v>
      </c>
      <c r="C46" s="15">
        <v>-226995.96917</v>
      </c>
      <c r="D46" s="15">
        <f>IF(OR(-181936.53887="",-226995.96917="",-181936.53887=0),"-",-226995.96917/-181936.53887*100)</f>
        <v>124.76656452841314</v>
      </c>
    </row>
    <row r="47" spans="1:4" x14ac:dyDescent="0.25">
      <c r="A47" s="27" t="s">
        <v>54</v>
      </c>
      <c r="B47" s="24">
        <v>-10560.41036</v>
      </c>
      <c r="C47" s="15">
        <v>-148781.74270999999</v>
      </c>
      <c r="D47" s="15" t="s">
        <v>336</v>
      </c>
    </row>
    <row r="48" spans="1:4" x14ac:dyDescent="0.25">
      <c r="A48" s="27" t="s">
        <v>67</v>
      </c>
      <c r="B48" s="15">
        <v>-25091.82863</v>
      </c>
      <c r="C48" s="15">
        <v>-44273.150589999997</v>
      </c>
      <c r="D48" s="15" t="s">
        <v>196</v>
      </c>
    </row>
    <row r="49" spans="1:4" x14ac:dyDescent="0.25">
      <c r="A49" s="27" t="s">
        <v>73</v>
      </c>
      <c r="B49" s="15">
        <v>-11061.531230000001</v>
      </c>
      <c r="C49" s="15">
        <v>-20040.905750000002</v>
      </c>
      <c r="D49" s="15" t="s">
        <v>196</v>
      </c>
    </row>
    <row r="50" spans="1:4" x14ac:dyDescent="0.25">
      <c r="A50" s="27" t="s">
        <v>17</v>
      </c>
      <c r="B50" s="15">
        <v>-19361.150870000001</v>
      </c>
      <c r="C50" s="15">
        <v>-15323.50801</v>
      </c>
      <c r="D50" s="15">
        <f>IF(OR(-19361.15087="",-15323.50801="",-19361.15087=0),"-",-15323.50801/-19361.15087*100)</f>
        <v>79.145646417867084</v>
      </c>
    </row>
    <row r="51" spans="1:4" x14ac:dyDescent="0.25">
      <c r="A51" s="27" t="s">
        <v>60</v>
      </c>
      <c r="B51" s="15">
        <v>-2156.4684299999999</v>
      </c>
      <c r="C51" s="15">
        <v>-13136.925509999999</v>
      </c>
      <c r="D51" s="15" t="s">
        <v>391</v>
      </c>
    </row>
    <row r="52" spans="1:4" x14ac:dyDescent="0.25">
      <c r="A52" s="27" t="s">
        <v>69</v>
      </c>
      <c r="B52" s="24">
        <v>-8487.4818699999996</v>
      </c>
      <c r="C52" s="15">
        <v>-11517.957920000001</v>
      </c>
      <c r="D52" s="15">
        <f>IF(OR(-8487.48187="",-11517.95792="",-8487.48187=0),"-",-11517.95792/-8487.48187*100)</f>
        <v>135.7052432796537</v>
      </c>
    </row>
    <row r="53" spans="1:4" x14ac:dyDescent="0.25">
      <c r="A53" s="27" t="s">
        <v>34</v>
      </c>
      <c r="B53" s="15">
        <v>-12514.29674</v>
      </c>
      <c r="C53" s="15">
        <v>-10846.55336</v>
      </c>
      <c r="D53" s="15">
        <f>IF(OR(-12514.29674="",-10846.55336="",-12514.29674=0),"-",-10846.55336/-12514.29674*100)</f>
        <v>86.673295234646957</v>
      </c>
    </row>
    <row r="54" spans="1:4" x14ac:dyDescent="0.25">
      <c r="A54" s="27" t="s">
        <v>76</v>
      </c>
      <c r="B54" s="15">
        <v>-5957.3229700000002</v>
      </c>
      <c r="C54" s="15">
        <v>-9305.2745400000003</v>
      </c>
      <c r="D54" s="15">
        <f>IF(OR(-5957.32297="",-9305.27454="",-5957.32297=0),"-",-9305.27454/-5957.32297*100)</f>
        <v>156.19892671355367</v>
      </c>
    </row>
    <row r="55" spans="1:4" x14ac:dyDescent="0.25">
      <c r="A55" s="27" t="s">
        <v>294</v>
      </c>
      <c r="B55" s="15">
        <v>6620.5347199999997</v>
      </c>
      <c r="C55" s="15">
        <v>-6396.4056700000001</v>
      </c>
      <c r="D55" s="15" t="s">
        <v>20</v>
      </c>
    </row>
    <row r="56" spans="1:4" x14ac:dyDescent="0.25">
      <c r="A56" s="27" t="s">
        <v>64</v>
      </c>
      <c r="B56" s="15">
        <v>-4991.8329000000003</v>
      </c>
      <c r="C56" s="15">
        <v>-5686.4201599999997</v>
      </c>
      <c r="D56" s="15">
        <f>IF(OR(-4991.8329="",-5686.42016="",-4991.8329=0),"-",-5686.42016/-4991.8329*100)</f>
        <v>113.91447337910689</v>
      </c>
    </row>
    <row r="57" spans="1:4" x14ac:dyDescent="0.25">
      <c r="A57" s="27" t="s">
        <v>300</v>
      </c>
      <c r="B57" s="15">
        <v>-4559.4490699999997</v>
      </c>
      <c r="C57" s="15">
        <v>-5557.0673299999999</v>
      </c>
      <c r="D57" s="15">
        <f>IF(OR(-4559.44907="",-5557.06733="",-4559.44907=0),"-",-5557.06733/-4559.44907*100)</f>
        <v>121.88023694713625</v>
      </c>
    </row>
    <row r="58" spans="1:4" x14ac:dyDescent="0.25">
      <c r="A58" s="27" t="s">
        <v>68</v>
      </c>
      <c r="B58" s="15">
        <v>-2699.0811199999998</v>
      </c>
      <c r="C58" s="15">
        <v>-3902.3312500000002</v>
      </c>
      <c r="D58" s="15">
        <f>IF(OR(-2699.08112="",-3902.33125="",-2699.08112=0),"-",-3902.33125/-2699.08112*100)</f>
        <v>144.5799913564658</v>
      </c>
    </row>
    <row r="59" spans="1:4" x14ac:dyDescent="0.25">
      <c r="A59" s="27" t="s">
        <v>79</v>
      </c>
      <c r="B59" s="15">
        <v>-3137.3339000000001</v>
      </c>
      <c r="C59" s="15">
        <v>-3414.0540099999998</v>
      </c>
      <c r="D59" s="15">
        <f>IF(OR(-3137.3339="",-3414.05401="",-3137.3339=0),"-",-3414.05401/-3137.3339*100)</f>
        <v>108.82023140731052</v>
      </c>
    </row>
    <row r="60" spans="1:4" x14ac:dyDescent="0.25">
      <c r="A60" s="27" t="s">
        <v>71</v>
      </c>
      <c r="B60" s="15">
        <v>-5368.0442999999996</v>
      </c>
      <c r="C60" s="15">
        <v>-3227.9867399999998</v>
      </c>
      <c r="D60" s="15">
        <f>IF(OR(-5368.0443="",-3227.98674="",-5368.0443=0),"-",-3227.98674/-5368.0443*100)</f>
        <v>60.133384890284901</v>
      </c>
    </row>
    <row r="61" spans="1:4" x14ac:dyDescent="0.25">
      <c r="A61" s="27" t="s">
        <v>80</v>
      </c>
      <c r="B61" s="15">
        <v>-2350.7281800000001</v>
      </c>
      <c r="C61" s="15">
        <v>-3214.8467099999998</v>
      </c>
      <c r="D61" s="15">
        <f>IF(OR(-2350.72818="",-3214.84671="",-2350.72818=0),"-",-3214.84671/-2350.72818*100)</f>
        <v>136.7596108028109</v>
      </c>
    </row>
    <row r="62" spans="1:4" x14ac:dyDescent="0.25">
      <c r="A62" s="27" t="s">
        <v>75</v>
      </c>
      <c r="B62" s="15">
        <v>-2550.1819300000002</v>
      </c>
      <c r="C62" s="15">
        <v>-2829.87806</v>
      </c>
      <c r="D62" s="15">
        <f>IF(OR(-2550.18193="",-2829.87806="",-2550.18193=0),"-",-2829.87806/-2550.18193*100)</f>
        <v>110.96769319512822</v>
      </c>
    </row>
    <row r="63" spans="1:4" x14ac:dyDescent="0.25">
      <c r="A63" s="27" t="s">
        <v>81</v>
      </c>
      <c r="B63" s="15">
        <v>-314.27451000000002</v>
      </c>
      <c r="C63" s="15">
        <v>-2797.3853399999998</v>
      </c>
      <c r="D63" s="15" t="s">
        <v>334</v>
      </c>
    </row>
    <row r="64" spans="1:4" x14ac:dyDescent="0.25">
      <c r="A64" s="27" t="s">
        <v>61</v>
      </c>
      <c r="B64" s="15">
        <v>475.71451999999999</v>
      </c>
      <c r="C64" s="15">
        <v>-2647.7415599999999</v>
      </c>
      <c r="D64" s="15" t="s">
        <v>20</v>
      </c>
    </row>
    <row r="65" spans="1:4" x14ac:dyDescent="0.25">
      <c r="A65" s="27" t="s">
        <v>63</v>
      </c>
      <c r="B65" s="15">
        <v>-1999.7013999999999</v>
      </c>
      <c r="C65" s="15">
        <v>-2411.89219</v>
      </c>
      <c r="D65" s="15">
        <f>IF(OR(-1999.7014="",-2411.89219="",-1999.7014=0),"-",-2411.89219/-1999.7014*100)</f>
        <v>120.61261696371268</v>
      </c>
    </row>
    <row r="66" spans="1:4" x14ac:dyDescent="0.25">
      <c r="A66" s="27" t="s">
        <v>59</v>
      </c>
      <c r="B66" s="15">
        <v>-2641.4189799999999</v>
      </c>
      <c r="C66" s="15">
        <v>-2293.1839599999998</v>
      </c>
      <c r="D66" s="15">
        <f>IF(OR(-2641.41898="",-2293.18396="",-2641.41898=0),"-",-2293.18396/-2641.41898*100)</f>
        <v>86.816365649042154</v>
      </c>
    </row>
    <row r="67" spans="1:4" x14ac:dyDescent="0.25">
      <c r="A67" s="27" t="s">
        <v>78</v>
      </c>
      <c r="B67" s="15">
        <v>239.35905</v>
      </c>
      <c r="C67" s="15">
        <v>-1681.69688</v>
      </c>
      <c r="D67" s="15" t="s">
        <v>20</v>
      </c>
    </row>
    <row r="68" spans="1:4" x14ac:dyDescent="0.25">
      <c r="A68" s="27" t="s">
        <v>87</v>
      </c>
      <c r="B68" s="24">
        <v>512.32226000000003</v>
      </c>
      <c r="C68" s="15">
        <v>-1627.37167</v>
      </c>
      <c r="D68" s="15" t="s">
        <v>20</v>
      </c>
    </row>
    <row r="69" spans="1:4" x14ac:dyDescent="0.25">
      <c r="A69" s="27" t="s">
        <v>37</v>
      </c>
      <c r="B69" s="15">
        <v>-685.67256999999995</v>
      </c>
      <c r="C69" s="15">
        <v>-1440.9162100000001</v>
      </c>
      <c r="D69" s="15" t="s">
        <v>91</v>
      </c>
    </row>
    <row r="70" spans="1:4" x14ac:dyDescent="0.25">
      <c r="A70" s="27" t="s">
        <v>77</v>
      </c>
      <c r="B70" s="15">
        <v>-1192.66875</v>
      </c>
      <c r="C70" s="15">
        <v>-1435.2474400000001</v>
      </c>
      <c r="D70" s="15">
        <f>IF(OR(-1192.66875="",-1435.24744="",-1192.66875=0),"-",-1435.24744/-1192.66875*100)</f>
        <v>120.33915032987994</v>
      </c>
    </row>
    <row r="71" spans="1:4" x14ac:dyDescent="0.25">
      <c r="A71" s="27" t="s">
        <v>70</v>
      </c>
      <c r="B71" s="15">
        <v>-2280.43921</v>
      </c>
      <c r="C71" s="15">
        <v>-1236.9837</v>
      </c>
      <c r="D71" s="15">
        <f>IF(OR(-2280.43921="",-1236.9837="",-2280.43921=0),"-",-1236.9837/-2280.43921*100)</f>
        <v>54.243221857249161</v>
      </c>
    </row>
    <row r="72" spans="1:4" x14ac:dyDescent="0.25">
      <c r="A72" s="27" t="s">
        <v>85</v>
      </c>
      <c r="B72" s="15">
        <v>-1070.6466499999999</v>
      </c>
      <c r="C72" s="15">
        <v>-1185.5120099999999</v>
      </c>
      <c r="D72" s="15">
        <f>IF(OR(-1070.64665="",-1185.51201="",-1070.64665=0),"-",-1185.51201/-1070.64665*100)</f>
        <v>110.7285965916019</v>
      </c>
    </row>
    <row r="73" spans="1:4" x14ac:dyDescent="0.25">
      <c r="A73" s="27" t="s">
        <v>65</v>
      </c>
      <c r="B73" s="15">
        <v>243.45349999999999</v>
      </c>
      <c r="C73" s="15">
        <v>-853.15489000000002</v>
      </c>
      <c r="D73" s="15" t="s">
        <v>20</v>
      </c>
    </row>
    <row r="74" spans="1:4" x14ac:dyDescent="0.25">
      <c r="A74" s="27" t="s">
        <v>86</v>
      </c>
      <c r="B74" s="15">
        <v>-772.18647999999996</v>
      </c>
      <c r="C74" s="15">
        <v>-811.74991999999997</v>
      </c>
      <c r="D74" s="15">
        <f>IF(OR(-772.18648="",-811.74992="",-772.18648=0),"-",-811.74992/-772.18648*100)</f>
        <v>105.12356030890362</v>
      </c>
    </row>
    <row r="75" spans="1:4" x14ac:dyDescent="0.25">
      <c r="A75" s="27" t="s">
        <v>93</v>
      </c>
      <c r="B75" s="15">
        <v>-446.10998999999998</v>
      </c>
      <c r="C75" s="15">
        <v>-796.85495000000003</v>
      </c>
      <c r="D75" s="15" t="s">
        <v>196</v>
      </c>
    </row>
    <row r="76" spans="1:4" x14ac:dyDescent="0.25">
      <c r="A76" s="27" t="s">
        <v>301</v>
      </c>
      <c r="B76" s="15">
        <v>-438.13371999999998</v>
      </c>
      <c r="C76" s="15">
        <v>-638.47627999999997</v>
      </c>
      <c r="D76" s="15">
        <f>IF(OR(-438.13372="",-638.47628="",-438.13372=0),"-",-638.47628/-438.13372*100)</f>
        <v>145.7263503936652</v>
      </c>
    </row>
    <row r="77" spans="1:4" x14ac:dyDescent="0.25">
      <c r="A77" s="27" t="s">
        <v>36</v>
      </c>
      <c r="B77" s="24">
        <v>124.47371</v>
      </c>
      <c r="C77" s="15">
        <v>-598.84708000000001</v>
      </c>
      <c r="D77" s="15" t="s">
        <v>20</v>
      </c>
    </row>
    <row r="78" spans="1:4" x14ac:dyDescent="0.25">
      <c r="A78" s="27" t="s">
        <v>136</v>
      </c>
      <c r="B78" s="15">
        <v>-384.32056999999998</v>
      </c>
      <c r="C78" s="15">
        <v>-524.65624000000003</v>
      </c>
      <c r="D78" s="15">
        <f>IF(OR(-384.32057="",-524.65624="",-384.32057=0),"-",-524.65624/-384.32057*100)</f>
        <v>136.51526380698283</v>
      </c>
    </row>
    <row r="79" spans="1:4" x14ac:dyDescent="0.25">
      <c r="A79" s="27" t="s">
        <v>98</v>
      </c>
      <c r="B79" s="15">
        <v>-377.64328999999998</v>
      </c>
      <c r="C79" s="15">
        <v>-518.37289999999996</v>
      </c>
      <c r="D79" s="15">
        <f>IF(OR(-377.64329="",-518.3729="",-377.64329=0),"-",-518.3729/-377.64329*100)</f>
        <v>137.26522189762724</v>
      </c>
    </row>
    <row r="80" spans="1:4" x14ac:dyDescent="0.25">
      <c r="A80" s="27" t="s">
        <v>62</v>
      </c>
      <c r="B80" s="15">
        <v>-271.66714000000002</v>
      </c>
      <c r="C80" s="15">
        <v>-507.23257000000001</v>
      </c>
      <c r="D80" s="15" t="s">
        <v>101</v>
      </c>
    </row>
    <row r="81" spans="1:4" x14ac:dyDescent="0.25">
      <c r="A81" s="27" t="s">
        <v>121</v>
      </c>
      <c r="B81" s="15">
        <v>225.43813</v>
      </c>
      <c r="C81" s="15">
        <v>-505.60383000000002</v>
      </c>
      <c r="D81" s="15" t="s">
        <v>20</v>
      </c>
    </row>
    <row r="82" spans="1:4" x14ac:dyDescent="0.25">
      <c r="A82" s="27" t="s">
        <v>84</v>
      </c>
      <c r="B82" s="15">
        <v>-700.77512999999999</v>
      </c>
      <c r="C82" s="15">
        <v>-452.51562000000001</v>
      </c>
      <c r="D82" s="15">
        <f>IF(OR(-700.77513="",-452.51562="",-700.77513=0),"-",-452.51562/-700.77513*100)</f>
        <v>64.573584396466813</v>
      </c>
    </row>
    <row r="83" spans="1:4" x14ac:dyDescent="0.25">
      <c r="A83" s="27" t="s">
        <v>88</v>
      </c>
      <c r="B83" s="15">
        <v>-409.59929</v>
      </c>
      <c r="C83" s="15">
        <v>-363.83188999999999</v>
      </c>
      <c r="D83" s="15">
        <f>IF(OR(-409.59929="",-363.83189="",-409.59929=0),"-",-363.83189/-409.59929*100)</f>
        <v>88.826298990899119</v>
      </c>
    </row>
    <row r="84" spans="1:4" x14ac:dyDescent="0.25">
      <c r="A84" s="27" t="s">
        <v>202</v>
      </c>
      <c r="B84" s="15">
        <v>-214.26080999999999</v>
      </c>
      <c r="C84" s="15">
        <v>-284.09149000000002</v>
      </c>
      <c r="D84" s="15">
        <f>IF(OR(-214.26081="",-284.09149="",-214.26081=0),"-",-284.09149/-214.26081*100)</f>
        <v>132.5914384436426</v>
      </c>
    </row>
    <row r="85" spans="1:4" x14ac:dyDescent="0.25">
      <c r="A85" s="27" t="s">
        <v>295</v>
      </c>
      <c r="B85" s="15">
        <v>-220.94304</v>
      </c>
      <c r="C85" s="15">
        <v>-279.05482000000001</v>
      </c>
      <c r="D85" s="15">
        <f>IF(OR(-220.94304="",-279.05482="",-220.94304=0),"-",-279.05482/-220.94304*100)</f>
        <v>126.3017020133334</v>
      </c>
    </row>
    <row r="86" spans="1:4" x14ac:dyDescent="0.25">
      <c r="A86" s="27" t="s">
        <v>94</v>
      </c>
      <c r="B86" s="15">
        <v>-108.01625</v>
      </c>
      <c r="C86" s="15">
        <v>-267.83546999999999</v>
      </c>
      <c r="D86" s="15" t="s">
        <v>310</v>
      </c>
    </row>
    <row r="87" spans="1:4" x14ac:dyDescent="0.25">
      <c r="A87" s="27" t="s">
        <v>82</v>
      </c>
      <c r="B87" s="15">
        <v>-1152.0557200000001</v>
      </c>
      <c r="C87" s="15">
        <v>-258.58397000000002</v>
      </c>
      <c r="D87" s="15">
        <f>IF(OR(-1152.05572="",-258.58397="",-1152.05572=0),"-",-258.58397/-1152.05572*100)</f>
        <v>22.445439531344892</v>
      </c>
    </row>
    <row r="88" spans="1:4" x14ac:dyDescent="0.25">
      <c r="A88" s="27" t="s">
        <v>297</v>
      </c>
      <c r="B88" s="15">
        <v>-462.93209000000002</v>
      </c>
      <c r="C88" s="15">
        <v>-256.62418000000002</v>
      </c>
      <c r="D88" s="15">
        <f>IF(OR(-462.93209="",-256.62418="",-462.93209=0),"-",-256.62418/-462.93209*100)</f>
        <v>55.434519564197849</v>
      </c>
    </row>
    <row r="89" spans="1:4" x14ac:dyDescent="0.25">
      <c r="A89" s="27" t="s">
        <v>90</v>
      </c>
      <c r="B89" s="15">
        <v>-434.99358000000001</v>
      </c>
      <c r="C89" s="15">
        <v>-253.12029999999999</v>
      </c>
      <c r="D89" s="15">
        <f>IF(OR(-434.99358="",-253.1203="",-434.99358=0),"-",-253.1203/-434.99358*100)</f>
        <v>58.189433508420976</v>
      </c>
    </row>
    <row r="90" spans="1:4" x14ac:dyDescent="0.25">
      <c r="A90" s="27" t="s">
        <v>117</v>
      </c>
      <c r="B90" s="15">
        <v>-121.71702999999999</v>
      </c>
      <c r="C90" s="15">
        <v>-228.26264</v>
      </c>
      <c r="D90" s="15" t="s">
        <v>101</v>
      </c>
    </row>
    <row r="91" spans="1:4" x14ac:dyDescent="0.25">
      <c r="A91" s="27" t="s">
        <v>315</v>
      </c>
      <c r="B91" s="15">
        <v>-20.982790000000001</v>
      </c>
      <c r="C91" s="15">
        <v>-203.89457999999999</v>
      </c>
      <c r="D91" s="15" t="s">
        <v>392</v>
      </c>
    </row>
    <row r="92" spans="1:4" x14ac:dyDescent="0.25">
      <c r="A92" s="27" t="s">
        <v>125</v>
      </c>
      <c r="B92" s="15">
        <v>-29.00648</v>
      </c>
      <c r="C92" s="15">
        <v>-168.97962999999999</v>
      </c>
      <c r="D92" s="15" t="s">
        <v>337</v>
      </c>
    </row>
    <row r="93" spans="1:4" x14ac:dyDescent="0.25">
      <c r="A93" s="27" t="s">
        <v>115</v>
      </c>
      <c r="B93" s="15">
        <v>1739.59502</v>
      </c>
      <c r="C93" s="15">
        <v>-166.51013</v>
      </c>
      <c r="D93" s="15" t="s">
        <v>20</v>
      </c>
    </row>
    <row r="94" spans="1:4" x14ac:dyDescent="0.25">
      <c r="A94" s="27" t="s">
        <v>366</v>
      </c>
      <c r="B94" s="15">
        <v>-217.15460999999999</v>
      </c>
      <c r="C94" s="15">
        <v>-163.16614999999999</v>
      </c>
      <c r="D94" s="15">
        <f>IF(OR(-217.15461="",-163.16615="",-217.15461=0),"-",-163.16615/-217.15461*100)</f>
        <v>75.138239063863296</v>
      </c>
    </row>
    <row r="95" spans="1:4" x14ac:dyDescent="0.25">
      <c r="A95" s="27" t="s">
        <v>124</v>
      </c>
      <c r="B95" s="24">
        <v>-184.33590000000001</v>
      </c>
      <c r="C95" s="15">
        <v>-149.98193000000001</v>
      </c>
      <c r="D95" s="15">
        <f>IF(OR(-184.3359="",-149.98193="",-184.3359=0),"-",-149.98193/-184.3359*100)</f>
        <v>81.363386079434335</v>
      </c>
    </row>
    <row r="96" spans="1:4" x14ac:dyDescent="0.25">
      <c r="A96" s="27" t="s">
        <v>74</v>
      </c>
      <c r="B96" s="15">
        <v>333.3655</v>
      </c>
      <c r="C96" s="15">
        <v>-148.54929999999999</v>
      </c>
      <c r="D96" s="15" t="s">
        <v>20</v>
      </c>
    </row>
    <row r="97" spans="1:4" x14ac:dyDescent="0.25">
      <c r="A97" s="27" t="s">
        <v>89</v>
      </c>
      <c r="B97" s="15">
        <v>-118.57214</v>
      </c>
      <c r="C97" s="15">
        <v>-143.24332999999999</v>
      </c>
      <c r="D97" s="15">
        <f>IF(OR(-118.57214="",-143.24333="",-118.57214=0),"-",-143.24333/-118.57214*100)</f>
        <v>120.80690286942615</v>
      </c>
    </row>
    <row r="98" spans="1:4" x14ac:dyDescent="0.25">
      <c r="A98" s="27" t="s">
        <v>97</v>
      </c>
      <c r="B98" s="15">
        <v>-72.578500000000005</v>
      </c>
      <c r="C98" s="15">
        <v>-125.6514</v>
      </c>
      <c r="D98" s="15" t="s">
        <v>99</v>
      </c>
    </row>
    <row r="99" spans="1:4" x14ac:dyDescent="0.25">
      <c r="A99" s="27" t="s">
        <v>286</v>
      </c>
      <c r="B99" s="15">
        <v>-76.003200000000007</v>
      </c>
      <c r="C99" s="15">
        <v>-118.98926</v>
      </c>
      <c r="D99" s="15">
        <f>IF(OR(-76.0032="",-118.98926="",-76.0032=0),"-",-118.98926/-76.0032*100)</f>
        <v>156.55822386425834</v>
      </c>
    </row>
    <row r="100" spans="1:4" x14ac:dyDescent="0.25">
      <c r="A100" s="27" t="s">
        <v>367</v>
      </c>
      <c r="B100" s="15">
        <v>-1.1846000000000001</v>
      </c>
      <c r="C100" s="15">
        <v>-74.931439999999995</v>
      </c>
      <c r="D100" s="15" t="s">
        <v>387</v>
      </c>
    </row>
    <row r="101" spans="1:4" x14ac:dyDescent="0.25">
      <c r="A101" s="27" t="s">
        <v>83</v>
      </c>
      <c r="B101" s="15">
        <v>-292.10584</v>
      </c>
      <c r="C101" s="15">
        <v>-69.22578</v>
      </c>
      <c r="D101" s="15">
        <f>IF(OR(-292.10584="",-69.22578="",-292.10584=0),"-",-69.22578/-292.10584*100)</f>
        <v>23.698868875747227</v>
      </c>
    </row>
    <row r="102" spans="1:4" x14ac:dyDescent="0.25">
      <c r="A102" s="27" t="s">
        <v>360</v>
      </c>
      <c r="B102" s="15">
        <v>-0.37434000000000001</v>
      </c>
      <c r="C102" s="15">
        <v>-63.692079999999997</v>
      </c>
      <c r="D102" s="15" t="s">
        <v>393</v>
      </c>
    </row>
    <row r="103" spans="1:4" x14ac:dyDescent="0.25">
      <c r="A103" s="27" t="s">
        <v>368</v>
      </c>
      <c r="B103" s="15">
        <v>-0.73794999999999999</v>
      </c>
      <c r="C103" s="15">
        <v>-51.129980000000003</v>
      </c>
      <c r="D103" s="15" t="s">
        <v>388</v>
      </c>
    </row>
    <row r="104" spans="1:4" x14ac:dyDescent="0.25">
      <c r="A104" s="27" t="s">
        <v>369</v>
      </c>
      <c r="B104" s="15">
        <v>-50.16433</v>
      </c>
      <c r="C104" s="15">
        <v>-50.438299999999998</v>
      </c>
      <c r="D104" s="15">
        <f>IF(OR(-50.16433="",-50.4383="",-50.16433=0),"-",-50.4383/-50.16433*100)</f>
        <v>100.54614503971248</v>
      </c>
    </row>
    <row r="105" spans="1:4" x14ac:dyDescent="0.25">
      <c r="A105" s="27" t="s">
        <v>370</v>
      </c>
      <c r="B105" s="15">
        <v>48.742350000000002</v>
      </c>
      <c r="C105" s="15">
        <v>47.35</v>
      </c>
      <c r="D105" s="15">
        <f>IF(OR(48.74235="",47.35="",48.74235=0),"-",47.35/48.74235*100)</f>
        <v>97.143449177152931</v>
      </c>
    </row>
    <row r="106" spans="1:4" x14ac:dyDescent="0.25">
      <c r="A106" s="27" t="s">
        <v>316</v>
      </c>
      <c r="B106" s="15">
        <v>21.96651</v>
      </c>
      <c r="C106" s="15">
        <v>56.908470000000001</v>
      </c>
      <c r="D106" s="15" t="s">
        <v>308</v>
      </c>
    </row>
    <row r="107" spans="1:4" x14ac:dyDescent="0.25">
      <c r="A107" s="27" t="s">
        <v>130</v>
      </c>
      <c r="B107" s="15">
        <v>51.91357</v>
      </c>
      <c r="C107" s="15">
        <v>62.479010000000002</v>
      </c>
      <c r="D107" s="15">
        <f>IF(OR(51.91357="",62.47901="",51.91357=0),"-",62.47901/51.91357*100)</f>
        <v>120.35198118719248</v>
      </c>
    </row>
    <row r="108" spans="1:4" x14ac:dyDescent="0.25">
      <c r="A108" s="27" t="s">
        <v>361</v>
      </c>
      <c r="B108" s="15">
        <v>73.530140000000003</v>
      </c>
      <c r="C108" s="15">
        <v>66.359020000000001</v>
      </c>
      <c r="D108" s="15">
        <f>IF(OR(73.53014="",66.35902="",73.53014=0),"-",66.35902/73.53014*100)</f>
        <v>90.247373390013934</v>
      </c>
    </row>
    <row r="109" spans="1:4" x14ac:dyDescent="0.25">
      <c r="A109" s="27" t="s">
        <v>302</v>
      </c>
      <c r="B109" s="15">
        <v>59.46499</v>
      </c>
      <c r="C109" s="15">
        <v>71.528599999999997</v>
      </c>
      <c r="D109" s="15">
        <f>IF(OR(59.46499="",71.5286="",59.46499=0),"-",71.5286/59.46499*100)</f>
        <v>120.28691167693796</v>
      </c>
    </row>
    <row r="110" spans="1:4" x14ac:dyDescent="0.25">
      <c r="A110" s="27" t="s">
        <v>201</v>
      </c>
      <c r="B110" s="15">
        <v>113.81531</v>
      </c>
      <c r="C110" s="15">
        <v>88.845269999999999</v>
      </c>
      <c r="D110" s="15">
        <f>IF(OR(113.81531="",88.84527="",113.81531=0),"-",88.84527/113.81531*100)</f>
        <v>78.060912894759056</v>
      </c>
    </row>
    <row r="111" spans="1:4" x14ac:dyDescent="0.25">
      <c r="A111" s="27" t="s">
        <v>118</v>
      </c>
      <c r="B111" s="15">
        <v>97.515749999999997</v>
      </c>
      <c r="C111" s="15">
        <v>135.14071999999999</v>
      </c>
      <c r="D111" s="15">
        <f>IF(OR(97.51575="",135.14072="",97.51575=0),"-",135.14072/97.51575*100)</f>
        <v>138.58348010449592</v>
      </c>
    </row>
    <row r="112" spans="1:4" x14ac:dyDescent="0.25">
      <c r="A112" s="27" t="s">
        <v>103</v>
      </c>
      <c r="B112" s="15">
        <v>73.637460000000004</v>
      </c>
      <c r="C112" s="15">
        <v>148.05454</v>
      </c>
      <c r="D112" s="15" t="s">
        <v>18</v>
      </c>
    </row>
    <row r="113" spans="1:4" x14ac:dyDescent="0.25">
      <c r="A113" s="27" t="s">
        <v>324</v>
      </c>
      <c r="B113" s="15" t="s">
        <v>322</v>
      </c>
      <c r="C113" s="15">
        <v>175.10164</v>
      </c>
      <c r="D113" s="15" t="str">
        <f>IF(OR(0="",175.10164="",0=0),"-",175.10164/0*100)</f>
        <v>-</v>
      </c>
    </row>
    <row r="114" spans="1:4" x14ac:dyDescent="0.25">
      <c r="A114" s="27" t="s">
        <v>56</v>
      </c>
      <c r="B114" s="15">
        <v>2861.40958</v>
      </c>
      <c r="C114" s="15">
        <v>195.06312</v>
      </c>
      <c r="D114" s="15">
        <f>IF(OR(2861.40958="",195.06312="",2861.40958=0),"-",195.06312/2861.40958*100)</f>
        <v>6.817028969337553</v>
      </c>
    </row>
    <row r="115" spans="1:4" x14ac:dyDescent="0.25">
      <c r="A115" s="27" t="s">
        <v>92</v>
      </c>
      <c r="B115" s="15">
        <v>542.79813000000001</v>
      </c>
      <c r="C115" s="15">
        <v>207.12123</v>
      </c>
      <c r="D115" s="15">
        <f>IF(OR(542.79813="",207.12123="",542.79813=0),"-",207.12123/542.79813*100)</f>
        <v>38.158058871720876</v>
      </c>
    </row>
    <row r="116" spans="1:4" x14ac:dyDescent="0.25">
      <c r="A116" s="27" t="s">
        <v>122</v>
      </c>
      <c r="B116" s="15">
        <v>45.896540000000002</v>
      </c>
      <c r="C116" s="15">
        <v>212.76036999999999</v>
      </c>
      <c r="D116" s="15" t="s">
        <v>394</v>
      </c>
    </row>
    <row r="117" spans="1:4" x14ac:dyDescent="0.25">
      <c r="A117" s="27" t="s">
        <v>359</v>
      </c>
      <c r="B117" s="15">
        <v>176.90536</v>
      </c>
      <c r="C117" s="15">
        <v>215.64302000000001</v>
      </c>
      <c r="D117" s="15">
        <f>IF(OR(176.90536="",215.64302="",176.90536=0),"-",215.64302/176.90536*100)</f>
        <v>121.89739191622007</v>
      </c>
    </row>
    <row r="118" spans="1:4" x14ac:dyDescent="0.25">
      <c r="A118" s="27" t="s">
        <v>321</v>
      </c>
      <c r="B118" s="24">
        <v>-1.5010000000000001E-2</v>
      </c>
      <c r="C118" s="15">
        <v>257.17333000000002</v>
      </c>
      <c r="D118" s="15" t="s">
        <v>20</v>
      </c>
    </row>
    <row r="119" spans="1:4" x14ac:dyDescent="0.25">
      <c r="A119" s="27" t="s">
        <v>332</v>
      </c>
      <c r="B119" s="15">
        <v>-7.0872000000000002</v>
      </c>
      <c r="C119" s="15">
        <v>259.03831000000002</v>
      </c>
      <c r="D119" s="15" t="s">
        <v>20</v>
      </c>
    </row>
    <row r="120" spans="1:4" x14ac:dyDescent="0.25">
      <c r="A120" s="27" t="s">
        <v>135</v>
      </c>
      <c r="B120" s="15">
        <v>126.4494</v>
      </c>
      <c r="C120" s="15">
        <v>327.62565000000001</v>
      </c>
      <c r="D120" s="15" t="s">
        <v>308</v>
      </c>
    </row>
    <row r="121" spans="1:4" x14ac:dyDescent="0.25">
      <c r="A121" s="27" t="s">
        <v>137</v>
      </c>
      <c r="B121" s="15">
        <v>151.58294000000001</v>
      </c>
      <c r="C121" s="15">
        <v>372.24527999999998</v>
      </c>
      <c r="D121" s="15" t="s">
        <v>310</v>
      </c>
    </row>
    <row r="122" spans="1:4" x14ac:dyDescent="0.25">
      <c r="A122" s="27" t="s">
        <v>55</v>
      </c>
      <c r="B122" s="15">
        <v>2684.4530100000002</v>
      </c>
      <c r="C122" s="15">
        <v>1197.66994</v>
      </c>
      <c r="D122" s="15">
        <f>IF(OR(2684.45301="",1197.66994="",2684.45301=0),"-",1197.66994/2684.45301*100)</f>
        <v>44.615045804061211</v>
      </c>
    </row>
    <row r="123" spans="1:4" x14ac:dyDescent="0.25">
      <c r="A123" s="27" t="s">
        <v>35</v>
      </c>
      <c r="B123" s="15">
        <v>1667.17785</v>
      </c>
      <c r="C123" s="15">
        <v>2119.8441800000001</v>
      </c>
      <c r="D123" s="15">
        <f>IF(OR(1667.17785="",2119.84418="",1667.17785=0),"-",2119.84418/1667.17785*100)</f>
        <v>127.15165211677926</v>
      </c>
    </row>
    <row r="124" spans="1:4" x14ac:dyDescent="0.25">
      <c r="A124" s="27" t="s">
        <v>66</v>
      </c>
      <c r="B124" s="15">
        <v>2327.3584900000001</v>
      </c>
      <c r="C124" s="15">
        <v>2652.58853</v>
      </c>
      <c r="D124" s="15">
        <f>IF(OR(2327.35849="",2652.58853="",2327.35849=0),"-",2652.58853/2327.35849*100)</f>
        <v>113.9742133151133</v>
      </c>
    </row>
    <row r="125" spans="1:4" x14ac:dyDescent="0.25">
      <c r="A125" s="27" t="s">
        <v>331</v>
      </c>
      <c r="B125" s="24">
        <v>-16.028929999999999</v>
      </c>
      <c r="C125" s="15">
        <v>2989.5291200000001</v>
      </c>
      <c r="D125" s="15" t="s">
        <v>20</v>
      </c>
    </row>
    <row r="126" spans="1:4" x14ac:dyDescent="0.25">
      <c r="A126" s="27" t="s">
        <v>293</v>
      </c>
      <c r="B126" s="15">
        <v>26713.006290000001</v>
      </c>
      <c r="C126" s="15">
        <v>3369.4447100000002</v>
      </c>
      <c r="D126" s="15">
        <f>IF(OR(26713.00629="",3369.44471="",26713.00629=0),"-",3369.44471/26713.00629*100)</f>
        <v>12.613498733241979</v>
      </c>
    </row>
    <row r="127" spans="1:4" x14ac:dyDescent="0.25">
      <c r="A127" s="27" t="s">
        <v>72</v>
      </c>
      <c r="B127" s="15">
        <v>-1067.7252900000001</v>
      </c>
      <c r="C127" s="15">
        <v>5615.3589099999999</v>
      </c>
      <c r="D127" s="15" t="s">
        <v>20</v>
      </c>
    </row>
    <row r="128" spans="1:4" x14ac:dyDescent="0.25">
      <c r="A128" s="28" t="s">
        <v>58</v>
      </c>
      <c r="B128" s="19">
        <v>8589.2531799999997</v>
      </c>
      <c r="C128" s="19">
        <v>9692.2516300000007</v>
      </c>
      <c r="D128" s="19">
        <f>IF(OR(8589.25317999999="",9692.25163="",8589.25317999999=0),"-",9692.25163/8589.25317999999*100)</f>
        <v>112.84161063697987</v>
      </c>
    </row>
    <row r="129" spans="1:5" x14ac:dyDescent="0.25">
      <c r="A129" s="20" t="s">
        <v>278</v>
      </c>
      <c r="B129" s="21"/>
      <c r="C129" s="21"/>
      <c r="D129" s="21"/>
      <c r="E129" s="21"/>
    </row>
  </sheetData>
  <sortState xmlns:xlrd2="http://schemas.microsoft.com/office/spreadsheetml/2017/richdata2" ref="A47:E104">
    <sortCondition ref="C47:C104"/>
  </sortState>
  <mergeCells count="2">
    <mergeCell ref="A1:D1"/>
    <mergeCell ref="A2:D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40"/>
  <sheetViews>
    <sheetView workbookViewId="0">
      <selection sqref="A1:E1"/>
    </sheetView>
  </sheetViews>
  <sheetFormatPr defaultRowHeight="15.75" x14ac:dyDescent="0.25"/>
  <cols>
    <col min="1" max="1" width="30" customWidth="1"/>
    <col min="2" max="2" width="14.25" customWidth="1"/>
    <col min="3" max="3" width="14.75" customWidth="1"/>
    <col min="4" max="5" width="11.625" customWidth="1"/>
  </cols>
  <sheetData>
    <row r="1" spans="1:5" x14ac:dyDescent="0.25">
      <c r="A1" s="75" t="s">
        <v>284</v>
      </c>
      <c r="B1" s="75"/>
      <c r="C1" s="75"/>
      <c r="D1" s="75"/>
      <c r="E1" s="75"/>
    </row>
    <row r="2" spans="1:5" x14ac:dyDescent="0.25">
      <c r="A2" s="88"/>
      <c r="B2" s="88"/>
      <c r="C2" s="88"/>
      <c r="D2" s="88"/>
      <c r="E2" s="88"/>
    </row>
    <row r="3" spans="1:5" ht="18.75" customHeight="1" x14ac:dyDescent="0.25">
      <c r="A3" s="76"/>
      <c r="B3" s="78" t="s">
        <v>354</v>
      </c>
      <c r="C3" s="79"/>
      <c r="D3" s="80" t="s">
        <v>104</v>
      </c>
      <c r="E3" s="87"/>
    </row>
    <row r="4" spans="1:5" ht="36.75" customHeight="1" x14ac:dyDescent="0.25">
      <c r="A4" s="77"/>
      <c r="B4" s="44" t="s">
        <v>114</v>
      </c>
      <c r="C4" s="43" t="s">
        <v>356</v>
      </c>
      <c r="D4" s="44" t="s">
        <v>345</v>
      </c>
      <c r="E4" s="42" t="s">
        <v>346</v>
      </c>
    </row>
    <row r="5" spans="1:5" ht="15.75" customHeight="1" x14ac:dyDescent="0.25">
      <c r="A5" s="49" t="s">
        <v>126</v>
      </c>
      <c r="B5" s="55">
        <v>1075156.27333</v>
      </c>
      <c r="C5" s="54">
        <v>101.17686683430252</v>
      </c>
      <c r="D5" s="55">
        <v>100</v>
      </c>
      <c r="E5" s="55">
        <v>100</v>
      </c>
    </row>
    <row r="6" spans="1:5" ht="15.75" customHeight="1" x14ac:dyDescent="0.25">
      <c r="A6" s="33" t="s">
        <v>330</v>
      </c>
      <c r="B6" s="65"/>
      <c r="C6" s="16"/>
      <c r="D6" s="17"/>
      <c r="E6" s="17"/>
    </row>
    <row r="7" spans="1:5" x14ac:dyDescent="0.25">
      <c r="A7" s="18" t="s">
        <v>105</v>
      </c>
      <c r="B7" s="15">
        <v>149674.45118</v>
      </c>
      <c r="C7" s="15">
        <v>91.584783783781134</v>
      </c>
      <c r="D7" s="15">
        <f>IF(163427.20373="","-",163427.20373/1062650.29445*100)</f>
        <v>15.379208436072156</v>
      </c>
      <c r="E7" s="15">
        <f>IF(149674.45118="","-",149674.45118/1075156.27333*100)</f>
        <v>13.921181031332747</v>
      </c>
    </row>
    <row r="8" spans="1:5" x14ac:dyDescent="0.25">
      <c r="A8" s="18" t="s">
        <v>106</v>
      </c>
      <c r="B8" s="15">
        <v>36694.13308</v>
      </c>
      <c r="C8" s="15">
        <v>40.205441575575804</v>
      </c>
      <c r="D8" s="15">
        <f>IF(91266.58393="","-",91266.58393/1062650.29445*100)</f>
        <v>8.5885812488516926</v>
      </c>
      <c r="E8" s="15">
        <f>IF(36694.13308="","-",36694.13308/1075156.27333*100)</f>
        <v>3.4129115915726413</v>
      </c>
    </row>
    <row r="9" spans="1:5" x14ac:dyDescent="0.25">
      <c r="A9" s="18" t="s">
        <v>107</v>
      </c>
      <c r="B9" s="15">
        <v>868914.73175000004</v>
      </c>
      <c r="C9" s="15">
        <v>108.62796062870565</v>
      </c>
      <c r="D9" s="15">
        <f>IF(799899.70052="","-",799899.70052/1062650.29445*100)</f>
        <v>75.274029913482238</v>
      </c>
      <c r="E9" s="15">
        <f>IF(868914.73175="","-",868914.73175/1075156.27333*100)</f>
        <v>80.817528884315237</v>
      </c>
    </row>
    <row r="10" spans="1:5" x14ac:dyDescent="0.25">
      <c r="A10" s="18" t="s">
        <v>108</v>
      </c>
      <c r="B10" s="15">
        <v>12932.43562</v>
      </c>
      <c r="C10" s="15" t="s">
        <v>100</v>
      </c>
      <c r="D10" s="15">
        <f>IF(7840.19072="","-",7840.19072/1062650.29445*100)</f>
        <v>0.73779593916716302</v>
      </c>
      <c r="E10" s="15">
        <f>IF(12932.43562="","-",12932.43562/1075156.27333*100)</f>
        <v>1.202842409126754</v>
      </c>
    </row>
    <row r="11" spans="1:5" x14ac:dyDescent="0.25">
      <c r="A11" s="18" t="s">
        <v>317</v>
      </c>
      <c r="B11" s="15">
        <v>194.97906</v>
      </c>
      <c r="C11" s="15">
        <v>101.01011116190941</v>
      </c>
      <c r="D11" s="15">
        <f>IF(193.02925="","-",193.02925/1062650.29445*100)</f>
        <v>1.8164889334539441E-2</v>
      </c>
      <c r="E11" s="15">
        <f>IF(194.97906="","-",194.97906/1075156.27333*100)</f>
        <v>1.8134950689178062E-2</v>
      </c>
    </row>
    <row r="12" spans="1:5" x14ac:dyDescent="0.25">
      <c r="A12" s="18" t="s">
        <v>318</v>
      </c>
      <c r="B12" s="15">
        <v>6233.8499700000002</v>
      </c>
      <c r="C12" s="15" t="s">
        <v>395</v>
      </c>
      <c r="D12" s="15">
        <f>IF(1.62645="","-",1.62645/1062650.29445*100)</f>
        <v>1.5305599673708347E-4</v>
      </c>
      <c r="E12" s="15">
        <f>IF(6233.84997="","-",6233.84997/1075156.27333*100)</f>
        <v>0.57980873335672112</v>
      </c>
    </row>
    <row r="13" spans="1:5" x14ac:dyDescent="0.25">
      <c r="A13" s="18" t="s">
        <v>111</v>
      </c>
      <c r="B13" s="15">
        <v>511.69267000000002</v>
      </c>
      <c r="C13" s="15" t="s">
        <v>396</v>
      </c>
      <c r="D13" s="15">
        <f>IF(21.95985="","-",21.95985/1062650.29445*100)</f>
        <v>2.0665170954820887E-3</v>
      </c>
      <c r="E13" s="15">
        <f>IF(511.69267="","-",511.69267/1075156.27333*100)</f>
        <v>4.7592399606726295E-2</v>
      </c>
    </row>
    <row r="14" spans="1:5" x14ac:dyDescent="0.25">
      <c r="A14" s="26" t="s">
        <v>198</v>
      </c>
      <c r="B14" s="17">
        <v>670463.00003999996</v>
      </c>
      <c r="C14" s="17">
        <v>93.910746643038493</v>
      </c>
      <c r="D14" s="17">
        <f>IF(713936.396="","-",713936.396/1062650.29445*100)</f>
        <v>67.184510250337325</v>
      </c>
      <c r="E14" s="17">
        <f>IF(670463.00004="","-",670463.00004/1075156.27333*100)</f>
        <v>62.359585919861281</v>
      </c>
    </row>
    <row r="15" spans="1:5" x14ac:dyDescent="0.25">
      <c r="A15" s="18" t="s">
        <v>119</v>
      </c>
      <c r="B15" s="17"/>
      <c r="C15" s="17"/>
      <c r="D15" s="17"/>
      <c r="E15" s="17"/>
    </row>
    <row r="16" spans="1:5" x14ac:dyDescent="0.25">
      <c r="A16" s="18" t="s">
        <v>105</v>
      </c>
      <c r="B16" s="15">
        <v>117449.65862</v>
      </c>
      <c r="C16" s="15">
        <v>83.117250731545482</v>
      </c>
      <c r="D16" s="15">
        <f>IF(141305.99555="","-",141305.99555/1062650.29445*100)</f>
        <v>13.297506836257575</v>
      </c>
      <c r="E16" s="15">
        <f>IF(117449.65862="","-",117449.65862/1075156.27333*100)</f>
        <v>10.923961616875664</v>
      </c>
    </row>
    <row r="17" spans="1:6" x14ac:dyDescent="0.25">
      <c r="A17" s="18" t="s">
        <v>106</v>
      </c>
      <c r="B17" s="15">
        <v>18291.872729999999</v>
      </c>
      <c r="C17" s="15">
        <v>146.70028985530772</v>
      </c>
      <c r="D17" s="15">
        <f>IF(12468.87293="","-",12468.87293/1062650.29445*100)</f>
        <v>1.1733750035286599</v>
      </c>
      <c r="E17" s="15">
        <f>IF(18291.87273="","-",18291.87273/1075156.27333*100)</f>
        <v>1.701322234147969</v>
      </c>
    </row>
    <row r="18" spans="1:6" x14ac:dyDescent="0.25">
      <c r="A18" s="18" t="s">
        <v>107</v>
      </c>
      <c r="B18" s="15">
        <v>531914.69253999996</v>
      </c>
      <c r="C18" s="15">
        <v>95.185219618400069</v>
      </c>
      <c r="D18" s="15">
        <f>IF(558820.68106="","-",558820.68106/1062650.29445*100)</f>
        <v>52.587448945208358</v>
      </c>
      <c r="E18" s="15">
        <f>IF(531914.69254="","-",531914.69254/1075156.27333*100)</f>
        <v>49.473244563094156</v>
      </c>
    </row>
    <row r="19" spans="1:6" x14ac:dyDescent="0.25">
      <c r="A19" s="18" t="s">
        <v>108</v>
      </c>
      <c r="B19" s="15">
        <v>1605.4238800000001</v>
      </c>
      <c r="C19" s="15">
        <v>131.57154546298452</v>
      </c>
      <c r="D19" s="15">
        <f>IF(1220.19079="","-",1220.19079/1062650.29445*100)</f>
        <v>0.11482524367355859</v>
      </c>
      <c r="E19" s="15">
        <f>IF(1605.42388="","-",1605.42388/1075156.27333*100)</f>
        <v>0.14932004954290434</v>
      </c>
    </row>
    <row r="20" spans="1:6" x14ac:dyDescent="0.25">
      <c r="A20" s="18" t="s">
        <v>109</v>
      </c>
      <c r="B20" s="15">
        <v>83.304140000000004</v>
      </c>
      <c r="C20" s="15">
        <v>84.404932245357514</v>
      </c>
      <c r="D20" s="15">
        <f>IF(98.69582="","-",98.69582/1062650.29445*100)</f>
        <v>9.2877045736934911E-3</v>
      </c>
      <c r="E20" s="15">
        <f>IF(83.30414="","-",83.30414/1075156.27333*100)</f>
        <v>7.7480959806883153E-3</v>
      </c>
    </row>
    <row r="21" spans="1:6" x14ac:dyDescent="0.25">
      <c r="A21" s="18" t="s">
        <v>318</v>
      </c>
      <c r="B21" s="15">
        <v>1071.7058</v>
      </c>
      <c r="C21" s="15" t="s">
        <v>322</v>
      </c>
      <c r="D21" s="24" t="s">
        <v>322</v>
      </c>
      <c r="E21" s="15">
        <f>IF(1071.7058="","-",1071.7058/1075156.27333*100)</f>
        <v>9.9679072390163978E-2</v>
      </c>
    </row>
    <row r="22" spans="1:6" x14ac:dyDescent="0.25">
      <c r="A22" s="18" t="s">
        <v>111</v>
      </c>
      <c r="B22" s="15">
        <v>46.342329999999997</v>
      </c>
      <c r="C22" s="15" t="s">
        <v>91</v>
      </c>
      <c r="D22" s="15">
        <f>IF(124.73463="","-",124.73463/3144504.53867*100)</f>
        <v>3.966749879545658E-3</v>
      </c>
      <c r="E22" s="15">
        <f>IF(46.34233="","-",46.34233/1075156.27333*100)</f>
        <v>4.3102878297372913E-3</v>
      </c>
    </row>
    <row r="23" spans="1:6" x14ac:dyDescent="0.25">
      <c r="A23" s="26" t="s">
        <v>199</v>
      </c>
      <c r="B23" s="17">
        <v>266255.02716</v>
      </c>
      <c r="C23" s="17" t="s">
        <v>308</v>
      </c>
      <c r="D23" s="17">
        <f>IF(102597.89581="","-",102597.89581/1062650.29445*100)</f>
        <v>9.6549068254953987</v>
      </c>
      <c r="E23" s="17">
        <f>IF(266255.02716="","-",266255.02716/1075156.27333*100)</f>
        <v>24.764309502222268</v>
      </c>
    </row>
    <row r="24" spans="1:6" x14ac:dyDescent="0.25">
      <c r="A24" s="18" t="s">
        <v>119</v>
      </c>
      <c r="B24" s="17"/>
      <c r="C24" s="17"/>
      <c r="D24" s="17"/>
      <c r="E24" s="17"/>
    </row>
    <row r="25" spans="1:6" x14ac:dyDescent="0.25">
      <c r="A25" s="18" t="s">
        <v>105</v>
      </c>
      <c r="B25" s="15">
        <v>5038.53766</v>
      </c>
      <c r="C25" s="15" t="s">
        <v>397</v>
      </c>
      <c r="D25" s="15">
        <f>IF(82.09698="","-",82.09698/1062650.29445*100)</f>
        <v>7.7256817627375015E-3</v>
      </c>
      <c r="E25" s="15">
        <f>IF(5038.53766="","-",5038.53766/1075156.27333*100)</f>
        <v>0.46863305223477136</v>
      </c>
    </row>
    <row r="26" spans="1:6" x14ac:dyDescent="0.25">
      <c r="A26" s="18" t="s">
        <v>106</v>
      </c>
      <c r="B26" s="15">
        <v>14686.386270000001</v>
      </c>
      <c r="C26" s="15" t="s">
        <v>313</v>
      </c>
      <c r="D26" s="15">
        <f>IF(6411.94121="","-",6411.94121/1062650.29445*100)</f>
        <v>0.60339146786936648</v>
      </c>
      <c r="E26" s="15">
        <f>IF(14686.38627="","-",14686.38627/1075156.27333*100)</f>
        <v>1.3659768941786454</v>
      </c>
    </row>
    <row r="27" spans="1:6" x14ac:dyDescent="0.25">
      <c r="A27" s="18" t="s">
        <v>107</v>
      </c>
      <c r="B27" s="15">
        <v>236767.22547999999</v>
      </c>
      <c r="C27" s="15" t="s">
        <v>310</v>
      </c>
      <c r="D27" s="15">
        <f>IF(94542.38368="","-",94542.38368/1062650.29445*100)</f>
        <v>8.8968482080864302</v>
      </c>
      <c r="E27" s="15">
        <f>IF(236767.22548="","-",236767.22548/1075156.27333*100)</f>
        <v>22.02165688404336</v>
      </c>
      <c r="F27" s="3"/>
    </row>
    <row r="28" spans="1:6" x14ac:dyDescent="0.25">
      <c r="A28" s="18" t="s">
        <v>108</v>
      </c>
      <c r="B28" s="15">
        <v>4421.8527400000003</v>
      </c>
      <c r="C28" s="15" t="s">
        <v>314</v>
      </c>
      <c r="D28" s="15">
        <f>IF(1517.25895="","-",1517.25895/1062650.29445*100)</f>
        <v>0.14278064551662253</v>
      </c>
      <c r="E28" s="15">
        <f>IF(4421.85274="","-",4421.85274/1075156.27333*100)</f>
        <v>0.41127535128493753</v>
      </c>
    </row>
    <row r="29" spans="1:6" x14ac:dyDescent="0.25">
      <c r="A29" s="18" t="s">
        <v>109</v>
      </c>
      <c r="B29" s="15">
        <v>1.58449</v>
      </c>
      <c r="C29" s="15">
        <v>3.7204609502932007</v>
      </c>
      <c r="D29" s="15">
        <f>IF(42.58854="","-",42.58854/1062650.29445*100)</f>
        <v>4.0077662635046576E-3</v>
      </c>
      <c r="E29" s="15">
        <f>IF(1.58449="","-",1.58449/1075156.27333*100)</f>
        <v>1.473729949128678E-4</v>
      </c>
    </row>
    <row r="30" spans="1:6" x14ac:dyDescent="0.25">
      <c r="A30" s="18" t="s">
        <v>110</v>
      </c>
      <c r="B30" s="15">
        <v>5162.1441699999996</v>
      </c>
      <c r="C30" s="15" t="s">
        <v>398</v>
      </c>
      <c r="D30" s="15">
        <f>IF(1.62645="","-",1.62645/1062650.29445*100)</f>
        <v>1.5305599673708347E-4</v>
      </c>
      <c r="E30" s="15">
        <f>IF(5162.14417="","-",5162.14417/1075156.27333*100)</f>
        <v>0.48012966096655718</v>
      </c>
    </row>
    <row r="31" spans="1:6" x14ac:dyDescent="0.25">
      <c r="A31" s="18" t="s">
        <v>111</v>
      </c>
      <c r="B31" s="15">
        <v>177.29634999999999</v>
      </c>
      <c r="C31" s="15" t="s">
        <v>322</v>
      </c>
      <c r="D31" s="15" t="s">
        <v>322</v>
      </c>
      <c r="E31" s="15">
        <f>IF(177.29635="","-",177.29635/1075156.27333*100)</f>
        <v>1.6490286519081868E-2</v>
      </c>
    </row>
    <row r="32" spans="1:6" x14ac:dyDescent="0.25">
      <c r="A32" s="26" t="s">
        <v>285</v>
      </c>
      <c r="B32" s="17">
        <v>138438.24613000001</v>
      </c>
      <c r="C32" s="17">
        <v>56.249185199264382</v>
      </c>
      <c r="D32" s="17">
        <f>IF(246116.00264="","-",246116.00264/1062650.29445*100)</f>
        <v>23.160582924167279</v>
      </c>
      <c r="E32" s="17">
        <f>IF(138438.24613="","-",138438.24613/1075156.27333*100)</f>
        <v>12.876104577916447</v>
      </c>
    </row>
    <row r="33" spans="1:5" x14ac:dyDescent="0.25">
      <c r="A33" s="18" t="s">
        <v>119</v>
      </c>
      <c r="B33" s="17"/>
      <c r="C33" s="17"/>
      <c r="D33" s="17"/>
      <c r="E33" s="17"/>
    </row>
    <row r="34" spans="1:5" x14ac:dyDescent="0.25">
      <c r="A34" s="18" t="s">
        <v>105</v>
      </c>
      <c r="B34" s="15">
        <v>27186.2549</v>
      </c>
      <c r="C34" s="15">
        <v>123.35458836470683</v>
      </c>
      <c r="D34" s="15">
        <f>IF(22039.1112="","-",22039.1112/1062650.29445*100)</f>
        <v>2.0739759180518429</v>
      </c>
      <c r="E34" s="15">
        <f>IF(27186.2549="","-",27186.2549/1075156.27333*100)</f>
        <v>2.5285863622223097</v>
      </c>
    </row>
    <row r="35" spans="1:5" x14ac:dyDescent="0.25">
      <c r="A35" s="18" t="s">
        <v>106</v>
      </c>
      <c r="B35" s="15">
        <v>3715.87408</v>
      </c>
      <c r="C35" s="15">
        <v>5.1334317377299525</v>
      </c>
      <c r="D35" s="15">
        <f>IF(72385.76979="","-",72385.76979/1062650.29445*100)</f>
        <v>6.8118147774536677</v>
      </c>
      <c r="E35" s="15">
        <f>IF(3715.87408="","-",3715.87408/1075156.27333*100)</f>
        <v>0.34561246324602701</v>
      </c>
    </row>
    <row r="36" spans="1:5" x14ac:dyDescent="0.25">
      <c r="A36" s="18" t="s">
        <v>107</v>
      </c>
      <c r="B36" s="15">
        <v>100232.81372999999</v>
      </c>
      <c r="C36" s="15">
        <v>68.401197554775734</v>
      </c>
      <c r="D36" s="15">
        <f>IF(146536.63578="","-",146536.63578/1062650.29445*100)</f>
        <v>13.789732760187448</v>
      </c>
      <c r="E36" s="15">
        <f>IF(100232.81373="","-",100232.81373/1075156.27333*100)</f>
        <v>9.3226274371777134</v>
      </c>
    </row>
    <row r="37" spans="1:5" x14ac:dyDescent="0.25">
      <c r="A37" s="18" t="s">
        <v>108</v>
      </c>
      <c r="B37" s="15">
        <v>6905.1589999999997</v>
      </c>
      <c r="C37" s="15">
        <v>135.32254580556821</v>
      </c>
      <c r="D37" s="15">
        <f>IF(5102.74098="","-",5102.74098/1062650.29445*100)</f>
        <v>0.48019004997698189</v>
      </c>
      <c r="E37" s="15">
        <f>IF(6905.159="","-",6905.159/1075156.27333*100)</f>
        <v>0.64224700829891213</v>
      </c>
    </row>
    <row r="38" spans="1:5" x14ac:dyDescent="0.25">
      <c r="A38" s="18" t="s">
        <v>109</v>
      </c>
      <c r="B38" s="15">
        <v>110.09043</v>
      </c>
      <c r="C38" s="15" t="s">
        <v>91</v>
      </c>
      <c r="D38" s="15">
        <f>IF(51.74489="","-",51.74489/1062650.29445*100)</f>
        <v>4.8694184973412918E-3</v>
      </c>
      <c r="E38" s="15">
        <f>IF(110.09043="","-",110.09043/1075156.27333*100)</f>
        <v>1.023948171357688E-2</v>
      </c>
    </row>
    <row r="39" spans="1:5" x14ac:dyDescent="0.25">
      <c r="A39" s="36" t="s">
        <v>111</v>
      </c>
      <c r="B39" s="66">
        <v>288.05399</v>
      </c>
      <c r="C39" s="19" t="s">
        <v>322</v>
      </c>
      <c r="D39" s="19" t="s">
        <v>322</v>
      </c>
      <c r="E39" s="19">
        <f>IF(288.05399="","-",288.05399/1075156.27333*100)</f>
        <v>2.6791825257907135E-2</v>
      </c>
    </row>
    <row r="40" spans="1:5" x14ac:dyDescent="0.25">
      <c r="A40" s="22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0"/>
  <sheetViews>
    <sheetView workbookViewId="0">
      <selection sqref="A1:E1"/>
    </sheetView>
  </sheetViews>
  <sheetFormatPr defaultRowHeight="15.75" x14ac:dyDescent="0.25"/>
  <cols>
    <col min="1" max="1" width="31.5" customWidth="1"/>
    <col min="2" max="2" width="13.875" customWidth="1"/>
    <col min="3" max="3" width="14.25" customWidth="1"/>
    <col min="4" max="5" width="11.375" customWidth="1"/>
  </cols>
  <sheetData>
    <row r="1" spans="1:5" x14ac:dyDescent="0.25">
      <c r="A1" s="75" t="s">
        <v>283</v>
      </c>
      <c r="B1" s="75"/>
      <c r="C1" s="75"/>
      <c r="D1" s="75"/>
      <c r="E1" s="75"/>
    </row>
    <row r="2" spans="1:5" x14ac:dyDescent="0.25">
      <c r="A2" s="88"/>
      <c r="B2" s="88"/>
      <c r="C2" s="88"/>
      <c r="D2" s="88"/>
      <c r="E2" s="88"/>
    </row>
    <row r="3" spans="1:5" ht="18.75" customHeight="1" x14ac:dyDescent="0.25">
      <c r="A3" s="76"/>
      <c r="B3" s="78" t="s">
        <v>354</v>
      </c>
      <c r="C3" s="79"/>
      <c r="D3" s="80" t="s">
        <v>104</v>
      </c>
      <c r="E3" s="87"/>
    </row>
    <row r="4" spans="1:5" ht="41.25" customHeight="1" x14ac:dyDescent="0.25">
      <c r="A4" s="77"/>
      <c r="B4" s="44" t="s">
        <v>114</v>
      </c>
      <c r="C4" s="43" t="s">
        <v>356</v>
      </c>
      <c r="D4" s="44" t="s">
        <v>345</v>
      </c>
      <c r="E4" s="42" t="s">
        <v>346</v>
      </c>
    </row>
    <row r="5" spans="1:5" ht="15.75" customHeight="1" x14ac:dyDescent="0.25">
      <c r="A5" s="49" t="s">
        <v>120</v>
      </c>
      <c r="B5" s="55">
        <v>2306997.5400200002</v>
      </c>
      <c r="C5" s="55">
        <v>113.14058568112915</v>
      </c>
      <c r="D5" s="56">
        <v>100</v>
      </c>
      <c r="E5" s="56">
        <v>100</v>
      </c>
    </row>
    <row r="6" spans="1:5" ht="15.75" customHeight="1" x14ac:dyDescent="0.25">
      <c r="A6" s="18" t="s">
        <v>119</v>
      </c>
      <c r="B6" s="30"/>
      <c r="C6" s="17"/>
      <c r="D6" s="30"/>
      <c r="E6" s="30"/>
    </row>
    <row r="7" spans="1:5" x14ac:dyDescent="0.25">
      <c r="A7" s="18" t="s">
        <v>105</v>
      </c>
      <c r="B7" s="15">
        <v>182427.86009</v>
      </c>
      <c r="C7" s="15" t="s">
        <v>101</v>
      </c>
      <c r="D7" s="15">
        <f>IF(94725.47305="","-",94725.47305/2039053.91344*100)</f>
        <v>4.6455600033739541</v>
      </c>
      <c r="E7" s="15">
        <f>IF(182427.86009="","-",182427.86009/2306997.54002*100)</f>
        <v>7.9075879763798307</v>
      </c>
    </row>
    <row r="8" spans="1:5" x14ac:dyDescent="0.25">
      <c r="A8" s="18" t="s">
        <v>106</v>
      </c>
      <c r="B8" s="15">
        <v>135482.61253000001</v>
      </c>
      <c r="C8" s="15" t="s">
        <v>196</v>
      </c>
      <c r="D8" s="15">
        <f>IF(74703.40552="","-",74703.40552/2039053.91344*100)</f>
        <v>3.6636307175405238</v>
      </c>
      <c r="E8" s="15">
        <f>IF(135482.61253="","-",135482.61253/2306997.54002*100)</f>
        <v>5.8726812742429484</v>
      </c>
    </row>
    <row r="9" spans="1:5" x14ac:dyDescent="0.25">
      <c r="A9" s="18" t="s">
        <v>107</v>
      </c>
      <c r="B9" s="15">
        <v>1677738.2588299999</v>
      </c>
      <c r="C9" s="15">
        <v>110.52339441197086</v>
      </c>
      <c r="D9" s="15">
        <f>IF(1517993.78562="","-",1517993.78562/2039053.91344*100)</f>
        <v>74.445985739487298</v>
      </c>
      <c r="E9" s="15">
        <f>IF(1677738.25883="","-",1677738.25883/2306997.54002*100)</f>
        <v>72.723885904770185</v>
      </c>
    </row>
    <row r="10" spans="1:5" x14ac:dyDescent="0.25">
      <c r="A10" s="18" t="s">
        <v>108</v>
      </c>
      <c r="B10" s="15">
        <v>38924.544199999997</v>
      </c>
      <c r="C10" s="15">
        <v>126.29453909175103</v>
      </c>
      <c r="D10" s="15">
        <f>IF(30820.44915="","-",30820.44915/2039053.91344*100)</f>
        <v>1.5115073194903488</v>
      </c>
      <c r="E10" s="15">
        <f>IF(38924.5442="","-",38924.5442/2306997.54002*100)</f>
        <v>1.6872382187135988</v>
      </c>
    </row>
    <row r="11" spans="1:5" x14ac:dyDescent="0.25">
      <c r="A11" s="18" t="s">
        <v>109</v>
      </c>
      <c r="B11" s="15">
        <v>2066.8771499999998</v>
      </c>
      <c r="C11" s="15">
        <v>83.91365524359631</v>
      </c>
      <c r="D11" s="15">
        <f>IF(2463.09989="","-",2463.09989/2039053.91344*100)</f>
        <v>0.12079621209449094</v>
      </c>
      <c r="E11" s="15">
        <f>IF(2066.87715="","-",2066.87715/2306997.54002*100)</f>
        <v>8.959164949877152E-2</v>
      </c>
    </row>
    <row r="12" spans="1:5" x14ac:dyDescent="0.25">
      <c r="A12" s="18" t="s">
        <v>110</v>
      </c>
      <c r="B12" s="15">
        <v>253350.89386000001</v>
      </c>
      <c r="C12" s="15">
        <v>82.145170056454759</v>
      </c>
      <c r="D12" s="15">
        <f>IF(308418.49093="","-",308418.49093/2039053.91344*100)</f>
        <v>15.125568230301498</v>
      </c>
      <c r="E12" s="15">
        <f>IF(253350.89386="","-",253350.89386/2306997.54002*100)</f>
        <v>10.981844993983115</v>
      </c>
    </row>
    <row r="13" spans="1:5" x14ac:dyDescent="0.25">
      <c r="A13" s="18" t="s">
        <v>111</v>
      </c>
      <c r="B13" s="15">
        <v>17006.49336</v>
      </c>
      <c r="C13" s="15" t="s">
        <v>99</v>
      </c>
      <c r="D13" s="15">
        <f>IF(9929.20928="","-",9929.20928/2039053.91344*100)</f>
        <v>0.48695177771189274</v>
      </c>
      <c r="E13" s="15">
        <f>IF(17006.49336="","-",17006.49336/2306997.54002*100)</f>
        <v>0.73716998241153586</v>
      </c>
    </row>
    <row r="14" spans="1:5" x14ac:dyDescent="0.25">
      <c r="A14" s="26" t="s">
        <v>198</v>
      </c>
      <c r="B14" s="29">
        <v>1113905.7683300001</v>
      </c>
      <c r="C14" s="17">
        <v>123.18170744056991</v>
      </c>
      <c r="D14" s="17">
        <f>IF(904278.55846="","-",904278.55846/2039053.91344*100)</f>
        <v>44.347947472091633</v>
      </c>
      <c r="E14" s="17">
        <f>IF(1113905.76833="","-",1113905.76833/2306997.54002*100)</f>
        <v>48.283786567034795</v>
      </c>
    </row>
    <row r="15" spans="1:5" x14ac:dyDescent="0.25">
      <c r="A15" s="18" t="s">
        <v>119</v>
      </c>
      <c r="B15" s="24"/>
      <c r="C15" s="17"/>
      <c r="D15" s="17"/>
      <c r="E15" s="17"/>
    </row>
    <row r="16" spans="1:5" x14ac:dyDescent="0.25">
      <c r="A16" s="18" t="s">
        <v>105</v>
      </c>
      <c r="B16" s="15">
        <v>65249.629769999898</v>
      </c>
      <c r="C16" s="15" t="s">
        <v>309</v>
      </c>
      <c r="D16" s="15">
        <f>IF(24052.66193="","-",24052.66193/2039053.91344*100)</f>
        <v>1.1795991156222931</v>
      </c>
      <c r="E16" s="15">
        <f>IF(65249.6297699999="","-",65249.6297699999/2306997.54002*100)</f>
        <v>2.8283354723227938</v>
      </c>
    </row>
    <row r="17" spans="1:6" x14ac:dyDescent="0.25">
      <c r="A17" s="18" t="s">
        <v>106</v>
      </c>
      <c r="B17" s="15">
        <v>57739.157030000002</v>
      </c>
      <c r="C17" s="15" t="s">
        <v>101</v>
      </c>
      <c r="D17" s="15">
        <f>IF(30287.63398="","-",30287.63398/2039053.91344*100)</f>
        <v>1.485376810312143</v>
      </c>
      <c r="E17" s="15">
        <f>IF(57739.15703="","-",57739.15703/2306997.54002*100)</f>
        <v>2.5027836410046382</v>
      </c>
    </row>
    <row r="18" spans="1:6" x14ac:dyDescent="0.25">
      <c r="A18" s="18" t="s">
        <v>107</v>
      </c>
      <c r="B18" s="15">
        <v>904007.75615000003</v>
      </c>
      <c r="C18" s="15">
        <v>108.45953285654551</v>
      </c>
      <c r="D18" s="15">
        <f>IF(833497.7409="","-",833497.7409/2039053.91344*100)</f>
        <v>40.876689694479033</v>
      </c>
      <c r="E18" s="15">
        <f>IF(904007.75615="","-",904007.75615/2306997.54002*100)</f>
        <v>39.185466844588092</v>
      </c>
    </row>
    <row r="19" spans="1:6" x14ac:dyDescent="0.25">
      <c r="A19" s="18" t="s">
        <v>108</v>
      </c>
      <c r="B19" s="15">
        <v>10486.7844299999</v>
      </c>
      <c r="C19" s="15" t="s">
        <v>99</v>
      </c>
      <c r="D19" s="15">
        <f>IF(6078.45251="","-",6078.45251/2039053.91344*100)</f>
        <v>0.29810160829662929</v>
      </c>
      <c r="E19" s="15">
        <f>IF(10486.7844299999="","-",10486.7844299999/2306997.54002*100)</f>
        <v>0.45456417911520558</v>
      </c>
    </row>
    <row r="20" spans="1:6" x14ac:dyDescent="0.25">
      <c r="A20" s="18" t="s">
        <v>109</v>
      </c>
      <c r="B20" s="15">
        <v>1418.93424</v>
      </c>
      <c r="C20" s="15">
        <v>78.884988456656643</v>
      </c>
      <c r="D20" s="15">
        <f>IF(1798.73797="","-",1798.73797/2039053.91344*100)</f>
        <v>8.8214340883484857E-2</v>
      </c>
      <c r="E20" s="15">
        <f>IF(1418.93424="","-",1418.93424/2306997.54002*100)</f>
        <v>6.1505667664808118E-2</v>
      </c>
    </row>
    <row r="21" spans="1:6" x14ac:dyDescent="0.25">
      <c r="A21" s="18" t="s">
        <v>110</v>
      </c>
      <c r="B21" s="15">
        <v>59337.094850000001</v>
      </c>
      <c r="C21" s="15" t="s">
        <v>322</v>
      </c>
      <c r="D21" s="15" t="s">
        <v>322</v>
      </c>
      <c r="E21" s="15">
        <f>IF(59337.09485="","-",59337.09485/2306997.54002*100)</f>
        <v>2.572048466487987</v>
      </c>
    </row>
    <row r="22" spans="1:6" x14ac:dyDescent="0.25">
      <c r="A22" s="18" t="s">
        <v>111</v>
      </c>
      <c r="B22" s="15">
        <v>15666.41186</v>
      </c>
      <c r="C22" s="15" t="s">
        <v>196</v>
      </c>
      <c r="D22" s="15">
        <f>IF(8563.33117="","-",8563.33117/2039053.91344*100)</f>
        <v>0.41996590249804489</v>
      </c>
      <c r="E22" s="15">
        <f>IF(15666.41186="","-",15666.41186/2306997.54002*100)</f>
        <v>0.67908229585126401</v>
      </c>
      <c r="F22" s="17"/>
    </row>
    <row r="23" spans="1:6" x14ac:dyDescent="0.25">
      <c r="A23" s="26" t="s">
        <v>199</v>
      </c>
      <c r="B23" s="17">
        <v>524893.66491000005</v>
      </c>
      <c r="C23" s="31">
        <v>83.31235851698608</v>
      </c>
      <c r="D23" s="17">
        <f>IF(630030.9753="","-",630030.9753/2039053.91344*100)</f>
        <v>30.898200932662046</v>
      </c>
      <c r="E23" s="17">
        <f>IF(524893.66491="","-",524893.66491/2306997.54002*100)</f>
        <v>22.752242072414589</v>
      </c>
      <c r="F23" s="17"/>
    </row>
    <row r="24" spans="1:6" x14ac:dyDescent="0.25">
      <c r="A24" s="18" t="s">
        <v>119</v>
      </c>
      <c r="B24" s="17"/>
      <c r="C24" s="24"/>
      <c r="D24" s="17"/>
      <c r="E24" s="17"/>
      <c r="F24" s="15"/>
    </row>
    <row r="25" spans="1:6" x14ac:dyDescent="0.25">
      <c r="A25" s="18" t="s">
        <v>105</v>
      </c>
      <c r="B25" s="15">
        <v>40015.275479999997</v>
      </c>
      <c r="C25" s="24">
        <v>70.914212584021669</v>
      </c>
      <c r="D25" s="15">
        <f>IF(56427.72305="","-",56427.72305/2039053.91344*100)</f>
        <v>2.7673482627442265</v>
      </c>
      <c r="E25" s="15">
        <f>IF(40015.27548="","-",40015.27548/2306997.54002*100)</f>
        <v>1.7345174750231025</v>
      </c>
      <c r="F25" s="15"/>
    </row>
    <row r="26" spans="1:6" x14ac:dyDescent="0.25">
      <c r="A26" s="18" t="s">
        <v>106</v>
      </c>
      <c r="B26" s="15">
        <v>69405.919009999998</v>
      </c>
      <c r="C26" s="24">
        <v>156.514748236798</v>
      </c>
      <c r="D26" s="15">
        <f>IF(44344.65109="","-",44344.65109/2039053.91344*100)</f>
        <v>2.1747659930770564</v>
      </c>
      <c r="E26" s="15">
        <f>IF(69405.91901="","-",69405.91901/2306997.54002*100)</f>
        <v>3.0084955794707215</v>
      </c>
      <c r="F26" s="15"/>
    </row>
    <row r="27" spans="1:6" x14ac:dyDescent="0.25">
      <c r="A27" s="18" t="s">
        <v>107</v>
      </c>
      <c r="B27" s="15">
        <v>216920.31182999999</v>
      </c>
      <c r="C27" s="24">
        <v>99.826507609904837</v>
      </c>
      <c r="D27" s="15">
        <f>IF(217297.30612="","-",217297.30612/2039053.91344*100)</f>
        <v>10.65677099990981</v>
      </c>
      <c r="E27" s="15">
        <f>IF(216920.31183="","-",216920.31183/2306997.54002*100)</f>
        <v>9.4027110158131944</v>
      </c>
      <c r="F27" s="15"/>
    </row>
    <row r="28" spans="1:6" x14ac:dyDescent="0.25">
      <c r="A28" s="18" t="s">
        <v>108</v>
      </c>
      <c r="B28" s="15">
        <v>4516.10581</v>
      </c>
      <c r="C28" s="24">
        <v>146.65244047924935</v>
      </c>
      <c r="D28" s="15">
        <f>IF(3079.46175="","-",3079.46175/2039053.91344*100)</f>
        <v>0.1510240474615393</v>
      </c>
      <c r="E28" s="15">
        <f>IF(4516.10581="","-",4516.10581/2306997.54002*100)</f>
        <v>0.19575685416469271</v>
      </c>
      <c r="F28" s="15"/>
    </row>
    <row r="29" spans="1:6" x14ac:dyDescent="0.25">
      <c r="A29" s="18" t="s">
        <v>109</v>
      </c>
      <c r="B29" s="15">
        <v>22.253769999999999</v>
      </c>
      <c r="C29" s="24">
        <v>78.162059223105913</v>
      </c>
      <c r="D29" s="15">
        <f>IF(28.47132="","-",28.47132/2039053.91344*100)</f>
        <v>1.3963005005574994E-3</v>
      </c>
      <c r="E29" s="15">
        <f>IF(22.25377="","-",22.25377/2306997.54002*100)</f>
        <v>9.6462044774469399E-4</v>
      </c>
      <c r="F29" s="15"/>
    </row>
    <row r="30" spans="1:6" x14ac:dyDescent="0.25">
      <c r="A30" s="18" t="s">
        <v>110</v>
      </c>
      <c r="B30" s="15">
        <v>194013.79900999999</v>
      </c>
      <c r="C30" s="24">
        <v>62.90602046102164</v>
      </c>
      <c r="D30" s="15">
        <f>IF(308418.49093="","-",308418.49093/2039053.91344*100)</f>
        <v>15.125568230301498</v>
      </c>
      <c r="E30" s="15">
        <f>IF(194013.79901="","-",194013.79901/2306997.54002*100)</f>
        <v>8.4097965274951285</v>
      </c>
    </row>
    <row r="31" spans="1:6" x14ac:dyDescent="0.25">
      <c r="A31" s="18" t="s">
        <v>111</v>
      </c>
      <c r="B31" s="15" t="s">
        <v>322</v>
      </c>
      <c r="C31" s="32" t="s">
        <v>322</v>
      </c>
      <c r="D31" s="15">
        <f>IF(434.87104="","-",434.87104/2039053.91344*100)</f>
        <v>2.1327098667359306E-2</v>
      </c>
      <c r="E31" s="15" t="s">
        <v>322</v>
      </c>
    </row>
    <row r="32" spans="1:6" x14ac:dyDescent="0.25">
      <c r="A32" s="26" t="s">
        <v>200</v>
      </c>
      <c r="B32" s="29">
        <v>668198.10678000003</v>
      </c>
      <c r="C32" s="17">
        <v>132.38346649914698</v>
      </c>
      <c r="D32" s="17">
        <f>IF(504744.37968="","-",504744.37968/2039053.91344*100)</f>
        <v>24.753851595246324</v>
      </c>
      <c r="E32" s="17">
        <f>IF(668198.10678="","-",668198.10678/2306997.54002*100)</f>
        <v>28.963971360550612</v>
      </c>
    </row>
    <row r="33" spans="1:5" x14ac:dyDescent="0.25">
      <c r="A33" s="18" t="s">
        <v>119</v>
      </c>
      <c r="B33" s="24"/>
      <c r="C33" s="17"/>
      <c r="D33" s="17"/>
      <c r="E33" s="17"/>
    </row>
    <row r="34" spans="1:5" x14ac:dyDescent="0.25">
      <c r="A34" s="18" t="s">
        <v>105</v>
      </c>
      <c r="B34" s="15">
        <v>77162.954840000006</v>
      </c>
      <c r="C34" s="15" t="s">
        <v>399</v>
      </c>
      <c r="D34" s="15">
        <f>IF(14245.08807="","-",14245.08807/2039053.91344*100)</f>
        <v>0.69861262500743415</v>
      </c>
      <c r="E34" s="15">
        <f>IF(77162.95484="","-",77162.95484/2306997.54002*100)</f>
        <v>3.3447350290339304</v>
      </c>
    </row>
    <row r="35" spans="1:5" x14ac:dyDescent="0.25">
      <c r="A35" s="18" t="s">
        <v>106</v>
      </c>
      <c r="B35" s="15">
        <v>8337.5364900000004</v>
      </c>
      <c r="C35" s="15" t="s">
        <v>322</v>
      </c>
      <c r="D35" s="15">
        <f>IF(71.12045="","-",71.12045/2039053.91344*100)</f>
        <v>3.4879141513240201E-3</v>
      </c>
      <c r="E35" s="15">
        <f>IF(8337.53649="","-",8337.53649/2306997.54002*100)</f>
        <v>0.36140205376758744</v>
      </c>
    </row>
    <row r="36" spans="1:5" x14ac:dyDescent="0.25">
      <c r="A36" s="18" t="s">
        <v>107</v>
      </c>
      <c r="B36" s="15">
        <v>556810.19085000001</v>
      </c>
      <c r="C36" s="15">
        <v>119.18058522985919</v>
      </c>
      <c r="D36" s="15">
        <f>IF(467198.7386="","-",467198.7386/2039053.91344*100)</f>
        <v>22.912525045098445</v>
      </c>
      <c r="E36" s="15">
        <f>IF(556810.19085="","-",556810.19085/2306997.54002*100)</f>
        <v>24.135708044368908</v>
      </c>
    </row>
    <row r="37" spans="1:5" x14ac:dyDescent="0.25">
      <c r="A37" s="18" t="s">
        <v>108</v>
      </c>
      <c r="B37" s="15">
        <v>23921.65396</v>
      </c>
      <c r="C37" s="15">
        <v>110.42869212431307</v>
      </c>
      <c r="D37" s="15">
        <f>IF(21662.53489="","-",21662.53489/2039053.91344*100)</f>
        <v>1.0623816637321801</v>
      </c>
      <c r="E37" s="15">
        <f>IF(23921.65396="","-",23921.65396/2306997.54002*100)</f>
        <v>1.0369171854336965</v>
      </c>
    </row>
    <row r="38" spans="1:5" x14ac:dyDescent="0.25">
      <c r="A38" s="18" t="s">
        <v>109</v>
      </c>
      <c r="B38" s="15">
        <v>625.68913999999995</v>
      </c>
      <c r="C38" s="15">
        <v>98.395720899160949</v>
      </c>
      <c r="D38" s="15">
        <f>IF(635.8906="","-",635.8906/2039053.91344*100)</f>
        <v>3.1185570710448567E-2</v>
      </c>
      <c r="E38" s="15">
        <f>IF(625.68914="","-",625.68914/2306997.54002*100)</f>
        <v>2.7121361386218713E-2</v>
      </c>
    </row>
    <row r="39" spans="1:5" x14ac:dyDescent="0.25">
      <c r="A39" s="36" t="s">
        <v>111</v>
      </c>
      <c r="B39" s="19">
        <v>1340.0815</v>
      </c>
      <c r="C39" s="19">
        <v>143.93891767116227</v>
      </c>
      <c r="D39" s="19">
        <f>IF(931.00707="","-",931.00707/2039053.91344*100)</f>
        <v>4.5658776546488568E-2</v>
      </c>
      <c r="E39" s="19">
        <f>IF(1340.0815="","-",1340.0815/2306997.54002*100)</f>
        <v>5.8087686560271856E-2</v>
      </c>
    </row>
    <row r="40" spans="1:5" x14ac:dyDescent="0.25">
      <c r="A40" s="22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80"/>
  <sheetViews>
    <sheetView zoomScaleNormal="100" workbookViewId="0">
      <selection activeCell="B1" sqref="B1:H1"/>
    </sheetView>
  </sheetViews>
  <sheetFormatPr defaultRowHeight="15.75" x14ac:dyDescent="0.25"/>
  <cols>
    <col min="1" max="1" width="4.875" customWidth="1"/>
    <col min="2" max="2" width="27.625" customWidth="1"/>
    <col min="3" max="3" width="11.125" customWidth="1"/>
    <col min="4" max="4" width="10.625" customWidth="1"/>
    <col min="5" max="6" width="7.875" customWidth="1"/>
    <col min="7" max="7" width="8.375" customWidth="1"/>
    <col min="8" max="8" width="8.75" customWidth="1"/>
  </cols>
  <sheetData>
    <row r="1" spans="1:9" x14ac:dyDescent="0.25">
      <c r="B1" s="85" t="s">
        <v>127</v>
      </c>
      <c r="C1" s="85"/>
      <c r="D1" s="85"/>
      <c r="E1" s="85"/>
      <c r="F1" s="85"/>
      <c r="G1" s="85"/>
      <c r="H1" s="85"/>
    </row>
    <row r="2" spans="1:9" x14ac:dyDescent="0.25">
      <c r="B2" s="85" t="s">
        <v>277</v>
      </c>
      <c r="C2" s="85"/>
      <c r="D2" s="85"/>
      <c r="E2" s="85"/>
      <c r="F2" s="85"/>
      <c r="G2" s="85"/>
      <c r="H2" s="85"/>
    </row>
    <row r="3" spans="1:9" x14ac:dyDescent="0.25">
      <c r="A3" s="95"/>
      <c r="B3" s="95"/>
      <c r="C3" s="95"/>
      <c r="D3" s="95"/>
      <c r="E3" s="95"/>
      <c r="F3" s="95"/>
      <c r="G3" s="95"/>
      <c r="H3" s="95"/>
    </row>
    <row r="4" spans="1:9" ht="57.75" customHeight="1" x14ac:dyDescent="0.25">
      <c r="A4" s="89" t="s">
        <v>203</v>
      </c>
      <c r="B4" s="91"/>
      <c r="C4" s="78" t="s">
        <v>343</v>
      </c>
      <c r="D4" s="79"/>
      <c r="E4" s="80" t="s">
        <v>0</v>
      </c>
      <c r="F4" s="81"/>
      <c r="G4" s="93" t="s">
        <v>102</v>
      </c>
      <c r="H4" s="94"/>
    </row>
    <row r="5" spans="1:9" ht="54" customHeight="1" x14ac:dyDescent="0.25">
      <c r="A5" s="90"/>
      <c r="B5" s="92"/>
      <c r="C5" s="44" t="s">
        <v>95</v>
      </c>
      <c r="D5" s="43" t="s">
        <v>344</v>
      </c>
      <c r="E5" s="44" t="s">
        <v>345</v>
      </c>
      <c r="F5" s="44" t="s">
        <v>346</v>
      </c>
      <c r="G5" s="44" t="s">
        <v>347</v>
      </c>
      <c r="H5" s="42" t="s">
        <v>348</v>
      </c>
    </row>
    <row r="6" spans="1:9" ht="16.5" customHeight="1" x14ac:dyDescent="0.25">
      <c r="A6" s="48"/>
      <c r="B6" s="57" t="s">
        <v>96</v>
      </c>
      <c r="C6" s="58">
        <v>1075156.27333</v>
      </c>
      <c r="D6" s="58">
        <f>IF(1062650.29445="","-",1075156.27333/1062650.29445*100)</f>
        <v>101.17686683430252</v>
      </c>
      <c r="E6" s="58">
        <v>100</v>
      </c>
      <c r="F6" s="58">
        <v>100</v>
      </c>
      <c r="G6" s="58">
        <f>IF(684759.39703="","-",(1062650.29445-684759.39703)/684759.39703*100)</f>
        <v>55.185938164415461</v>
      </c>
      <c r="H6" s="58">
        <f>IF(1062650.29445="","-",(1075156.27333-1062650.29445)/1062650.29445*100)</f>
        <v>1.176866834302515</v>
      </c>
    </row>
    <row r="7" spans="1:9" x14ac:dyDescent="0.25">
      <c r="A7" s="11" t="s">
        <v>204</v>
      </c>
      <c r="B7" s="12" t="s">
        <v>175</v>
      </c>
      <c r="C7" s="9">
        <v>248862.77436000001</v>
      </c>
      <c r="D7" s="9">
        <f>IF(313159.37313="","-",248862.77436/313159.37313*100)</f>
        <v>79.468409925795541</v>
      </c>
      <c r="E7" s="9">
        <f>IF(313159.37313="","-",313159.37313/1062650.29445*100)</f>
        <v>29.46965476465455</v>
      </c>
      <c r="F7" s="9">
        <f>IF(248862.77436="","-",248862.77436/1075156.27333*100)</f>
        <v>23.146660679309083</v>
      </c>
      <c r="G7" s="9">
        <f>IF(684759.39703="","-",(313159.37313-121320.01129)/684759.39703*100)</f>
        <v>28.015586594658348</v>
      </c>
      <c r="H7" s="9">
        <f>IF(1062650.29445="","-",(248862.77436-313159.37313)/1062650.29445*100)</f>
        <v>-6.0505887125621376</v>
      </c>
    </row>
    <row r="8" spans="1:9" ht="13.5" customHeight="1" x14ac:dyDescent="0.25">
      <c r="A8" s="13" t="s">
        <v>205</v>
      </c>
      <c r="B8" s="14" t="s">
        <v>21</v>
      </c>
      <c r="C8" s="10">
        <v>3086.24</v>
      </c>
      <c r="D8" s="10">
        <f>IF(OR(2336.78866="",3086.24=""),"-",3086.24/2336.78866*100)</f>
        <v>132.07184940721166</v>
      </c>
      <c r="E8" s="10">
        <f>IF(2336.78866="","-",2336.78866/1062650.29445*100)</f>
        <v>0.21990194443125441</v>
      </c>
      <c r="F8" s="10">
        <f>IF(3086.24="","-",3086.24/1075156.27333*100)</f>
        <v>0.28705036435691555</v>
      </c>
      <c r="G8" s="10">
        <f>IF(OR(684759.39703="",3107.14649="",2336.78866=""),"-",(2336.78866-3107.14649)/684759.39703*100)</f>
        <v>-0.11250051234656511</v>
      </c>
      <c r="H8" s="10">
        <f>IF(OR(1062650.29445="",3086.24="",2336.78866=""),"-",(3086.24-2336.78866)/1062650.29445*100)</f>
        <v>7.0526620461522208E-2</v>
      </c>
      <c r="I8" s="11"/>
    </row>
    <row r="9" spans="1:9" x14ac:dyDescent="0.25">
      <c r="A9" s="13" t="s">
        <v>206</v>
      </c>
      <c r="B9" s="14" t="s">
        <v>176</v>
      </c>
      <c r="C9" s="10">
        <v>1175.7002600000001</v>
      </c>
      <c r="D9" s="10" t="s">
        <v>400</v>
      </c>
      <c r="E9" s="10">
        <f>IF(176.02008="","-",176.02008/1062650.29445*100)</f>
        <v>1.6564252691531358E-2</v>
      </c>
      <c r="F9" s="10">
        <f>IF(1175.70026="","-",1175.70026/1075156.27333*100)</f>
        <v>0.10935156954984719</v>
      </c>
      <c r="G9" s="10">
        <f>IF(OR(684759.39703="",1363.27531="",176.02008=""),"-",(176.02008-1363.27531)/684759.39703*100)</f>
        <v>-0.17338283127613438</v>
      </c>
      <c r="H9" s="10">
        <f>IF(OR(1062650.29445="",1175.70026="",176.02008=""),"-",(1175.70026-176.02008)/1062650.29445*100)</f>
        <v>9.407423921313722E-2</v>
      </c>
      <c r="I9" s="13"/>
    </row>
    <row r="10" spans="1:9" s="2" customFormat="1" x14ac:dyDescent="0.25">
      <c r="A10" s="13" t="s">
        <v>207</v>
      </c>
      <c r="B10" s="14" t="s">
        <v>177</v>
      </c>
      <c r="C10" s="10">
        <v>3640.97199</v>
      </c>
      <c r="D10" s="10">
        <f>IF(OR(2643.97724="",3640.97199=""),"-",3640.97199/2643.97724*100)</f>
        <v>137.70814418962246</v>
      </c>
      <c r="E10" s="10">
        <f>IF(2643.97724="","-",2643.97724/1062650.29445*100)</f>
        <v>0.24880972167503645</v>
      </c>
      <c r="F10" s="10">
        <f>IF(3640.97199="","-",3640.97199/1075156.27333*100)</f>
        <v>0.33864583970877959</v>
      </c>
      <c r="G10" s="10">
        <f>IF(OR(684759.39703="",2005.07556="",2643.97724=""),"-",(2643.97724-2005.07556)/684759.39703*100)</f>
        <v>9.3303090511952361E-2</v>
      </c>
      <c r="H10" s="10">
        <f>IF(OR(1062650.29445="",3640.97199="",2643.97724=""),"-",(3640.97199-2643.97724)/1062650.29445*100)</f>
        <v>9.3821528607021018E-2</v>
      </c>
      <c r="I10" s="13"/>
    </row>
    <row r="11" spans="1:9" s="2" customFormat="1" x14ac:dyDescent="0.25">
      <c r="A11" s="13" t="s">
        <v>208</v>
      </c>
      <c r="B11" s="14" t="s">
        <v>178</v>
      </c>
      <c r="C11" s="10">
        <v>158.03124</v>
      </c>
      <c r="D11" s="10" t="s">
        <v>401</v>
      </c>
      <c r="E11" s="10">
        <f>IF(0.66385="","-",0.66385/1062650.29445*100)</f>
        <v>6.2471163229065063E-5</v>
      </c>
      <c r="F11" s="10">
        <f>IF(158.03124="","-",158.03124/1075156.27333*100)</f>
        <v>1.4698443744418829E-2</v>
      </c>
      <c r="G11" s="10">
        <f>IF(OR(684759.39703="",1.13132="",0.66385=""),"-",(0.66385-1.13132)/684759.39703*100)</f>
        <v>-6.8267774349290122E-5</v>
      </c>
      <c r="H11" s="10">
        <f>IF(OR(1062650.29445="",158.03124="",0.66385=""),"-",(158.03124-0.66385)/1062650.29445*100)</f>
        <v>1.4808953690776443E-2</v>
      </c>
      <c r="I11" s="13"/>
    </row>
    <row r="12" spans="1:9" s="2" customFormat="1" ht="15.75" customHeight="1" x14ac:dyDescent="0.25">
      <c r="A12" s="13" t="s">
        <v>209</v>
      </c>
      <c r="B12" s="14" t="s">
        <v>179</v>
      </c>
      <c r="C12" s="10">
        <v>119347.71593000001</v>
      </c>
      <c r="D12" s="10">
        <f>IF(OR(183818.7619="",119347.71593=""),"-",119347.71593/183818.7619*100)</f>
        <v>64.926841360691384</v>
      </c>
      <c r="E12" s="10">
        <f>IF(183818.7619="","-",183818.7619/1062650.29445*100)</f>
        <v>17.298142470768315</v>
      </c>
      <c r="F12" s="10">
        <f>IF(119347.71593="","-",119347.71593/1075156.27333*100)</f>
        <v>11.100499424177043</v>
      </c>
      <c r="G12" s="10">
        <f>IF(OR(684759.39703="",30371.98873="",183818.7619=""),"-",(183818.7619-30371.98873)/684759.39703*100)</f>
        <v>22.40885978864155</v>
      </c>
      <c r="H12" s="10">
        <f>IF(OR(1062650.29445="",119347.71593="",183818.7619=""),"-",(119347.71593-183818.7619)/1062650.29445*100)</f>
        <v>-6.0670049504261927</v>
      </c>
      <c r="I12" s="13"/>
    </row>
    <row r="13" spans="1:9" s="2" customFormat="1" ht="15.75" customHeight="1" x14ac:dyDescent="0.25">
      <c r="A13" s="13" t="s">
        <v>210</v>
      </c>
      <c r="B13" s="14" t="s">
        <v>180</v>
      </c>
      <c r="C13" s="10">
        <v>91758.474130000002</v>
      </c>
      <c r="D13" s="10">
        <f>IF(OR(93030.92343="",91758.47413=""),"-",91758.47413/93030.92343*100)</f>
        <v>98.632229743524547</v>
      </c>
      <c r="E13" s="10">
        <f>IF(93030.92343="","-",93030.92343/1062650.29445*100)</f>
        <v>8.7546132453810106</v>
      </c>
      <c r="F13" s="10">
        <f>IF(91758.47413="","-",91758.47413/1075156.27333*100)</f>
        <v>8.5344313572020027</v>
      </c>
      <c r="G13" s="10">
        <f>IF(OR(684759.39703="",72588.88218="",93030.92343=""),"-",(93030.92343-72588.88218)/684759.39703*100)</f>
        <v>2.9852881667141848</v>
      </c>
      <c r="H13" s="10">
        <f>IF(OR(1062650.29445="",91758.47413="",93030.92343=""),"-",(91758.47413-93030.92343)/1062650.29445*100)</f>
        <v>-0.11974299603978179</v>
      </c>
      <c r="I13" s="13"/>
    </row>
    <row r="14" spans="1:9" s="2" customFormat="1" ht="14.25" customHeight="1" x14ac:dyDescent="0.25">
      <c r="A14" s="13" t="s">
        <v>211</v>
      </c>
      <c r="B14" s="14" t="s">
        <v>138</v>
      </c>
      <c r="C14" s="10">
        <v>7740.7801600000003</v>
      </c>
      <c r="D14" s="10">
        <f>IF(OR(9557.4489="",7740.78016=""),"-",7740.78016/9557.4489*100)</f>
        <v>80.99211663062097</v>
      </c>
      <c r="E14" s="10">
        <f>IF(9557.4489="","-",9557.4489/1062650.29445*100)</f>
        <v>0.89939737935580077</v>
      </c>
      <c r="F14" s="10">
        <f>IF(7740.78016="","-",7740.78016/1075156.27333*100)</f>
        <v>0.71996791089960055</v>
      </c>
      <c r="G14" s="10">
        <f>IF(OR(684759.39703="",2317.85125="",9557.4489=""),"-",(9557.4489-2317.85125)/684759.39703*100)</f>
        <v>1.0572469222620724</v>
      </c>
      <c r="H14" s="10">
        <f>IF(OR(1062650.29445="",7740.78016="",9557.4489=""),"-",(7740.78016-9557.4489)/1062650.29445*100)</f>
        <v>-0.17095640489520211</v>
      </c>
      <c r="I14" s="13"/>
    </row>
    <row r="15" spans="1:9" s="2" customFormat="1" ht="25.5" x14ac:dyDescent="0.25">
      <c r="A15" s="13" t="s">
        <v>212</v>
      </c>
      <c r="B15" s="14" t="s">
        <v>181</v>
      </c>
      <c r="C15" s="10">
        <v>2820.6881199999998</v>
      </c>
      <c r="D15" s="10">
        <f>IF(OR(2749.60152="",2820.68812=""),"-",2820.68812/2749.60152*100)</f>
        <v>102.58534189346824</v>
      </c>
      <c r="E15" s="10">
        <f>IF(2749.60152="","-",2749.60152/1062650.29445*100)</f>
        <v>0.25874942437418907</v>
      </c>
      <c r="F15" s="10">
        <f>IF(2820.68812="","-",2820.68812/1075156.27333*100)</f>
        <v>0.2623514543856677</v>
      </c>
      <c r="G15" s="10">
        <f>IF(OR(684759.39703="",2669.52786="",2749.60152=""),"-",(2749.60152-2669.52786)/684759.39703*100)</f>
        <v>1.1693692755046911E-2</v>
      </c>
      <c r="H15" s="10">
        <f>IF(OR(1062650.29445="",2820.68812="",2749.60152=""),"-",(2820.68812-2749.60152)/1062650.29445*100)</f>
        <v>6.6895572674538434E-3</v>
      </c>
      <c r="I15" s="13"/>
    </row>
    <row r="16" spans="1:9" s="2" customFormat="1" ht="25.5" x14ac:dyDescent="0.25">
      <c r="A16" s="13" t="s">
        <v>213</v>
      </c>
      <c r="B16" s="14" t="s">
        <v>139</v>
      </c>
      <c r="C16" s="10">
        <v>16205.35548</v>
      </c>
      <c r="D16" s="10">
        <f>IF(OR(17130.69989="",16205.35548=""),"-",16205.35548/17130.69989*100)</f>
        <v>94.59832688715673</v>
      </c>
      <c r="E16" s="10">
        <f>IF(17130.69989="","-",17130.69989/1062650.29445*100)</f>
        <v>1.6120731325695821</v>
      </c>
      <c r="F16" s="10">
        <f>IF(16205.35548="","-",16205.35548/1075156.27333*100)</f>
        <v>1.5072558177806452</v>
      </c>
      <c r="G16" s="10">
        <f>IF(OR(684759.39703="",5658.97945="",17130.69989=""),"-",(17130.69989-5658.97945)/684759.39703*100)</f>
        <v>1.675292152215242</v>
      </c>
      <c r="H16" s="10">
        <f>IF(OR(1062650.29445="",16205.35548="",17130.69989=""),"-",(16205.35548-17130.69989)/1062650.29445*100)</f>
        <v>-8.7078920961381173E-2</v>
      </c>
      <c r="I16" s="13"/>
    </row>
    <row r="17" spans="1:9" s="2" customFormat="1" ht="15" customHeight="1" x14ac:dyDescent="0.25">
      <c r="A17" s="13" t="s">
        <v>214</v>
      </c>
      <c r="B17" s="14" t="s">
        <v>182</v>
      </c>
      <c r="C17" s="10">
        <v>2928.8170500000001</v>
      </c>
      <c r="D17" s="10" t="s">
        <v>99</v>
      </c>
      <c r="E17" s="10">
        <f>IF(1714.48766="","-",1714.48766/1062650.29445*100)</f>
        <v>0.16134072224460017</v>
      </c>
      <c r="F17" s="10">
        <f>IF(2928.81705="","-",2928.81705/1075156.27333*100)</f>
        <v>0.27240849750416252</v>
      </c>
      <c r="G17" s="10">
        <f>IF(OR(684759.39703="",1236.15314="",1714.48766=""),"-",(1714.48766-1236.15314)/684759.39703*100)</f>
        <v>6.9854392955346886E-2</v>
      </c>
      <c r="H17" s="10">
        <f>IF(OR(1062650.29445="",2928.81705="",1714.48766=""),"-",(2928.81705-1714.48766)/1062650.29445*100)</f>
        <v>0.11427366052051069</v>
      </c>
      <c r="I17" s="13"/>
    </row>
    <row r="18" spans="1:9" s="2" customFormat="1" x14ac:dyDescent="0.25">
      <c r="A18" s="11" t="s">
        <v>215</v>
      </c>
      <c r="B18" s="12" t="s">
        <v>183</v>
      </c>
      <c r="C18" s="9">
        <v>52902.860280000001</v>
      </c>
      <c r="D18" s="9">
        <f>IF(37726.61088="","-",52902.86028/37726.61088*100)</f>
        <v>140.22690892715565</v>
      </c>
      <c r="E18" s="9">
        <f>IF(37726.61088="","-",37726.61088/1062650.29445*100)</f>
        <v>3.55023765363245</v>
      </c>
      <c r="F18" s="9">
        <f>IF(52902.86028="","-",52902.86028/1075156.27333*100)</f>
        <v>4.9204810121367739</v>
      </c>
      <c r="G18" s="9">
        <f>IF(684759.39703="","-",(37726.61088-48855.75303)/684759.39703*100)</f>
        <v>-1.6252631505708888</v>
      </c>
      <c r="H18" s="9">
        <f>IF(1062650.29445="","-",(52902.86028-37726.61088)/1062650.29445*100)</f>
        <v>1.428150867624314</v>
      </c>
      <c r="I18" s="13"/>
    </row>
    <row r="19" spans="1:9" s="2" customFormat="1" x14ac:dyDescent="0.25">
      <c r="A19" s="13" t="s">
        <v>216</v>
      </c>
      <c r="B19" s="14" t="s">
        <v>184</v>
      </c>
      <c r="C19" s="10">
        <v>50184.974439999998</v>
      </c>
      <c r="D19" s="10">
        <f>IF(OR(34797.01348="",50184.97444=""),"-",50184.97444/34797.01348*100)</f>
        <v>144.2220737387259</v>
      </c>
      <c r="E19" s="10">
        <f>IF(34797.01348="","-",34797.01348/1062650.29445*100)</f>
        <v>3.274549836549006</v>
      </c>
      <c r="F19" s="10">
        <f>IF(50184.97444="","-",50184.97444/1075156.27333*100)</f>
        <v>4.6676911705649902</v>
      </c>
      <c r="G19" s="10">
        <f>IF(OR(684759.39703="",45285.34677="",34797.01348=""),"-",(34797.01348-45285.34677)/684759.39703*100)</f>
        <v>-1.5316815417927723</v>
      </c>
      <c r="H19" s="10">
        <f>IF(OR(1062650.29445="",50184.97444="",34797.01348=""),"-",(50184.97444-34797.01348)/1062650.29445*100)</f>
        <v>1.4480738433300302</v>
      </c>
      <c r="I19" s="11"/>
    </row>
    <row r="20" spans="1:9" s="2" customFormat="1" x14ac:dyDescent="0.25">
      <c r="A20" s="13" t="s">
        <v>217</v>
      </c>
      <c r="B20" s="14" t="s">
        <v>185</v>
      </c>
      <c r="C20" s="10">
        <v>2717.8858399999999</v>
      </c>
      <c r="D20" s="10">
        <f>IF(OR(2929.5974="",2717.88584=""),"-",2717.88584/2929.5974*100)</f>
        <v>92.773356502842333</v>
      </c>
      <c r="E20" s="10">
        <f>IF(2929.5974="","-",2929.5974/1062650.29445*100)</f>
        <v>0.27568781708344453</v>
      </c>
      <c r="F20" s="10">
        <f>IF(2717.88584="","-",2717.88584/1075156.27333*100)</f>
        <v>0.25278984157178364</v>
      </c>
      <c r="G20" s="10">
        <f>IF(OR(684759.39703="",3570.40626="",2929.5974=""),"-",(2929.5974-3570.40626)/684759.39703*100)</f>
        <v>-9.3581608778115916E-2</v>
      </c>
      <c r="H20" s="10">
        <f>IF(OR(1062650.29445="",2717.88584="",2929.5974=""),"-",(2717.88584-2929.5974)/1062650.29445*100)</f>
        <v>-1.9922975705716675E-2</v>
      </c>
      <c r="I20" s="13"/>
    </row>
    <row r="21" spans="1:9" s="2" customFormat="1" ht="25.5" x14ac:dyDescent="0.25">
      <c r="A21" s="11" t="s">
        <v>218</v>
      </c>
      <c r="B21" s="12" t="s">
        <v>22</v>
      </c>
      <c r="C21" s="9">
        <v>69370.494099999996</v>
      </c>
      <c r="D21" s="9">
        <f>IF(171010.11728="","-",69370.4941/171010.11728*100)</f>
        <v>40.565140357407977</v>
      </c>
      <c r="E21" s="9">
        <f>IF(171010.11728="","-",171010.11728/1062650.29445*100)</f>
        <v>16.092793478075528</v>
      </c>
      <c r="F21" s="9">
        <f>IF(69370.4941="","-",69370.4941/1075156.27333*100)</f>
        <v>6.4521312688009553</v>
      </c>
      <c r="G21" s="9">
        <f>IF(684759.39703="","-",(171010.11728-78118.92139)/684759.39703*100)</f>
        <v>13.56552334920792</v>
      </c>
      <c r="H21" s="9">
        <f>IF(1062650.29445="","-",(69370.4941-171010.11728)/1062650.29445*100)</f>
        <v>-9.5647292162663948</v>
      </c>
      <c r="I21" s="13"/>
    </row>
    <row r="22" spans="1:9" s="2" customFormat="1" ht="15" customHeight="1" x14ac:dyDescent="0.25">
      <c r="A22" s="13" t="s">
        <v>219</v>
      </c>
      <c r="B22" s="14" t="s">
        <v>192</v>
      </c>
      <c r="C22" s="10">
        <v>383.18736000000001</v>
      </c>
      <c r="D22" s="10">
        <f>IF(OR(386.95205="",383.18736=""),"-",383.18736/386.95205*100)</f>
        <v>99.027091341162304</v>
      </c>
      <c r="E22" s="10">
        <f>IF(386.95205="","-",386.95205/1062650.29445*100)</f>
        <v>3.6413865598209458E-2</v>
      </c>
      <c r="F22" s="10">
        <f>IF(383.18736="","-",383.18736/1075156.27333*100)</f>
        <v>3.5640154785423227E-2</v>
      </c>
      <c r="G22" s="10">
        <f>IF(OR(684759.39703="",445.97507="",386.95205=""),"-",(386.95205-445.97507)/684759.39703*100)</f>
        <v>-8.6195268376016414E-3</v>
      </c>
      <c r="H22" s="10">
        <f>IF(OR(1062650.29445="",383.18736="",386.95205=""),"-",(383.18736-386.95205)/1062650.29445*100)</f>
        <v>-3.5427365142250101E-4</v>
      </c>
      <c r="I22" s="11"/>
    </row>
    <row r="23" spans="1:9" s="2" customFormat="1" ht="15" customHeight="1" x14ac:dyDescent="0.25">
      <c r="A23" s="13" t="s">
        <v>220</v>
      </c>
      <c r="B23" s="14" t="s">
        <v>186</v>
      </c>
      <c r="C23" s="10">
        <v>48542.521110000001</v>
      </c>
      <c r="D23" s="10">
        <f>IF(OR(146146.96984="",48542.52111=""),"-",48542.52111/146146.96984*100)</f>
        <v>33.214866625797157</v>
      </c>
      <c r="E23" s="10">
        <f>IF(146146.96984="","-",146146.96984/1062650.29445*100)</f>
        <v>13.753063505773728</v>
      </c>
      <c r="F23" s="10">
        <f>IF(48542.52111="","-",48542.52111/1075156.27333*100)</f>
        <v>4.5149270216926638</v>
      </c>
      <c r="G23" s="10">
        <f>IF(OR(684759.39703="",57031.62001="",146146.96984=""),"-",(146146.96984-57031.62001)/684759.39703*100)</f>
        <v>13.014111265434122</v>
      </c>
      <c r="H23" s="10">
        <f>IF(OR(1062650.29445="",48542.52111="",146146.96984=""),"-",(48542.52111-146146.96984)/1062650.29445*100)</f>
        <v>-9.1850018053698008</v>
      </c>
      <c r="I23" s="13"/>
    </row>
    <row r="24" spans="1:9" s="2" customFormat="1" ht="15" customHeight="1" x14ac:dyDescent="0.25">
      <c r="A24" s="13" t="s">
        <v>273</v>
      </c>
      <c r="B24" s="14" t="s">
        <v>187</v>
      </c>
      <c r="C24" s="10">
        <v>2.6190099999999998</v>
      </c>
      <c r="D24" s="10">
        <f>IF(OR(4.52861="",2.61901=""),"-",2.61901/4.52861*100)</f>
        <v>57.832535811209183</v>
      </c>
      <c r="E24" s="10">
        <f>IF(4.52861="","-",4.52861/1062650.29445*100)</f>
        <v>4.261618355212417E-4</v>
      </c>
      <c r="F24" s="10">
        <f>IF(2.61901="","-",2.61901/1075156.27333*100)</f>
        <v>2.4359342590155186E-4</v>
      </c>
      <c r="G24" s="10">
        <f>IF(OR(684759.39703="",0.00454="",4.52861=""),"-",(4.52861-0.00454)/684759.39703*100)</f>
        <v>6.6068023595181058E-4</v>
      </c>
      <c r="H24" s="10">
        <f>IF(OR(1062650.29445="",2.61901="",4.52861=""),"-",(2.61901-4.52861)/1062650.29445*100)</f>
        <v>-1.7970163937971323E-4</v>
      </c>
      <c r="I24" s="13"/>
    </row>
    <row r="25" spans="1:9" s="2" customFormat="1" x14ac:dyDescent="0.25">
      <c r="A25" s="13" t="s">
        <v>221</v>
      </c>
      <c r="B25" s="14" t="s">
        <v>188</v>
      </c>
      <c r="C25" s="10">
        <v>820.74428</v>
      </c>
      <c r="D25" s="10">
        <f>IF(OR(959.28039="",820.74428=""),"-",820.74428/959.28039*100)</f>
        <v>85.558329822628806</v>
      </c>
      <c r="E25" s="10">
        <f>IF(959.28039="","-",959.28039/1062650.29445*100)</f>
        <v>9.0272443814312264E-2</v>
      </c>
      <c r="F25" s="10">
        <f>IF(820.74428="","-",820.74428/1075156.27333*100)</f>
        <v>7.6337207935174942E-2</v>
      </c>
      <c r="G25" s="10">
        <f>IF(OR(684759.39703="",384.23512="",959.28039=""),"-",(959.28039-384.23512)/684759.39703*100)</f>
        <v>8.3977711367545754E-2</v>
      </c>
      <c r="H25" s="10">
        <f>IF(OR(1062650.29445="",820.74428="",959.28039=""),"-",(820.74428-959.28039)/1062650.29445*100)</f>
        <v>-1.3036848596715693E-2</v>
      </c>
      <c r="I25" s="13"/>
    </row>
    <row r="26" spans="1:9" s="2" customFormat="1" ht="14.25" customHeight="1" x14ac:dyDescent="0.25">
      <c r="A26" s="13" t="s">
        <v>222</v>
      </c>
      <c r="B26" s="14" t="s">
        <v>140</v>
      </c>
      <c r="C26" s="10">
        <v>838.20104000000003</v>
      </c>
      <c r="D26" s="10">
        <f>IF(OR(921.41437="",838.20104=""),"-",838.20104/921.41437*100)</f>
        <v>90.968956778913707</v>
      </c>
      <c r="E26" s="10">
        <f>IF(921.41437="","-",921.41437/1062650.29445*100)</f>
        <v>8.6709087158057016E-2</v>
      </c>
      <c r="F26" s="10">
        <f>IF(838.20104="","-",838.20104/1075156.27333*100)</f>
        <v>7.7960856555661776E-2</v>
      </c>
      <c r="G26" s="10">
        <f>IF(OR(684759.39703="",861.70284="",921.41437=""),"-",(921.41437-861.70284)/684759.39703*100)</f>
        <v>8.7200745632679353E-3</v>
      </c>
      <c r="H26" s="10">
        <f>IF(OR(1062650.29445="",838.20104="",921.41437=""),"-",(838.20104-921.41437)/1062650.29445*100)</f>
        <v>-7.83073513785351E-3</v>
      </c>
      <c r="I26" s="13"/>
    </row>
    <row r="27" spans="1:9" s="2" customFormat="1" ht="40.5" customHeight="1" x14ac:dyDescent="0.25">
      <c r="A27" s="13" t="s">
        <v>223</v>
      </c>
      <c r="B27" s="14" t="s">
        <v>141</v>
      </c>
      <c r="C27" s="10">
        <v>16.349260000000001</v>
      </c>
      <c r="D27" s="10">
        <f>IF(OR(20.85198="",16.34926=""),"-",16.34926/20.85198*100)</f>
        <v>78.406271250979515</v>
      </c>
      <c r="E27" s="10">
        <f>IF(20.85198="","-",20.85198/1062650.29445*100)</f>
        <v>1.9622617251324852E-3</v>
      </c>
      <c r="F27" s="10">
        <f>IF(16.34926="","-",16.34926/1075156.27333*100)</f>
        <v>1.5206403390423122E-3</v>
      </c>
      <c r="G27" s="10">
        <f>IF(OR(684759.39703="",36.83378="",20.85198=""),"-",(20.85198-36.83378)/684759.39703*100)</f>
        <v>-2.3339292705317656E-3</v>
      </c>
      <c r="H27" s="10">
        <f>IF(OR(1062650.29445="",16.34926="",20.85198=""),"-",(16.34926-20.85198)/1062650.29445*100)</f>
        <v>-4.2372547427095862E-4</v>
      </c>
      <c r="I27" s="13"/>
    </row>
    <row r="28" spans="1:9" s="2" customFormat="1" ht="38.25" x14ac:dyDescent="0.25">
      <c r="A28" s="13" t="s">
        <v>224</v>
      </c>
      <c r="B28" s="14" t="s">
        <v>142</v>
      </c>
      <c r="C28" s="10">
        <v>4834.08457</v>
      </c>
      <c r="D28" s="10" t="s">
        <v>296</v>
      </c>
      <c r="E28" s="10">
        <f>IF(1705.9809="","-",1705.9809/1062650.29445*100)</f>
        <v>0.16054019924616603</v>
      </c>
      <c r="F28" s="10">
        <f>IF(4834.08457="","-",4834.08457/1075156.27333*100)</f>
        <v>0.44961692452649293</v>
      </c>
      <c r="G28" s="10">
        <f>IF(OR(684759.39703="",1403.53615="",1705.9809=""),"-",(1705.9809-1403.53615)/684759.39703*100)</f>
        <v>4.4168032057944832E-2</v>
      </c>
      <c r="H28" s="10">
        <f>IF(OR(1062650.29445="",4834.08457="",1705.9809=""),"-",(4834.08457-1705.9809)/1062650.29445*100)</f>
        <v>0.29436811774649013</v>
      </c>
      <c r="I28" s="13"/>
    </row>
    <row r="29" spans="1:9" s="2" customFormat="1" ht="15" customHeight="1" x14ac:dyDescent="0.25">
      <c r="A29" s="13" t="s">
        <v>225</v>
      </c>
      <c r="B29" s="14" t="s">
        <v>143</v>
      </c>
      <c r="C29" s="10">
        <v>12143.55646</v>
      </c>
      <c r="D29" s="10">
        <f>IF(OR(19602.74623="",12143.55646=""),"-",12143.55646/19602.74623*100)</f>
        <v>61.948240912365257</v>
      </c>
      <c r="E29" s="10">
        <f>IF(19602.74623="","-",19602.74623/1062650.29445*100)</f>
        <v>1.8447034111203884</v>
      </c>
      <c r="F29" s="10">
        <f>IF(12143.55646="","-",12143.55646/1075156.27333*100)</f>
        <v>1.1294689675565657</v>
      </c>
      <c r="G29" s="10">
        <f>IF(OR(684759.39703="",16982.22886="",19602.74623=""),"-",(19602.74623-16982.22886)/684759.39703*100)</f>
        <v>0.38269169891876548</v>
      </c>
      <c r="H29" s="10">
        <f>IF(OR(1062650.29445="",12143.55646="",19602.74623=""),"-",(12143.55646-19602.74623)/1062650.29445*100)</f>
        <v>-0.70194209788091033</v>
      </c>
      <c r="I29" s="13"/>
    </row>
    <row r="30" spans="1:9" s="2" customFormat="1" ht="25.5" x14ac:dyDescent="0.25">
      <c r="A30" s="13" t="s">
        <v>226</v>
      </c>
      <c r="B30" s="14" t="s">
        <v>144</v>
      </c>
      <c r="C30" s="10">
        <v>1789.23101</v>
      </c>
      <c r="D30" s="10">
        <f>IF(OR(1261.39291="",1789.23101=""),"-",1789.23101/1261.39291*100)</f>
        <v>141.84565299324535</v>
      </c>
      <c r="E30" s="10">
        <f>IF(1261.39291="","-",1261.39291/1062650.29445*100)</f>
        <v>0.11870254180401504</v>
      </c>
      <c r="F30" s="10">
        <f>IF(1789.23101="","-",1789.23101/1075156.27333*100)</f>
        <v>0.16641590198402978</v>
      </c>
      <c r="G30" s="10">
        <f>IF(OR(684759.39703="",972.78502="",1261.39291=""),"-",(1261.39291-972.78502)/684759.39703*100)</f>
        <v>4.2147342738453254E-2</v>
      </c>
      <c r="H30" s="10">
        <f>IF(OR(1062650.29445="",1789.23101="",1261.39291=""),"-",(1789.23101-1261.39291)/1062650.29445*100)</f>
        <v>4.9671853737470156E-2</v>
      </c>
      <c r="I30" s="13"/>
    </row>
    <row r="31" spans="1:9" s="2" customFormat="1" ht="25.5" x14ac:dyDescent="0.25">
      <c r="A31" s="11" t="s">
        <v>227</v>
      </c>
      <c r="B31" s="12" t="s">
        <v>145</v>
      </c>
      <c r="C31" s="9">
        <v>135434.53909999999</v>
      </c>
      <c r="D31" s="9" t="s">
        <v>402</v>
      </c>
      <c r="E31" s="9">
        <f>IF(8924.24426="","-",8924.24426/1062650.29445*100)</f>
        <v>0.83981007737065139</v>
      </c>
      <c r="F31" s="9">
        <f>IF(135434.5391="","-",135434.5391/1075156.27333*100)</f>
        <v>12.596730583222925</v>
      </c>
      <c r="G31" s="9">
        <f>IF(684759.39703="","-",(8924.24426-12219.62575)/684759.39703*100)</f>
        <v>-0.48124662535381396</v>
      </c>
      <c r="H31" s="9">
        <f>IF(1062650.29445="","-",(135434.5391-8924.24426)/1062650.29445*100)</f>
        <v>11.905167250292667</v>
      </c>
      <c r="I31" s="13"/>
    </row>
    <row r="32" spans="1:9" s="2" customFormat="1" x14ac:dyDescent="0.25">
      <c r="A32" s="13" t="s">
        <v>228</v>
      </c>
      <c r="B32" s="14" t="s">
        <v>189</v>
      </c>
      <c r="C32" s="10">
        <v>65.559669999999997</v>
      </c>
      <c r="D32" s="10">
        <f>IF(OR(42.27561="",65.55967=""),"-",65.55967/42.27561*100)</f>
        <v>155.07681615948297</v>
      </c>
      <c r="E32" s="10">
        <f>IF(42.27561="","-",42.27561/1062650.29445*100)</f>
        <v>3.9783181937460199E-3</v>
      </c>
      <c r="F32" s="10">
        <f>IF(65.55967="","-",65.55967/1075156.27333*100)</f>
        <v>6.0976875293623127E-3</v>
      </c>
      <c r="G32" s="10">
        <f>IF(OR(684759.39703="",324.18759="",42.27561=""),"-",(42.27561-324.18759)/684759.39703*100)</f>
        <v>-4.116949416433479E-2</v>
      </c>
      <c r="H32" s="10">
        <f>IF(OR(1062650.29445="",65.55967="",42.27561=""),"-",(65.55967-42.27561)/1062650.29445*100)</f>
        <v>2.1911309978087587E-3</v>
      </c>
      <c r="I32" s="11"/>
    </row>
    <row r="33" spans="1:9" s="2" customFormat="1" ht="25.5" x14ac:dyDescent="0.25">
      <c r="A33" s="13" t="s">
        <v>229</v>
      </c>
      <c r="B33" s="14" t="s">
        <v>146</v>
      </c>
      <c r="C33" s="10">
        <v>127785.58526000001</v>
      </c>
      <c r="D33" s="10" t="s">
        <v>403</v>
      </c>
      <c r="E33" s="10">
        <f>IF(8880.3422="","-",8880.3422/1062650.29445*100)</f>
        <v>0.83567870318016824</v>
      </c>
      <c r="F33" s="10">
        <f>IF(127785.58526="","-",127785.58526/1075156.27333*100)</f>
        <v>11.885303414006914</v>
      </c>
      <c r="G33" s="10">
        <f>IF(OR(684759.39703="",11894.04104="",8880.3422=""),"-",(8880.3422-11894.04104)/684759.39703*100)</f>
        <v>-0.44011062178500748</v>
      </c>
      <c r="H33" s="10">
        <f>IF(OR(1062650.29445="",127785.58526="",8880.3422=""),"-",(127785.58526-8880.3422)/1062650.29445*100)</f>
        <v>11.189498904862418</v>
      </c>
      <c r="I33" s="13"/>
    </row>
    <row r="34" spans="1:9" s="2" customFormat="1" ht="25.5" x14ac:dyDescent="0.25">
      <c r="A34" s="35" t="s">
        <v>274</v>
      </c>
      <c r="B34" s="14" t="s">
        <v>306</v>
      </c>
      <c r="C34" s="10">
        <v>1349.5442</v>
      </c>
      <c r="D34" s="10" t="str">
        <f>IF(OR(""="",1349.5442=""),"-",1349.5442/""*100)</f>
        <v>-</v>
      </c>
      <c r="E34" s="10" t="str">
        <f>IF(""="","-",""/1062650.29445*100)</f>
        <v>-</v>
      </c>
      <c r="F34" s="10">
        <f>IF(1349.5442="","-",1349.5442/1075156.27333*100)</f>
        <v>0.12552074832992968</v>
      </c>
      <c r="G34" s="10" t="str">
        <f>IF(OR(684759.39703="",""="",""=""),"-",(""-"")/684759.39703*100)</f>
        <v>-</v>
      </c>
      <c r="H34" s="10" t="str">
        <f>IF(OR(1062650.29445="",1349.5442="",""=""),"-",(1349.5442-"")/1062650.29445*100)</f>
        <v>-</v>
      </c>
      <c r="I34" s="13"/>
    </row>
    <row r="35" spans="1:9" s="2" customFormat="1" x14ac:dyDescent="0.25">
      <c r="A35" s="13" t="s">
        <v>279</v>
      </c>
      <c r="B35" s="14" t="s">
        <v>280</v>
      </c>
      <c r="C35" s="10">
        <v>6233.8499700000002</v>
      </c>
      <c r="D35" s="10" t="s">
        <v>395</v>
      </c>
      <c r="E35" s="10">
        <f>IF(1.62645="","-",1.62645/1062650.29445*100)</f>
        <v>1.5305599673708347E-4</v>
      </c>
      <c r="F35" s="10">
        <f>IF(6233.84997="","-",6233.84997/1075156.27333*100)</f>
        <v>0.57980873335672112</v>
      </c>
      <c r="G35" s="10">
        <f>IF(OR(684759.39703="",1.39712="",1.62645=""),"-",(1.62645-1.39712)/684759.39703*100)</f>
        <v>3.3490595528103847E-5</v>
      </c>
      <c r="H35" s="10">
        <f>IF(OR(1062650.29445="",6233.84997="",1.62645=""),"-",(6233.84997-1.62645)/1062650.29445*100)</f>
        <v>0.58647925404524892</v>
      </c>
      <c r="I35" s="13"/>
    </row>
    <row r="36" spans="1:9" s="2" customFormat="1" ht="25.5" x14ac:dyDescent="0.25">
      <c r="A36" s="11" t="s">
        <v>230</v>
      </c>
      <c r="B36" s="12" t="s">
        <v>147</v>
      </c>
      <c r="C36" s="9">
        <v>83939.156000000003</v>
      </c>
      <c r="D36" s="9">
        <f>IF(101123.28719="","-",83939.156/101123.28719*100)</f>
        <v>83.006751790304406</v>
      </c>
      <c r="E36" s="9">
        <f>IF(101123.28719="","-",101123.28719/1062650.29445*100)</f>
        <v>9.5161397609491836</v>
      </c>
      <c r="F36" s="9">
        <f>IF(83939.156="","-",83939.156/1075156.27333*100)</f>
        <v>7.807158650530087</v>
      </c>
      <c r="G36" s="9">
        <f>IF(684759.39703="","-",(101123.28719-24704.88883)/684759.39703*100)</f>
        <v>11.15989042157709</v>
      </c>
      <c r="H36" s="9">
        <f>IF(1062650.29445="","-",(83939.156-101123.28719)/1062650.29445*100)</f>
        <v>-1.6171012495596266</v>
      </c>
      <c r="I36" s="13"/>
    </row>
    <row r="37" spans="1:9" s="2" customFormat="1" ht="15.75" customHeight="1" x14ac:dyDescent="0.25">
      <c r="A37" s="13" t="s">
        <v>231</v>
      </c>
      <c r="B37" s="14" t="s">
        <v>193</v>
      </c>
      <c r="C37" s="10">
        <v>1.9330099999999999</v>
      </c>
      <c r="D37" s="10">
        <f>IF(OR(1.59594="",1.93301=""),"-",1.93301/1.59594*100)</f>
        <v>121.1204681880271</v>
      </c>
      <c r="E37" s="10">
        <f>IF(1.59594="","-",1.59594/1062650.29445*100)</f>
        <v>1.5018487345604294E-4</v>
      </c>
      <c r="F37" s="10">
        <f>IF(1.93301="","-",1.93301/1075156.27333*100)</f>
        <v>1.7978874773366988E-4</v>
      </c>
      <c r="G37" s="10">
        <f>IF(OR(684759.39703="",4.16302="",1.59594=""),"-",(1.59594-4.16302)/684759.39703*100)</f>
        <v>-3.748878819530146E-4</v>
      </c>
      <c r="H37" s="10">
        <f>IF(OR(1062650.29445="",1.93301="",1.59594=""),"-",(1.93301-1.59594)/1062650.29445*100)</f>
        <v>3.1719748421512331E-5</v>
      </c>
      <c r="I37" s="11"/>
    </row>
    <row r="38" spans="1:9" s="2" customFormat="1" ht="25.5" x14ac:dyDescent="0.25">
      <c r="A38" s="13" t="s">
        <v>232</v>
      </c>
      <c r="B38" s="14" t="s">
        <v>148</v>
      </c>
      <c r="C38" s="10">
        <v>83937.172690000007</v>
      </c>
      <c r="D38" s="10">
        <f>IF(OR(101121.69125="",83937.17269=""),"-",83937.17269/101121.69125*100)</f>
        <v>83.006100523462123</v>
      </c>
      <c r="E38" s="10">
        <f>IF(101121.69125="","-",101121.69125/1062650.29445*100)</f>
        <v>9.5159895760757252</v>
      </c>
      <c r="F38" s="10">
        <f>IF(83937.17269="","-",83937.17269/1075156.27333*100)</f>
        <v>7.8069741833926871</v>
      </c>
      <c r="G38" s="10">
        <f>IF(OR(684759.39703="",24697.16348="",101121.69125=""),"-",(101121.69125-24697.16348)/684759.39703*100)</f>
        <v>11.160785540362838</v>
      </c>
      <c r="H38" s="10">
        <f>IF(OR(1062650.29445="",83937.17269="",101121.69125=""),"-",(83937.17269-101121.69125)/1062650.29445*100)</f>
        <v>-1.6171377027561316</v>
      </c>
      <c r="I38" s="13"/>
    </row>
    <row r="39" spans="1:9" s="2" customFormat="1" ht="25.5" x14ac:dyDescent="0.25">
      <c r="A39" s="11" t="s">
        <v>234</v>
      </c>
      <c r="B39" s="12" t="s">
        <v>149</v>
      </c>
      <c r="C39" s="9">
        <v>34948.669950000003</v>
      </c>
      <c r="D39" s="9">
        <f>IF(40658.17931="","-",34948.66995/40658.17931*100)</f>
        <v>85.957292094986343</v>
      </c>
      <c r="E39" s="9">
        <f>IF(40658.17931="","-",40658.17931/1062650.29445*100)</f>
        <v>3.8261109531846138</v>
      </c>
      <c r="F39" s="9">
        <f>IF(34948.66995="","-",34948.66995/1075156.27333*100)</f>
        <v>3.2505665285062366</v>
      </c>
      <c r="G39" s="9">
        <f>IF(684759.39703="","-",(40658.17931-35218.88352)/684759.39703*100)</f>
        <v>0.79433678655478102</v>
      </c>
      <c r="H39" s="9">
        <f>IF(1062650.29445="","-",(34948.66995-40658.17931)/1062650.29445*100)</f>
        <v>-0.53728958527744908</v>
      </c>
      <c r="I39" s="13"/>
    </row>
    <row r="40" spans="1:9" s="2" customFormat="1" x14ac:dyDescent="0.25">
      <c r="A40" s="13" t="s">
        <v>235</v>
      </c>
      <c r="B40" s="14" t="s">
        <v>23</v>
      </c>
      <c r="C40" s="10">
        <v>7080.3115299999999</v>
      </c>
      <c r="D40" s="10">
        <f>IF(OR(14005.85982="",7080.31153=""),"-",7080.31153/14005.85982*100)</f>
        <v>50.552494605789931</v>
      </c>
      <c r="E40" s="10">
        <f>IF(14005.85982="","-",14005.85982/1062650.29445*100)</f>
        <v>1.3180121337329576</v>
      </c>
      <c r="F40" s="10">
        <f>IF(7080.31153="","-",7080.31153/1075156.27333*100)</f>
        <v>0.65853789868803803</v>
      </c>
      <c r="G40" s="10">
        <f>IF(OR(684759.39703="",8059.87885="",14005.85982=""),"-",(14005.85982-8059.87885)/684759.39703*100)</f>
        <v>0.86833141623020327</v>
      </c>
      <c r="H40" s="10">
        <f>IF(OR(1062650.29445="",7080.31153="",14005.85982=""),"-",(7080.31153-14005.85982)/1062650.29445*100)</f>
        <v>-0.65172412092394727</v>
      </c>
      <c r="I40" s="13"/>
    </row>
    <row r="41" spans="1:9" s="2" customFormat="1" x14ac:dyDescent="0.25">
      <c r="A41" s="13" t="s">
        <v>236</v>
      </c>
      <c r="B41" s="14" t="s">
        <v>24</v>
      </c>
      <c r="C41" s="10">
        <v>1967.6966</v>
      </c>
      <c r="D41" s="10" t="s">
        <v>308</v>
      </c>
      <c r="E41" s="10">
        <f>IF(760.43639="","-",760.43639/1062650.29445*100)</f>
        <v>7.1560361293983549E-2</v>
      </c>
      <c r="F41" s="10">
        <f>IF(1967.6966="","-",1967.6966/1075156.27333*100)</f>
        <v>0.18301493920559125</v>
      </c>
      <c r="G41" s="10">
        <f>IF(OR(684759.39703="",188.00881="",760.43639=""),"-",(760.43639-188.00881)/684759.39703*100)</f>
        <v>8.359543256840056E-2</v>
      </c>
      <c r="H41" s="10">
        <f>IF(OR(1062650.29445="",1967.6966="",760.43639=""),"-",(1967.6966-760.43639)/1062650.29445*100)</f>
        <v>0.11360842003293721</v>
      </c>
      <c r="I41" s="13"/>
    </row>
    <row r="42" spans="1:9" s="2" customFormat="1" ht="16.5" customHeight="1" x14ac:dyDescent="0.25">
      <c r="A42" s="13" t="s">
        <v>237</v>
      </c>
      <c r="B42" s="14" t="s">
        <v>150</v>
      </c>
      <c r="C42" s="10">
        <v>1225.2566400000001</v>
      </c>
      <c r="D42" s="10">
        <f>IF(OR(772.00872="",1225.25664=""),"-",1225.25664/772.00872*100)</f>
        <v>158.71020731475676</v>
      </c>
      <c r="E42" s="10">
        <f>IF(772.00872="","-",772.00872/1062650.29445*100)</f>
        <v>7.2649367720692304E-2</v>
      </c>
      <c r="F42" s="10">
        <f>IF(1225.25664="","-",1225.25664/1075156.27333*100)</f>
        <v>0.1139607953181639</v>
      </c>
      <c r="G42" s="10">
        <f>IF(OR(684759.39703="",394.03345="",772.00872=""),"-",(772.00872-394.03345)/684759.39703*100)</f>
        <v>5.5198259657244328E-2</v>
      </c>
      <c r="H42" s="10">
        <f>IF(OR(1062650.29445="",1225.25664="",772.00872=""),"-",(1225.25664-772.00872)/1062650.29445*100)</f>
        <v>4.2652594401678429E-2</v>
      </c>
      <c r="I42" s="13"/>
    </row>
    <row r="43" spans="1:9" s="2" customFormat="1" x14ac:dyDescent="0.25">
      <c r="A43" s="13" t="s">
        <v>238</v>
      </c>
      <c r="B43" s="14" t="s">
        <v>151</v>
      </c>
      <c r="C43" s="10">
        <v>11354.78868</v>
      </c>
      <c r="D43" s="10">
        <f>IF(OR(18351.66433="",11354.78868=""),"-",11354.78868/18351.66433*100)</f>
        <v>61.873345522334979</v>
      </c>
      <c r="E43" s="10">
        <f>IF(18351.66433="","-",18351.66433/1062650.29445*100)</f>
        <v>1.726971180062425</v>
      </c>
      <c r="F43" s="10">
        <f>IF(11354.78868="","-",11354.78868/1075156.27333*100)</f>
        <v>1.0561058854106551</v>
      </c>
      <c r="G43" s="10">
        <f>IF(OR(684759.39703="",20962.7982="",18351.66433=""),"-",(18351.66433-20962.7982)/684759.39703*100)</f>
        <v>-0.381321363580441</v>
      </c>
      <c r="H43" s="10">
        <f>IF(OR(1062650.29445="",11354.78868="",18351.66433=""),"-",(11354.78868-18351.66433)/1062650.29445*100)</f>
        <v>-0.65843633475125507</v>
      </c>
      <c r="I43" s="13"/>
    </row>
    <row r="44" spans="1:9" ht="38.25" x14ac:dyDescent="0.25">
      <c r="A44" s="13" t="s">
        <v>239</v>
      </c>
      <c r="B44" s="14" t="s">
        <v>152</v>
      </c>
      <c r="C44" s="10">
        <v>4583.4420300000002</v>
      </c>
      <c r="D44" s="10">
        <f>IF(OR(3221.52807="",4583.44203=""),"-",4583.44203/3221.52807*100)</f>
        <v>142.27540255453991</v>
      </c>
      <c r="E44" s="10">
        <f>IF(3221.52807="","-",3221.52807/1062650.29445*100)</f>
        <v>0.30315975884308949</v>
      </c>
      <c r="F44" s="10">
        <f>IF(4583.44203="","-",4583.44203/1075156.27333*100)</f>
        <v>0.42630472831675464</v>
      </c>
      <c r="G44" s="10">
        <f>IF(OR(684759.39703="",2298.40606="",3221.52807=""),"-",(3221.52807-2298.40606)/684759.39703*100)</f>
        <v>0.13480968848384525</v>
      </c>
      <c r="H44" s="10">
        <f>IF(OR(1062650.29445="",4583.44203="",3221.52807=""),"-",(4583.44203-3221.52807)/1062650.29445*100)</f>
        <v>0.12816200843428849</v>
      </c>
      <c r="I44" s="13"/>
    </row>
    <row r="45" spans="1:9" x14ac:dyDescent="0.25">
      <c r="A45" s="13" t="s">
        <v>240</v>
      </c>
      <c r="B45" s="14" t="s">
        <v>153</v>
      </c>
      <c r="C45" s="10">
        <v>265.37205999999998</v>
      </c>
      <c r="D45" s="10" t="s">
        <v>325</v>
      </c>
      <c r="E45" s="10">
        <f>IF(71.21796="","-",71.21796/1062650.29445*100)</f>
        <v>6.7019188129864076E-3</v>
      </c>
      <c r="F45" s="10">
        <f>IF(265.37206="","-",265.37206/1075156.27333*100)</f>
        <v>2.4682184960711177E-2</v>
      </c>
      <c r="G45" s="10">
        <f>IF(OR(684759.39703="",46.68694="",71.21796=""),"-",(71.21796-46.68694)/684759.39703*100)</f>
        <v>3.5824291139921775E-3</v>
      </c>
      <c r="H45" s="10">
        <f>IF(OR(1062650.29445="",265.37206="",71.21796=""),"-",(265.37206-71.21796)/1062650.29445*100)</f>
        <v>1.8270742596508578E-2</v>
      </c>
      <c r="I45" s="13"/>
    </row>
    <row r="46" spans="1:9" x14ac:dyDescent="0.25">
      <c r="A46" s="13" t="s">
        <v>241</v>
      </c>
      <c r="B46" s="14" t="s">
        <v>25</v>
      </c>
      <c r="C46" s="10">
        <v>5165.1148999999996</v>
      </c>
      <c r="D46" s="10" t="s">
        <v>404</v>
      </c>
      <c r="E46" s="10">
        <f>IF(756.20113="","-",756.20113/1062650.29445*100)</f>
        <v>7.1161804965328687E-2</v>
      </c>
      <c r="F46" s="10">
        <f>IF(5165.1149="","-",5165.1149/1075156.27333*100)</f>
        <v>0.4804059677764313</v>
      </c>
      <c r="G46" s="10">
        <f>IF(OR(684759.39703="",345.69904="",756.20113=""),"-",(756.20113-345.69904)/684759.39703*100)</f>
        <v>5.9948368986313519E-2</v>
      </c>
      <c r="H46" s="10">
        <f>IF(OR(1062650.29445="",5165.1149="",756.20113=""),"-",(5165.1149-756.20113)/1062650.29445*100)</f>
        <v>0.4148979013158734</v>
      </c>
      <c r="I46" s="13"/>
    </row>
    <row r="47" spans="1:9" x14ac:dyDescent="0.25">
      <c r="A47" s="13" t="s">
        <v>242</v>
      </c>
      <c r="B47" s="14" t="s">
        <v>26</v>
      </c>
      <c r="C47" s="10">
        <v>1554.32068</v>
      </c>
      <c r="D47" s="10">
        <f>IF(OR(1421.20772="",1554.32068=""),"-",1554.32068/1421.20772*100)</f>
        <v>109.36618610543431</v>
      </c>
      <c r="E47" s="10">
        <f>IF(1421.20772="","-",1421.20772/1062650.29445*100)</f>
        <v>0.1337418083279768</v>
      </c>
      <c r="F47" s="10">
        <f>IF(1554.32068="","-",1554.32068/1075156.27333*100)</f>
        <v>0.1445669544563899</v>
      </c>
      <c r="G47" s="10">
        <f>IF(OR(684759.39703="",909.99389="",1421.20772=""),"-",(1421.20772-909.99389)/684759.39703*100)</f>
        <v>7.4655978759442035E-2</v>
      </c>
      <c r="H47" s="10">
        <f>IF(OR(1062650.29445="",1554.32068="",1421.20772=""),"-",(1554.32068-1421.20772)/1062650.29445*100)</f>
        <v>1.2526506668771566E-2</v>
      </c>
      <c r="I47" s="13"/>
    </row>
    <row r="48" spans="1:9" x14ac:dyDescent="0.25">
      <c r="A48" s="13" t="s">
        <v>243</v>
      </c>
      <c r="B48" s="14" t="s">
        <v>154</v>
      </c>
      <c r="C48" s="10">
        <v>1752.3668299999999</v>
      </c>
      <c r="D48" s="10">
        <f>IF(OR(1298.05517="",1752.36683=""),"-",1752.36683/1298.05517*100)</f>
        <v>134.99941069530965</v>
      </c>
      <c r="E48" s="10">
        <f>IF(1298.05517="","-",1298.05517/1062650.29445*100)</f>
        <v>0.12215261942517407</v>
      </c>
      <c r="F48" s="10">
        <f>IF(1752.36683="","-",1752.36683/1075156.27333*100)</f>
        <v>0.1629871743735008</v>
      </c>
      <c r="G48" s="10">
        <f>IF(OR(684759.39703="",2013.37828="",1298.05517=""),"-",(1298.05517-2013.37828)/684759.39703*100)</f>
        <v>-0.10446342366421892</v>
      </c>
      <c r="H48" s="10">
        <f>IF(OR(1062650.29445="",1752.36683="",1298.05517=""),"-",(1752.36683-1298.05517)/1062650.29445*100)</f>
        <v>4.2752696947695262E-2</v>
      </c>
      <c r="I48" s="11"/>
    </row>
    <row r="49" spans="1:9" ht="25.5" x14ac:dyDescent="0.25">
      <c r="A49" s="11" t="s">
        <v>244</v>
      </c>
      <c r="B49" s="12" t="s">
        <v>307</v>
      </c>
      <c r="C49" s="9">
        <v>76843.125549999997</v>
      </c>
      <c r="D49" s="9">
        <f>IF(72747.28792="","-",76843.12555/72747.28792*100)</f>
        <v>105.63022725260105</v>
      </c>
      <c r="E49" s="9">
        <f>IF(72747.28792="","-",72747.28792/1062650.29445*100)</f>
        <v>6.8458352009070023</v>
      </c>
      <c r="F49" s="9">
        <f>IF(76843.12555="","-",76843.12555/1075156.27333*100)</f>
        <v>7.1471587392593277</v>
      </c>
      <c r="G49" s="9">
        <f>IF(684759.39703="","-",(72747.28792-49912.4001)/684759.39703*100)</f>
        <v>3.3347315741911001</v>
      </c>
      <c r="H49" s="9">
        <f>IF(1062650.29445="","-",(76843.12555-72747.28792)/1062650.29445*100)</f>
        <v>0.38543607914962219</v>
      </c>
      <c r="I49" s="13"/>
    </row>
    <row r="50" spans="1:9" x14ac:dyDescent="0.25">
      <c r="A50" s="13" t="s">
        <v>245</v>
      </c>
      <c r="B50" s="14" t="s">
        <v>155</v>
      </c>
      <c r="C50" s="10">
        <v>235.15107</v>
      </c>
      <c r="D50" s="10">
        <f>IF(OR(456.63317="",235.15107=""),"-",235.15107/456.63317*100)</f>
        <v>51.496712339140849</v>
      </c>
      <c r="E50" s="10">
        <f>IF(456.63317="","-",456.63317/1062650.29445*100)</f>
        <v>4.2971161103977432E-2</v>
      </c>
      <c r="F50" s="10">
        <f>IF(235.15107="","-",235.15107/1075156.27333*100)</f>
        <v>2.1871338691228991E-2</v>
      </c>
      <c r="G50" s="10">
        <f>IF(OR(684759.39703="",322.37899="",456.63317=""),"-",(456.63317-322.37899)/684759.39703*100)</f>
        <v>1.960603689154166E-2</v>
      </c>
      <c r="H50" s="10">
        <f>IF(OR(1062650.29445="",235.15107="",456.63317=""),"-",(235.15107-456.63317)/1062650.29445*100)</f>
        <v>-2.0842425881473392E-2</v>
      </c>
      <c r="I50" s="13"/>
    </row>
    <row r="51" spans="1:9" x14ac:dyDescent="0.25">
      <c r="A51" s="13" t="s">
        <v>246</v>
      </c>
      <c r="B51" s="14" t="s">
        <v>27</v>
      </c>
      <c r="C51" s="10">
        <v>894.22113999999999</v>
      </c>
      <c r="D51" s="10" t="s">
        <v>405</v>
      </c>
      <c r="E51" s="10">
        <f>IF(148.55338="","-",148.55338/1062650.29445*100)</f>
        <v>1.3979517135210258E-2</v>
      </c>
      <c r="F51" s="10">
        <f>IF(894.22114="","-",894.22114/1075156.27333*100)</f>
        <v>8.3171271207895831E-2</v>
      </c>
      <c r="G51" s="10">
        <f>IF(OR(684759.39703="",539.0773="",148.55338=""),"-",(148.55338-539.0773)/684759.39703*100)</f>
        <v>-5.7030823044388362E-2</v>
      </c>
      <c r="H51" s="10">
        <f>IF(OR(1062650.29445="",894.22114="",148.55338=""),"-",(894.22114-148.55338)/1062650.29445*100)</f>
        <v>7.0170569179199088E-2</v>
      </c>
      <c r="I51" s="13"/>
    </row>
    <row r="52" spans="1:9" ht="16.5" customHeight="1" x14ac:dyDescent="0.25">
      <c r="A52" s="13" t="s">
        <v>247</v>
      </c>
      <c r="B52" s="14" t="s">
        <v>156</v>
      </c>
      <c r="C52" s="10">
        <v>6903.5353500000001</v>
      </c>
      <c r="D52" s="10">
        <f>IF(OR(7460.26748="",6903.53535=""),"-",6903.53535/7460.26748*100)</f>
        <v>92.537370389298687</v>
      </c>
      <c r="E52" s="10">
        <f>IF(7460.26748="","-",7460.26748/1062650.29445*100)</f>
        <v>0.70204351506449636</v>
      </c>
      <c r="F52" s="10">
        <f>IF(6903.53535="","-",6903.53535/1075156.27333*100)</f>
        <v>0.6420959930427792</v>
      </c>
      <c r="G52" s="10">
        <f>IF(OR(684759.39703="",5680.1599="",7460.26748=""),"-",(7460.26748-5680.1599)/684759.39703*100)</f>
        <v>0.25996102977496088</v>
      </c>
      <c r="H52" s="10">
        <f>IF(OR(1062650.29445="",6903.53535="",7460.26748=""),"-",(6903.53535-7460.26748)/1062650.29445*100)</f>
        <v>-5.2390907235211399E-2</v>
      </c>
      <c r="I52" s="13"/>
    </row>
    <row r="53" spans="1:9" ht="25.5" x14ac:dyDescent="0.25">
      <c r="A53" s="13" t="s">
        <v>248</v>
      </c>
      <c r="B53" s="14" t="s">
        <v>157</v>
      </c>
      <c r="C53" s="10">
        <v>5263.6128500000004</v>
      </c>
      <c r="D53" s="10">
        <f>IF(OR(4345.05595="",5263.61285=""),"-",5263.61285/4345.05595*100)</f>
        <v>121.14027783692866</v>
      </c>
      <c r="E53" s="10">
        <f>IF(4345.05595="","-",4345.05595/1062650.29445*100)</f>
        <v>0.40888860358796475</v>
      </c>
      <c r="F53" s="10">
        <f>IF(5263.61285="","-",5263.61285/1075156.27333*100)</f>
        <v>0.48956723599792723</v>
      </c>
      <c r="G53" s="10">
        <f>IF(OR(684759.39703="",2311.43003="",4345.05595=""),"-",(4345.05595-2311.43003)/684759.39703*100)</f>
        <v>0.29698401056202006</v>
      </c>
      <c r="H53" s="10">
        <f>IF(OR(1062650.29445="",5263.61285="",4345.05595=""),"-",(5263.61285-4345.05595)/1062650.29445*100)</f>
        <v>8.6440186842033626E-2</v>
      </c>
      <c r="I53" s="13"/>
    </row>
    <row r="54" spans="1:9" ht="15.75" customHeight="1" x14ac:dyDescent="0.25">
      <c r="A54" s="13" t="s">
        <v>249</v>
      </c>
      <c r="B54" s="14" t="s">
        <v>158</v>
      </c>
      <c r="C54" s="10">
        <v>21381.957920000001</v>
      </c>
      <c r="D54" s="10">
        <f>IF(OR(24104.77367="",21381.95792=""),"-",21381.95792/24104.77367*100)</f>
        <v>88.704246771714253</v>
      </c>
      <c r="E54" s="10">
        <f>IF(24104.77367="","-",24104.77367/1062650.29445*100)</f>
        <v>2.2683637124926408</v>
      </c>
      <c r="F54" s="10">
        <f>IF(21381.95792="","-",21381.95792/1075156.27333*100)</f>
        <v>1.9887302386075734</v>
      </c>
      <c r="G54" s="10">
        <f>IF(OR(684759.39703="",19607.85231="",24104.77367=""),"-",(24104.77367-19607.85231)/684759.39703*100)</f>
        <v>0.65671553826124207</v>
      </c>
      <c r="H54" s="10">
        <f>IF(OR(1062650.29445="",21381.95792="",24104.77367=""),"-",(21381.95792-24104.77367)/1062650.29445*100)</f>
        <v>-0.25622876728314997</v>
      </c>
      <c r="I54" s="13"/>
    </row>
    <row r="55" spans="1:9" x14ac:dyDescent="0.25">
      <c r="A55" s="13" t="s">
        <v>250</v>
      </c>
      <c r="B55" s="14" t="s">
        <v>28</v>
      </c>
      <c r="C55" s="10">
        <v>31382.11508</v>
      </c>
      <c r="D55" s="10">
        <f>IF(OR(21266.56303="",31382.11508=""),"-",31382.11508/21266.56303*100)</f>
        <v>147.56552356735003</v>
      </c>
      <c r="E55" s="10">
        <f>IF(21266.56303="","-",21266.56303/1062650.29445*100)</f>
        <v>2.0012757857472785</v>
      </c>
      <c r="F55" s="10">
        <f>IF(31382.11508="","-",31382.11508/1075156.27333*100)</f>
        <v>2.9188422054035508</v>
      </c>
      <c r="G55" s="10">
        <f>IF(OR(684759.39703="",11873.58043="",21266.56303=""),"-",(21266.56303-11873.58043)/684759.39703*100)</f>
        <v>1.3717201458994341</v>
      </c>
      <c r="H55" s="10">
        <f>IF(OR(1062650.29445="",31382.11508="",21266.56303=""),"-",(31382.11508-21266.56303)/1062650.29445*100)</f>
        <v>0.95191730551729103</v>
      </c>
      <c r="I55" s="13"/>
    </row>
    <row r="56" spans="1:9" x14ac:dyDescent="0.25">
      <c r="A56" s="13" t="s">
        <v>251</v>
      </c>
      <c r="B56" s="14" t="s">
        <v>159</v>
      </c>
      <c r="C56" s="10">
        <v>2565.2497400000002</v>
      </c>
      <c r="D56" s="10">
        <f>IF(OR(3133.80566="",2565.24974=""),"-",2565.24974/3133.80566*100)</f>
        <v>81.857333169792028</v>
      </c>
      <c r="E56" s="10">
        <f>IF(3133.80566="","-",3133.80566/1062650.29445*100)</f>
        <v>0.2949046997273902</v>
      </c>
      <c r="F56" s="10">
        <f>IF(2565.24974="","-",2565.24974/1075156.27333*100)</f>
        <v>0.2385931983687215</v>
      </c>
      <c r="G56" s="10">
        <f>IF(OR(684759.39703="",1403.7021="",3133.80566=""),"-",(3133.80566-1403.7021)/684759.39703*100)</f>
        <v>0.25265860789993688</v>
      </c>
      <c r="H56" s="10">
        <f>IF(OR(1062650.29445="",2565.24974="",3133.80566=""),"-",(2565.24974-3133.80566)/1062650.29445*100)</f>
        <v>-5.3503577138165614E-2</v>
      </c>
      <c r="I56" s="13"/>
    </row>
    <row r="57" spans="1:9" x14ac:dyDescent="0.25">
      <c r="A57" s="13" t="s">
        <v>252</v>
      </c>
      <c r="B57" s="14" t="s">
        <v>29</v>
      </c>
      <c r="C57" s="10">
        <v>337.75743999999997</v>
      </c>
      <c r="D57" s="10">
        <f>IF(OR(799.81055="",337.75744=""),"-",337.75744/799.81055*100)</f>
        <v>42.229680516217243</v>
      </c>
      <c r="E57" s="10">
        <f>IF(799.81055="","-",799.81055/1062650.29445*100)</f>
        <v>7.5265640463023739E-2</v>
      </c>
      <c r="F57" s="10">
        <f>IF(337.75744="","-",337.75744/1075156.27333*100)</f>
        <v>3.1414729967941257E-2</v>
      </c>
      <c r="G57" s="10">
        <f>IF(OR(684759.39703="",236.69343="",799.81055=""),"-",(799.81055-236.69343)/684759.39703*100)</f>
        <v>8.2235763750362859E-2</v>
      </c>
      <c r="H57" s="10">
        <f>IF(OR(1062650.29445="",337.75744="",799.81055=""),"-",(337.75744-799.81055)/1062650.29445*100)</f>
        <v>-4.3481200957004078E-2</v>
      </c>
      <c r="I57" s="13"/>
    </row>
    <row r="58" spans="1:9" x14ac:dyDescent="0.25">
      <c r="A58" s="13" t="s">
        <v>253</v>
      </c>
      <c r="B58" s="14" t="s">
        <v>30</v>
      </c>
      <c r="C58" s="10">
        <v>7879.5249599999997</v>
      </c>
      <c r="D58" s="10">
        <f>IF(OR(11031.82503="",7879.52496=""),"-",7879.52496/11031.82503*100)</f>
        <v>71.425398232589615</v>
      </c>
      <c r="E58" s="10">
        <f>IF(11031.82503="","-",11031.82503/1062650.29445*100)</f>
        <v>1.0381425655850203</v>
      </c>
      <c r="F58" s="10">
        <f>IF(7879.52496="","-",7879.52496/1075156.27333*100)</f>
        <v>0.7328725279717101</v>
      </c>
      <c r="G58" s="10">
        <f>IF(OR(684759.39703="",7937.52561="",11031.82503=""),"-",(11031.82503-7937.52561)/684759.39703*100)</f>
        <v>0.45188126419598973</v>
      </c>
      <c r="H58" s="10">
        <f>IF(OR(1062650.29445="",7879.52496="",11031.82503=""),"-",(7879.52496-11031.82503)/1062650.29445*100)</f>
        <v>-0.29664510389389659</v>
      </c>
      <c r="I58" s="11"/>
    </row>
    <row r="59" spans="1:9" ht="15" customHeight="1" x14ac:dyDescent="0.25">
      <c r="A59" s="11" t="s">
        <v>254</v>
      </c>
      <c r="B59" s="12" t="s">
        <v>160</v>
      </c>
      <c r="C59" s="9">
        <v>211399.09168000001</v>
      </c>
      <c r="D59" s="9">
        <f>IF(167336.59307="","-",211399.09168/167336.59307*100)</f>
        <v>126.33165753026168</v>
      </c>
      <c r="E59" s="9">
        <f>IF(167336.59307="","-",167336.59307/1062650.29445*100)</f>
        <v>15.747098922756056</v>
      </c>
      <c r="F59" s="9">
        <f>IF(211399.09168="","-",211399.09168/1075156.27333*100)</f>
        <v>19.662173483418336</v>
      </c>
      <c r="G59" s="9">
        <f>IF(684759.39703="","-",(167336.59307-173981.93111)/684759.39703*100)</f>
        <v>-0.9704632121622222</v>
      </c>
      <c r="H59" s="9">
        <f>IF(1062650.29445="","-",(211399.09168-167336.59307)/1062650.29445*100)</f>
        <v>4.146472159291652</v>
      </c>
      <c r="I59" s="13"/>
    </row>
    <row r="60" spans="1:9" ht="25.5" x14ac:dyDescent="0.25">
      <c r="A60" s="13" t="s">
        <v>255</v>
      </c>
      <c r="B60" s="14" t="s">
        <v>161</v>
      </c>
      <c r="C60" s="10">
        <v>2155.73965</v>
      </c>
      <c r="D60" s="10" t="s">
        <v>342</v>
      </c>
      <c r="E60" s="10">
        <f>IF(574.6113="","-",574.6113/1062650.29445*100)</f>
        <v>5.4073414650245205E-2</v>
      </c>
      <c r="F60" s="10">
        <f>IF(2155.73965="","-",2155.73965/1075156.27333*100)</f>
        <v>0.2005047734431378</v>
      </c>
      <c r="G60" s="10">
        <f>IF(OR(684759.39703="",454.27574="",574.6113=""),"-",(574.6113-454.27574)/684759.39703*100)</f>
        <v>1.7573407611772871E-2</v>
      </c>
      <c r="H60" s="10">
        <f>IF(OR(1062650.29445="",2155.73965="",574.6113=""),"-",(2155.73965-574.6113)/1062650.29445*100)</f>
        <v>0.14879103297273827</v>
      </c>
      <c r="I60" s="13"/>
    </row>
    <row r="61" spans="1:9" ht="25.5" x14ac:dyDescent="0.25">
      <c r="A61" s="13" t="s">
        <v>256</v>
      </c>
      <c r="B61" s="14" t="s">
        <v>162</v>
      </c>
      <c r="C61" s="10">
        <v>6787.7149499999996</v>
      </c>
      <c r="D61" s="10" t="s">
        <v>303</v>
      </c>
      <c r="E61" s="10">
        <f>IF(2161.69631="","-",2161.69631/1062650.29445*100)</f>
        <v>0.20342499515504653</v>
      </c>
      <c r="F61" s="10">
        <f>IF(6787.71495="","-",6787.71495/1075156.27333*100)</f>
        <v>0.63132356833829606</v>
      </c>
      <c r="G61" s="10">
        <f>IF(OR(684759.39703="",4076.25="",2161.69631=""),"-",(2161.69631-4076.25)/684759.39703*100)</f>
        <v>-0.27959509548959455</v>
      </c>
      <c r="H61" s="10">
        <f>IF(OR(1062650.29445="",6787.71495="",2161.69631=""),"-",(6787.71495-2161.69631)/1062650.29445*100)</f>
        <v>0.4353284108761582</v>
      </c>
      <c r="I61" s="13"/>
    </row>
    <row r="62" spans="1:9" ht="26.25" customHeight="1" x14ac:dyDescent="0.25">
      <c r="A62" s="13" t="s">
        <v>257</v>
      </c>
      <c r="B62" s="14" t="s">
        <v>163</v>
      </c>
      <c r="C62" s="10">
        <v>1157.31872</v>
      </c>
      <c r="D62" s="10">
        <f>IF(OR(760.10282="",1157.31872=""),"-",1157.31872/760.10282*100)</f>
        <v>152.25818001832963</v>
      </c>
      <c r="E62" s="10">
        <f>IF(760.10282="","-",760.10282/1062650.29445*100)</f>
        <v>7.1528970910736858E-2</v>
      </c>
      <c r="F62" s="10">
        <f>IF(1157.31872="","-",1157.31872/1075156.27333*100)</f>
        <v>0.10764190738668383</v>
      </c>
      <c r="G62" s="10">
        <f>IF(OR(684759.39703="",1502.96818="",760.10282=""),"-",(760.10282-1502.96818)/684759.39703*100)</f>
        <v>-0.10848560285875923</v>
      </c>
      <c r="H62" s="10">
        <f>IF(OR(1062650.29445="",1157.31872="",760.10282=""),"-",(1157.31872-760.10282)/1062650.29445*100)</f>
        <v>3.7379738383791501E-2</v>
      </c>
      <c r="I62" s="13"/>
    </row>
    <row r="63" spans="1:9" ht="38.25" x14ac:dyDescent="0.25">
      <c r="A63" s="13" t="s">
        <v>258</v>
      </c>
      <c r="B63" s="14" t="s">
        <v>164</v>
      </c>
      <c r="C63" s="10">
        <v>9772.1555800000006</v>
      </c>
      <c r="D63" s="10">
        <f>IF(OR(6759.50288="",9772.15558=""),"-",9772.15558/6759.50288*100)</f>
        <v>144.5691458896161</v>
      </c>
      <c r="E63" s="10">
        <f>IF(6759.50288="","-",6759.50288/1062650.29445*100)</f>
        <v>0.63609852792621135</v>
      </c>
      <c r="F63" s="10">
        <f>IF(9772.15558="","-",9772.15558/1075156.27333*100)</f>
        <v>0.90890560027459488</v>
      </c>
      <c r="G63" s="10">
        <f>IF(OR(684759.39703="",5897.05094="",6759.50288=""),"-",(6759.50288-5897.05094)/684759.39703*100)</f>
        <v>0.12594963190584954</v>
      </c>
      <c r="H63" s="10">
        <f>IF(OR(1062650.29445="",9772.15558="",6759.50288=""),"-",(9772.15558-6759.50288)/1062650.29445*100)</f>
        <v>0.28350368091313344</v>
      </c>
      <c r="I63" s="13"/>
    </row>
    <row r="64" spans="1:9" ht="25.5" x14ac:dyDescent="0.25">
      <c r="A64" s="13" t="s">
        <v>259</v>
      </c>
      <c r="B64" s="14" t="s">
        <v>165</v>
      </c>
      <c r="C64" s="10">
        <v>3310.94029</v>
      </c>
      <c r="D64" s="10" t="s">
        <v>326</v>
      </c>
      <c r="E64" s="10">
        <f>IF(623.79342="","-",623.79342/1062650.29445*100)</f>
        <v>5.8701665379282578E-2</v>
      </c>
      <c r="F64" s="10">
        <f>IF(3310.94029="","-",3310.94029/1075156.27333*100)</f>
        <v>0.30794967877044294</v>
      </c>
      <c r="G64" s="10">
        <f>IF(OR(684759.39703="",530.769="",623.79342=""),"-",(623.79342-530.769)/684759.39703*100)</f>
        <v>1.3584978958079851E-2</v>
      </c>
      <c r="H64" s="10">
        <f>IF(OR(1062650.29445="",3310.94029="",623.79342=""),"-",(3310.94029-623.79342)/1062650.29445*100)</f>
        <v>0.25287217102695081</v>
      </c>
      <c r="I64" s="13"/>
    </row>
    <row r="65" spans="1:9" ht="38.25" x14ac:dyDescent="0.25">
      <c r="A65" s="13" t="s">
        <v>260</v>
      </c>
      <c r="B65" s="14" t="s">
        <v>166</v>
      </c>
      <c r="C65" s="10">
        <v>791.43802000000005</v>
      </c>
      <c r="D65" s="10" t="s">
        <v>101</v>
      </c>
      <c r="E65" s="10">
        <f>IF(414.33696="","-",414.33696/1062650.29445*100)</f>
        <v>3.8990904360916775E-2</v>
      </c>
      <c r="F65" s="10">
        <f>IF(791.43802="","-",791.43802/1075156.27333*100)</f>
        <v>7.3611440460533153E-2</v>
      </c>
      <c r="G65" s="10">
        <f>IF(OR(684759.39703="",817.61694="",414.33696=""),"-",(414.33696-817.61694)/684759.39703*100)</f>
        <v>-5.8893675902680881E-2</v>
      </c>
      <c r="H65" s="10">
        <f>IF(OR(1062650.29445="",791.43802="",414.33696=""),"-",(791.43802-414.33696)/1062650.29445*100)</f>
        <v>3.5486844728648735E-2</v>
      </c>
      <c r="I65" s="13"/>
    </row>
    <row r="66" spans="1:9" ht="39.75" customHeight="1" x14ac:dyDescent="0.25">
      <c r="A66" s="13" t="s">
        <v>261</v>
      </c>
      <c r="B66" s="14" t="s">
        <v>167</v>
      </c>
      <c r="C66" s="10">
        <v>159585.11394000001</v>
      </c>
      <c r="D66" s="10">
        <f>IF(OR(132865.53224="",159585.11394=""),"-",159585.11394/132865.53224*100)</f>
        <v>120.11024322827039</v>
      </c>
      <c r="E66" s="10">
        <f>IF(132865.53224="","-",132865.53224/1062650.29445*100)</f>
        <v>12.503222643792494</v>
      </c>
      <c r="F66" s="10">
        <f>IF(159585.11394="","-",159585.11394/1075156.27333*100)</f>
        <v>14.842969147706233</v>
      </c>
      <c r="G66" s="10">
        <f>IF(OR(684759.39703="",148790.76="",132865.53224=""),"-",(132865.53224-148790.76)/684759.39703*100)</f>
        <v>-2.3256676475083569</v>
      </c>
      <c r="H66" s="10">
        <f>IF(OR(1062650.29445="",159585.11394="",132865.53224=""),"-",(159585.11394-132865.53224)/1062650.29445*100)</f>
        <v>2.5144284850388496</v>
      </c>
      <c r="I66" s="13"/>
    </row>
    <row r="67" spans="1:9" ht="25.5" x14ac:dyDescent="0.25">
      <c r="A67" s="13" t="s">
        <v>262</v>
      </c>
      <c r="B67" s="14" t="s">
        <v>168</v>
      </c>
      <c r="C67" s="10">
        <v>24018.917939999999</v>
      </c>
      <c r="D67" s="10">
        <f>IF(OR(23119.14573="",24018.91794=""),"-",24018.91794/23119.14573*100)</f>
        <v>103.8918921162058</v>
      </c>
      <c r="E67" s="10">
        <f>IF(23119.14573="","-",23119.14573/1062650.29445*100)</f>
        <v>2.1756118499892634</v>
      </c>
      <c r="F67" s="10">
        <f>IF(24018.91794="","-",24018.91794/1075156.27333*100)</f>
        <v>2.2339931911114679</v>
      </c>
      <c r="G67" s="10">
        <f>IF(OR(684759.39703="",11644.30447="",23119.14573=""),"-",(23119.14573-11644.30447)/684759.39703*100)</f>
        <v>1.6757479064573213</v>
      </c>
      <c r="H67" s="10">
        <f>IF(OR(1062650.29445="",24018.91794="",23119.14573=""),"-",(24018.91794-23119.14573)/1062650.29445*100)</f>
        <v>8.4672466068971247E-2</v>
      </c>
      <c r="I67" s="13"/>
    </row>
    <row r="68" spans="1:9" x14ac:dyDescent="0.25">
      <c r="A68" s="13" t="s">
        <v>263</v>
      </c>
      <c r="B68" s="14" t="s">
        <v>31</v>
      </c>
      <c r="C68" s="10">
        <v>3819.7525900000001</v>
      </c>
      <c r="D68" s="10" t="s">
        <v>406</v>
      </c>
      <c r="E68" s="10">
        <f>IF(57.87141="","-",57.87141/1062650.29445*100)</f>
        <v>5.44595059185983E-3</v>
      </c>
      <c r="F68" s="10">
        <f>IF(3819.75259="","-",3819.75259/1075156.27333*100)</f>
        <v>0.3552741759269441</v>
      </c>
      <c r="G68" s="10">
        <f>IF(OR(684759.39703="",267.93584="",57.87141=""),"-",(57.87141-267.93584)/684759.39703*100)</f>
        <v>-3.0677115335855237E-2</v>
      </c>
      <c r="H68" s="10">
        <f>IF(OR(1062650.29445="",3819.75259="",57.87141=""),"-",(3819.75259-57.87141)/1062650.29445*100)</f>
        <v>0.35400932928241002</v>
      </c>
      <c r="I68" s="11"/>
    </row>
    <row r="69" spans="1:9" x14ac:dyDescent="0.25">
      <c r="A69" s="11" t="s">
        <v>264</v>
      </c>
      <c r="B69" s="12" t="s">
        <v>32</v>
      </c>
      <c r="C69" s="9">
        <v>158129.42946000001</v>
      </c>
      <c r="D69" s="9">
        <f>IF(149557.34533="","-",158129.42946/149557.34533*100)</f>
        <v>105.73163699254329</v>
      </c>
      <c r="E69" s="9">
        <f>IF(149557.34533="","-",149557.34533/1062650.29445*100)</f>
        <v>14.073994625617356</v>
      </c>
      <c r="F69" s="9">
        <f>IF(158129.42946="","-",158129.42946/1075156.27333*100)</f>
        <v>14.707576320067195</v>
      </c>
      <c r="G69" s="9">
        <f>IF(684759.39703="","-",(149557.34533-140426.98201)/684759.39703*100)</f>
        <v>1.3333680939029149</v>
      </c>
      <c r="H69" s="9">
        <f>IF(1062650.29445="","-",(158129.42946-149557.34533)/1062650.29445*100)</f>
        <v>0.8066702822904398</v>
      </c>
      <c r="I69" s="13"/>
    </row>
    <row r="70" spans="1:9" ht="38.25" x14ac:dyDescent="0.25">
      <c r="A70" s="13" t="s">
        <v>265</v>
      </c>
      <c r="B70" s="14" t="s">
        <v>194</v>
      </c>
      <c r="C70" s="10">
        <v>4029.7466599999998</v>
      </c>
      <c r="D70" s="10">
        <f>IF(OR(4713.19055="",4029.74666=""),"-",4029.74666/4713.19055*100)</f>
        <v>85.499336749709798</v>
      </c>
      <c r="E70" s="10">
        <f>IF(4713.19055="","-",4713.19055/1062650.29445*100)</f>
        <v>0.44353166555507567</v>
      </c>
      <c r="F70" s="10">
        <f>IF(4029.74666="","-",4029.74666/1075156.27333*100)</f>
        <v>0.37480566871632259</v>
      </c>
      <c r="G70" s="10">
        <f>IF(OR(684759.39703="",4103.77114="",4713.19055=""),"-",(4713.19055-4103.77114)/684759.39703*100)</f>
        <v>8.8997597206147014E-2</v>
      </c>
      <c r="H70" s="10">
        <f>IF(OR(1062650.29445="",4029.74666="",4713.19055=""),"-",(4029.74666-4713.19055)/1062650.29445*100)</f>
        <v>-6.4315033230544882E-2</v>
      </c>
      <c r="I70" s="13"/>
    </row>
    <row r="71" spans="1:9" x14ac:dyDescent="0.25">
      <c r="A71" s="13" t="s">
        <v>266</v>
      </c>
      <c r="B71" s="14" t="s">
        <v>169</v>
      </c>
      <c r="C71" s="10">
        <v>38579.387869999999</v>
      </c>
      <c r="D71" s="10">
        <f>IF(OR(39056.00879="",38579.38787=""),"-",38579.38787/39056.00879*100)</f>
        <v>98.779647652777996</v>
      </c>
      <c r="E71" s="10">
        <f>IF(39056.00879="","-",39056.00879/1062650.29445*100)</f>
        <v>3.6753397607831437</v>
      </c>
      <c r="F71" s="10">
        <f>IF(38579.38787="","-",38579.38787/1075156.27333*100)</f>
        <v>3.588258639882274</v>
      </c>
      <c r="G71" s="10">
        <f>IF(OR(684759.39703="",44031.07452="",39056.00879=""),"-",(39056.00879-44031.07452)/684759.39703*100)</f>
        <v>-0.7265421623388163</v>
      </c>
      <c r="H71" s="10">
        <f>IF(OR(1062650.29445="",38579.38787="",39056.00879=""),"-",(38579.38787-39056.00879)/1062650.29445*100)</f>
        <v>-4.4852095039101057E-2</v>
      </c>
      <c r="I71" s="13"/>
    </row>
    <row r="72" spans="1:9" x14ac:dyDescent="0.25">
      <c r="A72" s="13" t="s">
        <v>267</v>
      </c>
      <c r="B72" s="14" t="s">
        <v>170</v>
      </c>
      <c r="C72" s="10">
        <v>3384.6959900000002</v>
      </c>
      <c r="D72" s="10">
        <f>IF(OR(3450.91071="",3384.69599=""),"-",3384.69599/3450.91071*100)</f>
        <v>98.081239256404871</v>
      </c>
      <c r="E72" s="10">
        <f>IF(3450.91071="","-",3450.91071/1062650.29445*100)</f>
        <v>0.32474565979263209</v>
      </c>
      <c r="F72" s="10">
        <f>IF(3384.69599="","-",3384.69599/1075156.27333*100)</f>
        <v>0.31480967687765404</v>
      </c>
      <c r="G72" s="10">
        <f>IF(OR(684759.39703="",3628.42049="",3450.91071=""),"-",(3450.91071-3628.42049)/684759.39703*100)</f>
        <v>-2.5922941805532167E-2</v>
      </c>
      <c r="H72" s="10">
        <f>IF(OR(1062650.29445="",3384.69599="",3450.91071=""),"-",(3384.69599-3450.91071)/1062650.29445*100)</f>
        <v>-6.2310922366300148E-3</v>
      </c>
      <c r="I72" s="13"/>
    </row>
    <row r="73" spans="1:9" x14ac:dyDescent="0.25">
      <c r="A73" s="13" t="s">
        <v>268</v>
      </c>
      <c r="B73" s="14" t="s">
        <v>171</v>
      </c>
      <c r="C73" s="10">
        <v>72130.369170000005</v>
      </c>
      <c r="D73" s="10">
        <f>IF(OR(69296.90318="",72130.36917=""),"-",72130.36917/69296.90318*100)</f>
        <v>104.08887823261024</v>
      </c>
      <c r="E73" s="10">
        <f>IF(69296.90318="","-",69296.90318/1062650.29445*100)</f>
        <v>6.521139037171797</v>
      </c>
      <c r="F73" s="10">
        <f>IF(72130.36917="","-",72130.36917/1075156.27333*100)</f>
        <v>6.7088265175253152</v>
      </c>
      <c r="G73" s="10">
        <f>IF(OR(684759.39703="",59528.3945999999="",69296.90318=""),"-",(69296.90318-59528.3945999999)/684759.39703*100)</f>
        <v>1.4265607193371788</v>
      </c>
      <c r="H73" s="10">
        <f>IF(OR(1062650.29445="",72130.36917="",69296.90318=""),"-",(72130.36917-69296.90318)/1062650.29445*100)</f>
        <v>0.26664143460916645</v>
      </c>
      <c r="I73" s="13"/>
    </row>
    <row r="74" spans="1:9" x14ac:dyDescent="0.25">
      <c r="A74" s="13" t="s">
        <v>269</v>
      </c>
      <c r="B74" s="14" t="s">
        <v>172</v>
      </c>
      <c r="C74" s="10">
        <v>8654.8920199999993</v>
      </c>
      <c r="D74" s="10">
        <f>IF(OR(9673.35526="",8654.89202=""),"-",8654.89202/9673.35526*100)</f>
        <v>89.471458324171991</v>
      </c>
      <c r="E74" s="10">
        <f>IF(9673.35526="","-",9673.35526/1062650.29445*100)</f>
        <v>0.91030467036257467</v>
      </c>
      <c r="F74" s="10">
        <f>IF(8654.89202="","-",8654.89202/1075156.27333*100)</f>
        <v>0.80498921270243418</v>
      </c>
      <c r="G74" s="10">
        <f>IF(OR(684759.39703="",8451.95335="",9673.35526=""),"-",(9673.35526-8451.95335)/684759.39703*100)</f>
        <v>0.17836949960782936</v>
      </c>
      <c r="H74" s="10">
        <f>IF(OR(1062650.29445="",8654.89202="",9673.35526=""),"-",(8654.89202-9673.35526)/1062650.29445*100)</f>
        <v>-9.5841806596132451E-2</v>
      </c>
      <c r="I74" s="13"/>
    </row>
    <row r="75" spans="1:9" ht="25.5" x14ac:dyDescent="0.25">
      <c r="A75" s="13" t="s">
        <v>270</v>
      </c>
      <c r="B75" s="14" t="s">
        <v>339</v>
      </c>
      <c r="C75" s="10">
        <v>5495.5023700000002</v>
      </c>
      <c r="D75" s="10">
        <f>IF(OR(3834.5543="",5495.50237=""),"-",5495.50237/3834.5543*100)</f>
        <v>143.31528360414666</v>
      </c>
      <c r="E75" s="10">
        <f>IF(3834.5543="","-",3834.5543/1062650.29445*100)</f>
        <v>0.36084818496047799</v>
      </c>
      <c r="F75" s="10">
        <f>IF(5495.50237="","-",5495.50237/1075156.27333*100)</f>
        <v>0.51113521878816714</v>
      </c>
      <c r="G75" s="10">
        <f>IF(OR(684759.39703="",6110.8172="",3834.5543=""),"-",(3834.5543-6110.8172)/684759.39703*100)</f>
        <v>-0.3324179134850595</v>
      </c>
      <c r="H75" s="10">
        <f>IF(OR(1062650.29445="",5495.50237="",3834.5543=""),"-",(5495.50237-3834.5543)/1062650.29445*100)</f>
        <v>0.15630241469604672</v>
      </c>
      <c r="I75" s="13"/>
    </row>
    <row r="76" spans="1:9" ht="25.5" x14ac:dyDescent="0.25">
      <c r="A76" s="13" t="s">
        <v>271</v>
      </c>
      <c r="B76" s="14" t="s">
        <v>173</v>
      </c>
      <c r="C76" s="10">
        <v>1371.7455399999999</v>
      </c>
      <c r="D76" s="10">
        <f>IF(OR(1047.16942="",1371.74554=""),"-",1371.74554/1047.16942*100)</f>
        <v>130.99556898825406</v>
      </c>
      <c r="E76" s="10">
        <f>IF(1047.16942="","-",1047.16942/1062650.29445*100)</f>
        <v>9.8543182594419521E-2</v>
      </c>
      <c r="F76" s="10">
        <f>IF(1371.74554="","-",1371.74554/1075156.27333*100)</f>
        <v>0.12758568907861148</v>
      </c>
      <c r="G76" s="10">
        <f>IF(OR(684759.39703="",805.98438="",1047.16942=""),"-",(1047.16942-805.98438)/684759.39703*100)</f>
        <v>3.522186640243119E-2</v>
      </c>
      <c r="H76" s="10">
        <f>IF(OR(1062650.29445="",1371.74554="",1047.16942=""),"-",(1371.74554-1047.16942)/1062650.29445*100)</f>
        <v>3.0544020144274469E-2</v>
      </c>
      <c r="I76" s="13"/>
    </row>
    <row r="77" spans="1:9" x14ac:dyDescent="0.25">
      <c r="A77" s="13" t="s">
        <v>272</v>
      </c>
      <c r="B77" s="14" t="s">
        <v>33</v>
      </c>
      <c r="C77" s="10">
        <v>24483.089840000001</v>
      </c>
      <c r="D77" s="10">
        <f>IF(OR(18485.25312="",24483.08984=""),"-",24483.08984/18485.25312*100)</f>
        <v>132.44660314394437</v>
      </c>
      <c r="E77" s="10">
        <f>IF(18485.25312="","-",18485.25312/1062650.29445*100)</f>
        <v>1.7395424643972348</v>
      </c>
      <c r="F77" s="10">
        <f>IF(24483.08984="","-",24483.08984/1075156.27333*100)</f>
        <v>2.2771656964964153</v>
      </c>
      <c r="G77" s="10">
        <f>IF(OR(684759.39703="",13766.56633="",18485.25312=""),"-",(18485.25312-13766.56633)/684759.39703*100)</f>
        <v>0.68910142897874993</v>
      </c>
      <c r="H77" s="10">
        <f>IF(OR(1062650.29445="",24483.08984="",18485.25312=""),"-",(24483.08984-18485.25312)/1062650.29445*100)</f>
        <v>0.56442243994336105</v>
      </c>
      <c r="I77" s="13"/>
    </row>
    <row r="78" spans="1:9" ht="25.5" x14ac:dyDescent="0.25">
      <c r="A78" s="62" t="s">
        <v>275</v>
      </c>
      <c r="B78" s="59" t="s">
        <v>174</v>
      </c>
      <c r="C78" s="60">
        <v>3326.13285</v>
      </c>
      <c r="D78" s="60" t="s">
        <v>389</v>
      </c>
      <c r="E78" s="60">
        <f>IF(407.25608="","-",407.25608/1062650.29445*100)</f>
        <v>3.8324562852616074E-2</v>
      </c>
      <c r="F78" s="60">
        <f>IF(3326.13285="","-",3326.13285/1075156.27333*100)</f>
        <v>0.30936273474908171</v>
      </c>
      <c r="G78" s="60" t="s">
        <v>322</v>
      </c>
      <c r="H78" s="60">
        <f>IF(1062650.29445="","-",(3326.13285-407.25608)/1062650.29445*100)</f>
        <v>0.27467895931941888</v>
      </c>
      <c r="I78" s="13"/>
    </row>
    <row r="79" spans="1:9" x14ac:dyDescent="0.25">
      <c r="A79" s="20" t="s">
        <v>278</v>
      </c>
      <c r="B79" s="21"/>
    </row>
    <row r="80" spans="1:9" x14ac:dyDescent="0.25">
      <c r="A80" s="21" t="s">
        <v>329</v>
      </c>
      <c r="B80" s="2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80"/>
  <sheetViews>
    <sheetView zoomScaleNormal="100" workbookViewId="0">
      <selection activeCell="B1" sqref="B1:H1"/>
    </sheetView>
  </sheetViews>
  <sheetFormatPr defaultRowHeight="15.75" x14ac:dyDescent="0.25"/>
  <cols>
    <col min="1" max="1" width="5.25" customWidth="1"/>
    <col min="2" max="2" width="26.75" customWidth="1"/>
    <col min="3" max="3" width="11.625" customWidth="1"/>
    <col min="4" max="4" width="10.375" customWidth="1"/>
    <col min="5" max="5" width="7.875" customWidth="1"/>
    <col min="6" max="6" width="8.125" customWidth="1"/>
    <col min="7" max="8" width="8.5" customWidth="1"/>
  </cols>
  <sheetData>
    <row r="1" spans="1:10" x14ac:dyDescent="0.25">
      <c r="B1" s="85" t="s">
        <v>128</v>
      </c>
      <c r="C1" s="85"/>
      <c r="D1" s="85"/>
      <c r="E1" s="85"/>
      <c r="F1" s="85"/>
      <c r="G1" s="85"/>
      <c r="H1" s="85"/>
    </row>
    <row r="2" spans="1:10" x14ac:dyDescent="0.25">
      <c r="B2" s="85" t="s">
        <v>277</v>
      </c>
      <c r="C2" s="85"/>
      <c r="D2" s="85"/>
      <c r="E2" s="85"/>
      <c r="F2" s="85"/>
      <c r="G2" s="85"/>
      <c r="H2" s="85"/>
    </row>
    <row r="3" spans="1:10" x14ac:dyDescent="0.25">
      <c r="A3" s="95"/>
      <c r="B3" s="95"/>
      <c r="C3" s="95"/>
      <c r="D3" s="95"/>
      <c r="E3" s="95"/>
      <c r="F3" s="95"/>
      <c r="G3" s="95"/>
      <c r="H3" s="95"/>
    </row>
    <row r="4" spans="1:10" ht="62.25" customHeight="1" x14ac:dyDescent="0.25">
      <c r="A4" s="89" t="s">
        <v>203</v>
      </c>
      <c r="B4" s="91"/>
      <c r="C4" s="78" t="s">
        <v>343</v>
      </c>
      <c r="D4" s="79"/>
      <c r="E4" s="80" t="s">
        <v>0</v>
      </c>
      <c r="F4" s="81"/>
      <c r="G4" s="93" t="s">
        <v>112</v>
      </c>
      <c r="H4" s="94"/>
    </row>
    <row r="5" spans="1:10" ht="57" customHeight="1" x14ac:dyDescent="0.25">
      <c r="A5" s="90"/>
      <c r="B5" s="92"/>
      <c r="C5" s="44" t="s">
        <v>95</v>
      </c>
      <c r="D5" s="43" t="s">
        <v>344</v>
      </c>
      <c r="E5" s="44" t="s">
        <v>345</v>
      </c>
      <c r="F5" s="44" t="s">
        <v>346</v>
      </c>
      <c r="G5" s="44" t="s">
        <v>347</v>
      </c>
      <c r="H5" s="42" t="s">
        <v>357</v>
      </c>
    </row>
    <row r="6" spans="1:10" x14ac:dyDescent="0.25">
      <c r="A6" s="67"/>
      <c r="B6" s="57" t="s">
        <v>116</v>
      </c>
      <c r="C6" s="58">
        <v>2306997.5400200002</v>
      </c>
      <c r="D6" s="58">
        <f>IF(2039053.91344="","-",2306997.54002/2039053.91344*100)</f>
        <v>113.14058568112915</v>
      </c>
      <c r="E6" s="58">
        <v>100</v>
      </c>
      <c r="F6" s="58">
        <v>100</v>
      </c>
      <c r="G6" s="58">
        <f>IF(1550863.02837="","-",(2039053.91344-1550863.02837)/1550863.02837*100)</f>
        <v>31.478659052379516</v>
      </c>
      <c r="H6" s="58">
        <f>IF(2039053.91344="","-",(2306997.54002-2039053.91344)/2039053.91344*100)</f>
        <v>13.140585681129146</v>
      </c>
      <c r="I6" s="8"/>
      <c r="J6" s="8"/>
    </row>
    <row r="7" spans="1:10" ht="13.5" customHeight="1" x14ac:dyDescent="0.25">
      <c r="A7" s="11" t="s">
        <v>204</v>
      </c>
      <c r="B7" s="12" t="s">
        <v>175</v>
      </c>
      <c r="C7" s="9">
        <v>256156.05926000001</v>
      </c>
      <c r="D7" s="9">
        <f>IF(231671.32771="","-",256156.05926/231671.32771*100)</f>
        <v>110.56873623163645</v>
      </c>
      <c r="E7" s="9">
        <f>IF(231671.32771="","-",231671.32771/2039053.91344*100)</f>
        <v>11.361706828004234</v>
      </c>
      <c r="F7" s="9">
        <f>IF(256156.05926="","-",256156.05926/2306997.54002*100)</f>
        <v>11.103438769066884</v>
      </c>
      <c r="G7" s="9">
        <f>IF(1550863.02837="","-",(231671.32771-192640.61475)/1550863.02837*100)</f>
        <v>2.5167092287332662</v>
      </c>
      <c r="H7" s="9">
        <f>IF(2039053.91344="","-",(256156.05926-231671.32771)/2039053.91344*100)</f>
        <v>1.2007888260635964</v>
      </c>
    </row>
    <row r="8" spans="1:10" x14ac:dyDescent="0.25">
      <c r="A8" s="13" t="s">
        <v>205</v>
      </c>
      <c r="B8" s="14" t="s">
        <v>21</v>
      </c>
      <c r="C8" s="10">
        <v>1687.3512900000001</v>
      </c>
      <c r="D8" s="10">
        <f>IF(OR(1859.80116="",1687.35129=""),"-",1687.35129/1859.80116*100)</f>
        <v>90.7275103538488</v>
      </c>
      <c r="E8" s="10">
        <f>IF(1859.80116="","-",1859.80116/2039053.91344*100)</f>
        <v>9.1209023348598456E-2</v>
      </c>
      <c r="F8" s="10">
        <f>IF(1687.35129="","-",1687.35129/2306997.54002*100)</f>
        <v>7.3140576040032185E-2</v>
      </c>
      <c r="G8" s="10">
        <f>IF(OR(1550863.02837="",771.41475="",1859.80116=""),"-",(1859.80116-771.41475)/1550863.02837*100)</f>
        <v>7.017940269966487E-2</v>
      </c>
      <c r="H8" s="10">
        <f>IF(OR(2039053.91344="",1687.35129="",1859.80116=""),"-",(1687.35129-1859.80116)/2039053.91344*100)</f>
        <v>-8.4573472463544217E-3</v>
      </c>
    </row>
    <row r="9" spans="1:10" x14ac:dyDescent="0.25">
      <c r="A9" s="13" t="s">
        <v>206</v>
      </c>
      <c r="B9" s="14" t="s">
        <v>176</v>
      </c>
      <c r="C9" s="10">
        <v>16608.169529999999</v>
      </c>
      <c r="D9" s="10">
        <f>IF(OR(26943.65738="",16608.16953=""),"-",16608.16953/26943.65738*100)</f>
        <v>61.640367882379884</v>
      </c>
      <c r="E9" s="10">
        <f>IF(26943.65738="","-",26943.65738/2039053.91344*100)</f>
        <v>1.3213803324378275</v>
      </c>
      <c r="F9" s="10">
        <f>IF(16608.16953="","-",16608.16953/2306997.54002*100)</f>
        <v>0.71990408493699631</v>
      </c>
      <c r="G9" s="10">
        <f>IF(OR(1550863.02837="",10997.67784="",26943.65738=""),"-",(26943.65738-10997.67784)/1550863.02837*100)</f>
        <v>1.0282003792920169</v>
      </c>
      <c r="H9" s="10">
        <f>IF(OR(2039053.91344="",16608.16953="",26943.65738=""),"-",(16608.16953-26943.65738)/2039053.91344*100)</f>
        <v>-0.50687663439773623</v>
      </c>
    </row>
    <row r="10" spans="1:10" s="2" customFormat="1" x14ac:dyDescent="0.25">
      <c r="A10" s="13" t="s">
        <v>207</v>
      </c>
      <c r="B10" s="14" t="s">
        <v>177</v>
      </c>
      <c r="C10" s="10">
        <v>31600.452410000002</v>
      </c>
      <c r="D10" s="10">
        <f>IF(OR(29883.38934="",31600.45241=""),"-",31600.45241/29883.38934*100)</f>
        <v>105.74587792055317</v>
      </c>
      <c r="E10" s="10">
        <f>IF(29883.38934="","-",29883.38934/2039053.91344*100)</f>
        <v>1.4655517023375328</v>
      </c>
      <c r="F10" s="10">
        <f>IF(31600.45241="","-",31600.45241/2306997.54002*100)</f>
        <v>1.3697653275228914</v>
      </c>
      <c r="G10" s="10">
        <f>IF(OR(1550863.02837="",22230.82608="",29883.38934=""),"-",(29883.38934-22230.82608)/1550863.02837*100)</f>
        <v>0.49343901556819353</v>
      </c>
      <c r="H10" s="10">
        <f>IF(OR(2039053.91344="",31600.45241="",29883.38934=""),"-",(31600.45241-29883.38934)/2039053.91344*100)</f>
        <v>8.4208811678903428E-2</v>
      </c>
    </row>
    <row r="11" spans="1:10" s="2" customFormat="1" x14ac:dyDescent="0.25">
      <c r="A11" s="13" t="s">
        <v>208</v>
      </c>
      <c r="B11" s="14" t="s">
        <v>178</v>
      </c>
      <c r="C11" s="10">
        <v>20997.54983</v>
      </c>
      <c r="D11" s="10">
        <f>IF(OR(18917.47879="",20997.54983=""),"-",20997.54983/18917.47879*100)</f>
        <v>110.99549820084667</v>
      </c>
      <c r="E11" s="10">
        <f>IF(18917.47879="","-",18917.47879/2039053.91344*100)</f>
        <v>0.92775765590646586</v>
      </c>
      <c r="F11" s="10">
        <f>IF(20997.54983="","-",20997.54983/2306997.54002*100)</f>
        <v>0.91016784655166849</v>
      </c>
      <c r="G11" s="10">
        <f>IF(OR(1550863.02837="",16345.56642="",18917.47879=""),"-",(18917.47879-16345.56642)/1550863.02837*100)</f>
        <v>0.16583749325065497</v>
      </c>
      <c r="H11" s="10">
        <f>IF(OR(2039053.91344="",20997.54983="",18917.47879=""),"-",(20997.54983-18917.47879)/2039053.91344*100)</f>
        <v>0.1020115763634126</v>
      </c>
    </row>
    <row r="12" spans="1:10" s="2" customFormat="1" x14ac:dyDescent="0.25">
      <c r="A12" s="13" t="s">
        <v>209</v>
      </c>
      <c r="B12" s="14" t="s">
        <v>179</v>
      </c>
      <c r="C12" s="10">
        <v>51002.880940000003</v>
      </c>
      <c r="D12" s="10">
        <f>IF(OR(44798.84491="",51002.88094=""),"-",51002.88094/44798.84491*100)</f>
        <v>113.84865177319593</v>
      </c>
      <c r="E12" s="10">
        <f>IF(44798.84491="","-",44798.84491/2039053.91344*100)</f>
        <v>2.1970407263249747</v>
      </c>
      <c r="F12" s="10">
        <f>IF(51002.88094="","-",51002.88094/2306997.54002*100)</f>
        <v>2.2107904345471407</v>
      </c>
      <c r="G12" s="10">
        <f>IF(OR(1550863.02837="",35355.76067="",44798.84491=""),"-",(44798.84491-35355.76067)/1550863.02837*100)</f>
        <v>0.60889221467384769</v>
      </c>
      <c r="H12" s="10">
        <f>IF(OR(2039053.91344="",51002.88094="",44798.84491=""),"-",(51002.88094-44798.84491)/2039053.91344*100)</f>
        <v>0.30426051950404004</v>
      </c>
    </row>
    <row r="13" spans="1:10" s="2" customFormat="1" x14ac:dyDescent="0.25">
      <c r="A13" s="13" t="s">
        <v>210</v>
      </c>
      <c r="B13" s="14" t="s">
        <v>180</v>
      </c>
      <c r="C13" s="10">
        <v>63449.275370000003</v>
      </c>
      <c r="D13" s="10">
        <f>IF(OR(54069.70807="",63449.27537=""),"-",63449.27537/54069.70807*100)</f>
        <v>117.34717577512528</v>
      </c>
      <c r="E13" s="10">
        <f>IF(54069.70807="","-",54069.70807/2039053.91344*100)</f>
        <v>2.6517056618077022</v>
      </c>
      <c r="F13" s="10">
        <f>IF(63449.27537="","-",63449.27537/2306997.54002*100)</f>
        <v>2.7502966201450714</v>
      </c>
      <c r="G13" s="10">
        <f>IF(OR(1550863.02837="",51606.02306="",54069.70807=""),"-",(54069.70807-51606.02306)/1550863.02837*100)</f>
        <v>0.15885896851828379</v>
      </c>
      <c r="H13" s="10">
        <f>IF(OR(2039053.91344="",63449.27537="",54069.70807=""),"-",(63449.27537-54069.70807)/2039053.91344*100)</f>
        <v>0.45999604219273138</v>
      </c>
    </row>
    <row r="14" spans="1:10" s="2" customFormat="1" ht="25.5" x14ac:dyDescent="0.25">
      <c r="A14" s="13" t="s">
        <v>211</v>
      </c>
      <c r="B14" s="14" t="s">
        <v>138</v>
      </c>
      <c r="C14" s="10">
        <v>9565.9082199999993</v>
      </c>
      <c r="D14" s="10" t="s">
        <v>91</v>
      </c>
      <c r="E14" s="10">
        <f>IF(4623.92254="","-",4623.92254/2039053.91344*100)</f>
        <v>0.22676803734920276</v>
      </c>
      <c r="F14" s="10">
        <f>IF(9565.90822="","-",9565.90822/2306997.54002*100)</f>
        <v>0.41464752580174269</v>
      </c>
      <c r="G14" s="10">
        <f>IF(OR(1550863.02837="",6366.29624="",4623.92254=""),"-",(4623.92254-6366.29624)/1550863.02837*100)</f>
        <v>-0.1123486515653986</v>
      </c>
      <c r="H14" s="10">
        <f>IF(OR(2039053.91344="",9565.90822="",4623.92254=""),"-",(9565.90822-4623.92254)/2039053.91344*100)</f>
        <v>0.24236660185520004</v>
      </c>
    </row>
    <row r="15" spans="1:10" s="2" customFormat="1" ht="25.5" x14ac:dyDescent="0.25">
      <c r="A15" s="13" t="s">
        <v>212</v>
      </c>
      <c r="B15" s="14" t="s">
        <v>181</v>
      </c>
      <c r="C15" s="10">
        <v>19412.484629999999</v>
      </c>
      <c r="D15" s="10">
        <f>IF(OR(13810.38814="",19412.48463=""),"-",19412.48463/13810.38814*100)</f>
        <v>140.56436671590896</v>
      </c>
      <c r="E15" s="10">
        <f>IF(13810.38814="","-",13810.38814/2039053.91344*100)</f>
        <v>0.67729391797694494</v>
      </c>
      <c r="F15" s="10">
        <f>IF(19412.48463="","-",19412.48463/2306997.54002*100)</f>
        <v>0.84146100259091317</v>
      </c>
      <c r="G15" s="10">
        <f>IF(OR(1550863.02837="",14652.49849="",13810.38814=""),"-",(13810.38814-14652.49849)/1550863.02837*100)</f>
        <v>-5.4299466464493781E-2</v>
      </c>
      <c r="H15" s="10">
        <f>IF(OR(2039053.91344="",19412.48463="",13810.38814=""),"-",(19412.48463-13810.38814)/2039053.91344*100)</f>
        <v>0.27473998863271565</v>
      </c>
    </row>
    <row r="16" spans="1:10" s="2" customFormat="1" ht="25.5" x14ac:dyDescent="0.25">
      <c r="A16" s="13" t="s">
        <v>213</v>
      </c>
      <c r="B16" s="14" t="s">
        <v>139</v>
      </c>
      <c r="C16" s="10">
        <v>12343.68115</v>
      </c>
      <c r="D16" s="10">
        <f>IF(OR(11804.63395="",12343.68115=""),"-",12343.68115/11804.63395*100)</f>
        <v>104.56640334874594</v>
      </c>
      <c r="E16" s="10">
        <f>IF(11804.63395="","-",11804.63395/2039053.91344*100)</f>
        <v>0.57892701473914976</v>
      </c>
      <c r="F16" s="10">
        <f>IF(12343.68115="","-",12343.68115/2306997.54002*100)</f>
        <v>0.53505393637710541</v>
      </c>
      <c r="G16" s="10">
        <f>IF(OR(1550863.02837="",11110.34439="",11804.63395=""),"-",(11804.63395-11110.34439)/1550863.02837*100)</f>
        <v>4.4767948380955144E-2</v>
      </c>
      <c r="H16" s="10">
        <f>IF(OR(2039053.91344="",12343.68115="",11804.63395=""),"-",(12343.68115-11804.63395)/2039053.91344*100)</f>
        <v>2.6436142587843475E-2</v>
      </c>
    </row>
    <row r="17" spans="1:8" s="2" customFormat="1" ht="16.5" customHeight="1" x14ac:dyDescent="0.25">
      <c r="A17" s="13" t="s">
        <v>214</v>
      </c>
      <c r="B17" s="14" t="s">
        <v>182</v>
      </c>
      <c r="C17" s="10">
        <v>29488.30589</v>
      </c>
      <c r="D17" s="10">
        <f>IF(OR(24959.50343="",29488.30589=""),"-",29488.30589/24959.50343*100)</f>
        <v>118.14460160516103</v>
      </c>
      <c r="E17" s="10">
        <f>IF(24959.50343="","-",24959.50343/2039053.91344*100)</f>
        <v>1.2240727557758342</v>
      </c>
      <c r="F17" s="10">
        <f>IF(29488.30589="","-",29488.30589/2306997.54002*100)</f>
        <v>1.2782114145533228</v>
      </c>
      <c r="G17" s="10">
        <f>IF(OR(1550863.02837="",23204.20681="",24959.50343=""),"-",(24959.50343-23204.20681)/1550863.02837*100)</f>
        <v>0.11318192437954153</v>
      </c>
      <c r="H17" s="10">
        <f>IF(OR(2039053.91344="",29488.30589="",24959.50343=""),"-",(29488.30589-24959.50343)/2039053.91344*100)</f>
        <v>0.2221031248928407</v>
      </c>
    </row>
    <row r="18" spans="1:8" s="2" customFormat="1" x14ac:dyDescent="0.25">
      <c r="A18" s="11" t="s">
        <v>215</v>
      </c>
      <c r="B18" s="12" t="s">
        <v>183</v>
      </c>
      <c r="C18" s="9">
        <v>27271.67857</v>
      </c>
      <c r="D18" s="9">
        <f>IF(22528.54745="","-",27271.67857/22528.54745*100)</f>
        <v>121.05387011979774</v>
      </c>
      <c r="E18" s="9">
        <f>IF(22528.54745="","-",22528.54745/2039053.91344*100)</f>
        <v>1.1048529566338468</v>
      </c>
      <c r="F18" s="9">
        <f>IF(27271.67857="","-",27271.67857/2306997.54002*100)</f>
        <v>1.182128636763244</v>
      </c>
      <c r="G18" s="9">
        <f>IF(1550863.02837="","-",(22528.54745-24118.12095)/1550863.02837*100)</f>
        <v>-0.10249605999510401</v>
      </c>
      <c r="H18" s="9">
        <f>IF(2039053.91344="","-",(27271.67857-22528.54745)/2039053.91344*100)</f>
        <v>0.23261430650443515</v>
      </c>
    </row>
    <row r="19" spans="1:8" s="2" customFormat="1" x14ac:dyDescent="0.25">
      <c r="A19" s="13" t="s">
        <v>216</v>
      </c>
      <c r="B19" s="14" t="s">
        <v>184</v>
      </c>
      <c r="C19" s="10">
        <v>17751.508470000001</v>
      </c>
      <c r="D19" s="10">
        <f>IF(OR(14339.91214="",17751.50847=""),"-",17751.50847/14339.91214*100)</f>
        <v>123.79091515131138</v>
      </c>
      <c r="E19" s="10">
        <f>IF(14339.91214="","-",14339.91214/2039053.91344*100)</f>
        <v>0.70326302043714739</v>
      </c>
      <c r="F19" s="10">
        <f>IF(17751.50847="","-",17751.50847/2306997.54002*100)</f>
        <v>0.76946369304954298</v>
      </c>
      <c r="G19" s="10">
        <f>IF(OR(1550863.02837="",14952.30206="",14339.91214=""),"-",(14339.91214-14952.30206)/1550863.02837*100)</f>
        <v>-3.9487041008620757E-2</v>
      </c>
      <c r="H19" s="10">
        <f>IF(OR(2039053.91344="",17751.50847="",14339.91214=""),"-",(17751.50847-14339.91214)/2039053.91344*100)</f>
        <v>0.16731270848275134</v>
      </c>
    </row>
    <row r="20" spans="1:8" s="2" customFormat="1" x14ac:dyDescent="0.25">
      <c r="A20" s="13" t="s">
        <v>217</v>
      </c>
      <c r="B20" s="14" t="s">
        <v>185</v>
      </c>
      <c r="C20" s="10">
        <v>9520.1700999999994</v>
      </c>
      <c r="D20" s="10">
        <f>IF(OR(8188.63531="",9520.1701=""),"-",9520.1701/8188.63531*100)</f>
        <v>116.26076555606187</v>
      </c>
      <c r="E20" s="10">
        <f>IF(8188.63531="","-",8188.63531/2039053.91344*100)</f>
        <v>0.40158993619669947</v>
      </c>
      <c r="F20" s="10">
        <f>IF(9520.1701="","-",9520.1701/2306997.54002*100)</f>
        <v>0.41266494371370094</v>
      </c>
      <c r="G20" s="10">
        <f>IF(OR(1550863.02837="",9165.81889="",8188.63531=""),"-",(8188.63531-9165.81889)/1550863.02837*100)</f>
        <v>-6.3009018986483145E-2</v>
      </c>
      <c r="H20" s="10">
        <f>IF(OR(2039053.91344="",9520.1701="",8188.63531=""),"-",(9520.1701-8188.63531)/2039053.91344*100)</f>
        <v>6.5301598021683727E-2</v>
      </c>
    </row>
    <row r="21" spans="1:8" s="2" customFormat="1" ht="25.5" x14ac:dyDescent="0.25">
      <c r="A21" s="11" t="s">
        <v>218</v>
      </c>
      <c r="B21" s="12" t="s">
        <v>22</v>
      </c>
      <c r="C21" s="9">
        <v>86624.767540000001</v>
      </c>
      <c r="D21" s="9">
        <f>IF(63983.23091="","-",86624.76754/63983.23091*100)</f>
        <v>135.38667289535286</v>
      </c>
      <c r="E21" s="9">
        <f>IF(63983.23091="","-",63983.23091/2039053.91344*100)</f>
        <v>3.1378881396057179</v>
      </c>
      <c r="F21" s="9">
        <f>IF(86624.76754="","-",86624.76754/2306997.54002*100)</f>
        <v>3.75487039050978</v>
      </c>
      <c r="G21" s="9">
        <f>IF(1550863.02837="","-",(63983.23091-55734.96775)/1550863.02837*100)</f>
        <v>0.53184988029981906</v>
      </c>
      <c r="H21" s="9">
        <f>IF(2039053.91344="","-",(86624.76754-63983.23091)/2039053.91344*100)</f>
        <v>1.1103942117843486</v>
      </c>
    </row>
    <row r="22" spans="1:8" s="2" customFormat="1" x14ac:dyDescent="0.25">
      <c r="A22" s="13" t="s">
        <v>220</v>
      </c>
      <c r="B22" s="14" t="s">
        <v>186</v>
      </c>
      <c r="C22" s="10">
        <v>49711.444750000002</v>
      </c>
      <c r="D22" s="10" t="s">
        <v>196</v>
      </c>
      <c r="E22" s="10">
        <f>IF(27882.30141="","-",27882.30141/2039053.91344*100)</f>
        <v>1.3674136434657076</v>
      </c>
      <c r="F22" s="10">
        <f>IF(49711.44475="","-",49711.44475/2306997.54002*100)</f>
        <v>2.1548113462474277</v>
      </c>
      <c r="G22" s="10">
        <f>IF(OR(1550863.02837="",23587.21758="",27882.30141=""),"-",(27882.30141-23587.21758)/1550863.02837*100)</f>
        <v>0.27694798002337134</v>
      </c>
      <c r="H22" s="10">
        <f>IF(OR(2039053.91344="",49711.44475="",27882.30141=""),"-",(49711.44475-27882.30141)/2039053.91344*100)</f>
        <v>1.0705525340020556</v>
      </c>
    </row>
    <row r="23" spans="1:8" s="2" customFormat="1" ht="25.5" x14ac:dyDescent="0.25">
      <c r="A23" s="13" t="s">
        <v>273</v>
      </c>
      <c r="B23" s="14" t="s">
        <v>187</v>
      </c>
      <c r="C23" s="10">
        <v>1187.5046600000001</v>
      </c>
      <c r="D23" s="10" t="s">
        <v>100</v>
      </c>
      <c r="E23" s="10">
        <f>IF(740.69662="","-",740.69662/2039053.91344*100)</f>
        <v>3.6325504446834495E-2</v>
      </c>
      <c r="F23" s="10">
        <f>IF(1187.50466="","-",1187.50466/2306997.54002*100)</f>
        <v>5.1474032347243209E-2</v>
      </c>
      <c r="G23" s="10">
        <f>IF(OR(1550863.02837="",550.55931="",740.69662=""),"-",(740.69662-550.55931)/1550863.02837*100)</f>
        <v>1.2260096895845125E-2</v>
      </c>
      <c r="H23" s="10">
        <f>IF(OR(2039053.91344="",1187.50466="",740.69662=""),"-",(1187.50466-740.69662)/2039053.91344*100)</f>
        <v>2.1912517224530342E-2</v>
      </c>
    </row>
    <row r="24" spans="1:8" s="2" customFormat="1" x14ac:dyDescent="0.25">
      <c r="A24" s="13" t="s">
        <v>221</v>
      </c>
      <c r="B24" s="14" t="s">
        <v>188</v>
      </c>
      <c r="C24" s="10">
        <v>9854.8910799999994</v>
      </c>
      <c r="D24" s="10">
        <f>IF(OR(12833.77852="",9854.89108=""),"-",9854.89108/12833.77852*100)</f>
        <v>76.788695275068534</v>
      </c>
      <c r="E24" s="10">
        <f>IF(12833.77852="","-",12833.77852/2039053.91344*100)</f>
        <v>0.62939868511611274</v>
      </c>
      <c r="F24" s="10">
        <f>IF(9854.89108="","-",9854.89108/2306997.54002*100)</f>
        <v>0.42717388766329428</v>
      </c>
      <c r="G24" s="10">
        <f>IF(OR(1550863.02837="",6977.83872="",12833.77852=""),"-",(12833.77852-6977.83872)/1550863.02837*100)</f>
        <v>0.37759232716732927</v>
      </c>
      <c r="H24" s="10">
        <f>IF(OR(2039053.91344="",9854.89108="",12833.77852=""),"-",(9854.89108-12833.77852)/2039053.91344*100)</f>
        <v>-0.14609164673701283</v>
      </c>
    </row>
    <row r="25" spans="1:8" s="2" customFormat="1" x14ac:dyDescent="0.25">
      <c r="A25" s="13" t="s">
        <v>222</v>
      </c>
      <c r="B25" s="14" t="s">
        <v>140</v>
      </c>
      <c r="C25" s="10">
        <v>53.743749999999999</v>
      </c>
      <c r="D25" s="10">
        <f>IF(OR(121.14634="",53.74375=""),"-",53.74375/121.14634*100)</f>
        <v>44.362669148733673</v>
      </c>
      <c r="E25" s="10">
        <f>IF(121.14634="","-",121.14634/2039053.91344*100)</f>
        <v>5.9413014634624945E-3</v>
      </c>
      <c r="F25" s="10">
        <f>IF(53.74375="","-",53.74375/2306997.54002*100)</f>
        <v>2.3295971958225007E-3</v>
      </c>
      <c r="G25" s="10">
        <f>IF(OR(1550863.02837="",98.94834="",121.14634=""),"-",(121.14634-98.94834)/1550863.02837*100)</f>
        <v>1.4313320772970329E-3</v>
      </c>
      <c r="H25" s="10">
        <f>IF(OR(2039053.91344="",53.74375="",121.14634=""),"-",(53.74375-121.14634)/2039053.91344*100)</f>
        <v>-3.3055815520977565E-3</v>
      </c>
    </row>
    <row r="26" spans="1:8" s="2" customFormat="1" ht="38.25" x14ac:dyDescent="0.25">
      <c r="A26" s="13" t="s">
        <v>223</v>
      </c>
      <c r="B26" s="14" t="s">
        <v>141</v>
      </c>
      <c r="C26" s="10">
        <v>1871.8615</v>
      </c>
      <c r="D26" s="10">
        <f>IF(OR(1885.54995="",1871.8615=""),"-",1871.8615/1885.54995*100)</f>
        <v>99.274034082205034</v>
      </c>
      <c r="E26" s="10">
        <f>IF(1885.54995="","-",1885.54995/2039053.91344*100)</f>
        <v>9.247180457425816E-2</v>
      </c>
      <c r="F26" s="10">
        <f>IF(1871.8615="","-",1871.8615/2306997.54002*100)</f>
        <v>8.1138426354098847E-2</v>
      </c>
      <c r="G26" s="10">
        <f>IF(OR(1550863.02837="",2304.44122="",1885.54995=""),"-",(1885.54995-2304.44122)/1550863.02837*100)</f>
        <v>-2.7010204146801178E-2</v>
      </c>
      <c r="H26" s="10">
        <f>IF(OR(2039053.91344="",1871.8615="",1885.54995=""),"-",(1871.8615-1885.54995)/2039053.91344*100)</f>
        <v>-6.7131378477908459E-4</v>
      </c>
    </row>
    <row r="27" spans="1:8" s="2" customFormat="1" ht="38.25" x14ac:dyDescent="0.25">
      <c r="A27" s="13" t="s">
        <v>224</v>
      </c>
      <c r="B27" s="14" t="s">
        <v>142</v>
      </c>
      <c r="C27" s="10">
        <v>4496.1521499999999</v>
      </c>
      <c r="D27" s="10">
        <f>IF(OR(4432.11208="",4496.15215=""),"-",4496.15215/4432.11208*100)</f>
        <v>101.44491088772286</v>
      </c>
      <c r="E27" s="10">
        <f>IF(4432.11208="","-",4432.11208/2039053.91344*100)</f>
        <v>0.2173612012309559</v>
      </c>
      <c r="F27" s="10">
        <f>IF(4496.15215="","-",4496.15215/2306997.54002*100)</f>
        <v>0.19489193516699724</v>
      </c>
      <c r="G27" s="10">
        <f>IF(OR(1550863.02837="",3927.99761="",4432.11208=""),"-",(4432.11208-3927.99761)/1550863.02837*100)</f>
        <v>3.2505415422136814E-2</v>
      </c>
      <c r="H27" s="10">
        <f>IF(OR(2039053.91344="",4496.15215="",4432.11208=""),"-",(4496.15215-4432.11208)/2039053.91344*100)</f>
        <v>3.1406756622712724E-3</v>
      </c>
    </row>
    <row r="28" spans="1:8" s="2" customFormat="1" ht="25.5" x14ac:dyDescent="0.25">
      <c r="A28" s="13" t="s">
        <v>225</v>
      </c>
      <c r="B28" s="14" t="s">
        <v>143</v>
      </c>
      <c r="C28" s="10">
        <v>515.21972000000005</v>
      </c>
      <c r="D28" s="10" t="s">
        <v>376</v>
      </c>
      <c r="E28" s="10">
        <f>IF(214.21791="","-",214.21791/2039053.91344*100)</f>
        <v>1.0505750171097838E-2</v>
      </c>
      <c r="F28" s="10">
        <f>IF(515.21972="","-",515.21972/2306997.54002*100)</f>
        <v>2.233291154682087E-2</v>
      </c>
      <c r="G28" s="10">
        <f>IF(OR(1550863.02837="",326.93286="",214.21791=""),"-",(214.21791-326.93286)/1550863.02837*100)</f>
        <v>-7.2678855539206801E-3</v>
      </c>
      <c r="H28" s="10">
        <f>IF(OR(2039053.91344="",515.21972="",214.21791=""),"-",(515.21972-214.21791)/2039053.91344*100)</f>
        <v>1.4761836752623814E-2</v>
      </c>
    </row>
    <row r="29" spans="1:8" s="2" customFormat="1" ht="25.5" x14ac:dyDescent="0.25">
      <c r="A29" s="13" t="s">
        <v>226</v>
      </c>
      <c r="B29" s="14" t="s">
        <v>144</v>
      </c>
      <c r="C29" s="10">
        <v>18933.949929999999</v>
      </c>
      <c r="D29" s="10">
        <f>IF(OR(15873.42808="",18933.94993=""),"-",18933.94993/15873.42808*100)</f>
        <v>119.28078695147242</v>
      </c>
      <c r="E29" s="10">
        <f>IF(15873.42808="","-",15873.42808/2039053.91344*100)</f>
        <v>0.77847024913728857</v>
      </c>
      <c r="F29" s="10">
        <f>IF(18933.94993="","-",18933.94993/2306997.54002*100)</f>
        <v>0.82071825398807552</v>
      </c>
      <c r="G29" s="10">
        <f>IF(OR(1550863.02837="",17961.03211="",15873.42808=""),"-",(15873.42808-17961.03211)/1550863.02837*100)</f>
        <v>-0.13460918158543828</v>
      </c>
      <c r="H29" s="10">
        <f>IF(OR(2039053.91344="",18933.94993="",15873.42808=""),"-",(18933.94993-15873.42808)/2039053.91344*100)</f>
        <v>0.15009519021675716</v>
      </c>
    </row>
    <row r="30" spans="1:8" s="2" customFormat="1" ht="25.5" x14ac:dyDescent="0.25">
      <c r="A30" s="11" t="s">
        <v>227</v>
      </c>
      <c r="B30" s="12" t="s">
        <v>145</v>
      </c>
      <c r="C30" s="9">
        <v>660382.80267999996</v>
      </c>
      <c r="D30" s="9">
        <f>IF(539926.23553="","-",660382.80268/539926.23553*100)</f>
        <v>122.30981923516977</v>
      </c>
      <c r="E30" s="9">
        <f>IF(539926.23553="","-",539926.23553/2039053.91344*100)</f>
        <v>26.47925255782539</v>
      </c>
      <c r="F30" s="9">
        <f>IF(660382.80268="","-",660382.80268/2306997.54002*100)</f>
        <v>28.625206192212708</v>
      </c>
      <c r="G30" s="9">
        <f>IF(1550863.02837="","-",(539926.23553-194735.25208)/1550863.02837*100)</f>
        <v>22.257992945566908</v>
      </c>
      <c r="H30" s="9">
        <f>IF(2039053.91344="","-",(660382.80268-539926.23553)/2039053.91344*100)</f>
        <v>5.9074733804749151</v>
      </c>
    </row>
    <row r="31" spans="1:8" s="2" customFormat="1" x14ac:dyDescent="0.25">
      <c r="A31" s="13" t="s">
        <v>228</v>
      </c>
      <c r="B31" s="14" t="s">
        <v>189</v>
      </c>
      <c r="C31" s="10">
        <v>6094.8638700000001</v>
      </c>
      <c r="D31" s="10">
        <f>IF(OR(4097.21231="",6094.86387=""),"-",6094.86387/4097.21231*100)</f>
        <v>148.75635941843589</v>
      </c>
      <c r="E31" s="10">
        <f>IF(4097.21231="","-",4097.21231/2039053.91344*100)</f>
        <v>0.20093692878810493</v>
      </c>
      <c r="F31" s="10">
        <f>IF(6094.86387="","-",6094.86387/2306997.54002*100)</f>
        <v>0.26419030641650193</v>
      </c>
      <c r="G31" s="10">
        <f>IF(OR(1550863.02837="",1694.64382="",4097.21231=""),"-",(4097.21231-1694.64382)/1550863.02837*100)</f>
        <v>0.15491816143977369</v>
      </c>
      <c r="H31" s="10">
        <f>IF(OR(2039053.91344="",6094.86387="",4097.21231=""),"-",(6094.86387-4097.21231)/2039053.91344*100)</f>
        <v>9.7969531204295052E-2</v>
      </c>
    </row>
    <row r="32" spans="1:8" s="2" customFormat="1" ht="25.5" x14ac:dyDescent="0.25">
      <c r="A32" s="13" t="s">
        <v>229</v>
      </c>
      <c r="B32" s="14" t="s">
        <v>146</v>
      </c>
      <c r="C32" s="10">
        <v>390223.91966000001</v>
      </c>
      <c r="D32" s="10" t="s">
        <v>196</v>
      </c>
      <c r="E32" s="10">
        <f>IF(217257.59427="","-",217257.59427/2039053.91344*100)</f>
        <v>10.654823437379058</v>
      </c>
      <c r="F32" s="10">
        <f>IF(390223.91966="","-",390223.91966/2306997.54002*100)</f>
        <v>16.914795654988733</v>
      </c>
      <c r="G32" s="10">
        <f>IF(OR(1550863.02837="",115342.73665="",217257.59427=""),"-",(217257.59427-115342.73665)/1550863.02837*100)</f>
        <v>6.5714931464395887</v>
      </c>
      <c r="H32" s="10">
        <f>IF(OR(2039053.91344="",390223.91966="",217257.59427=""),"-",(390223.91966-217257.59427)/2039053.91344*100)</f>
        <v>8.4826754334413828</v>
      </c>
    </row>
    <row r="33" spans="1:8" s="2" customFormat="1" ht="25.5" x14ac:dyDescent="0.25">
      <c r="A33" s="13" t="s">
        <v>274</v>
      </c>
      <c r="B33" s="14" t="s">
        <v>190</v>
      </c>
      <c r="C33" s="10">
        <v>250821.92491999999</v>
      </c>
      <c r="D33" s="10">
        <f>IF(OR(318570.39395="",250821.92492=""),"-",250821.92492/318570.39395*100)</f>
        <v>78.733595363342772</v>
      </c>
      <c r="E33" s="10">
        <f>IF(318570.39395="","-",318570.39395/2039053.91344*100)</f>
        <v>15.623441432823796</v>
      </c>
      <c r="F33" s="10">
        <f>IF(250821.92492="","-",250821.92492/2306997.54002*100)</f>
        <v>10.872223336563486</v>
      </c>
      <c r="G33" s="10">
        <f>IF(OR(1550863.02837="",77697.08693="",318570.39395=""),"-",(318570.39395-77697.08693)/1550863.02837*100)</f>
        <v>15.53156549699715</v>
      </c>
      <c r="H33" s="10">
        <f>IF(OR(2039053.91344="",250821.92492="",318570.39395=""),"-",(250821.92492-318570.39395)/2039053.91344*100)</f>
        <v>-3.3225442732754664</v>
      </c>
    </row>
    <row r="34" spans="1:8" s="2" customFormat="1" x14ac:dyDescent="0.25">
      <c r="A34" s="13" t="s">
        <v>279</v>
      </c>
      <c r="B34" s="14" t="s">
        <v>281</v>
      </c>
      <c r="C34" s="10">
        <v>13242.094230000001</v>
      </c>
      <c r="D34" s="10" t="s">
        <v>407</v>
      </c>
      <c r="E34" s="10">
        <f>IF(1.035="","-",1.035/2039053.91344*100)</f>
        <v>5.0758834436795056E-5</v>
      </c>
      <c r="F34" s="10">
        <f>IF(13242.09423="","-",13242.09423/2306997.54002*100)</f>
        <v>0.57399689424398781</v>
      </c>
      <c r="G34" s="10">
        <f>IF(OR(1550863.02837="",0.78468="",1.035=""),"-",(1.035-0.78468)/1550863.02837*100)</f>
        <v>1.6140690404045106E-5</v>
      </c>
      <c r="H34" s="10">
        <f>IF(OR(2039053.91344="",13242.09423="",1.035=""),"-",(13242.09423-1.035)/2039053.91344*100)</f>
        <v>0.64937268910470247</v>
      </c>
    </row>
    <row r="35" spans="1:8" s="2" customFormat="1" ht="25.5" x14ac:dyDescent="0.25">
      <c r="A35" s="11" t="s">
        <v>230</v>
      </c>
      <c r="B35" s="12" t="s">
        <v>147</v>
      </c>
      <c r="C35" s="9">
        <v>8989.7777999999998</v>
      </c>
      <c r="D35" s="9" t="s">
        <v>18</v>
      </c>
      <c r="E35" s="9">
        <f>IF(4511.35734="","-",4511.35734/2039053.91344*100)</f>
        <v>0.2212475751751499</v>
      </c>
      <c r="F35" s="9">
        <f>IF(8989.7778="","-",8989.7778/2306997.54002*100)</f>
        <v>0.3896743556961948</v>
      </c>
      <c r="G35" s="9">
        <f>IF(1550863.02837="","-",(4511.35734-3554.42884)/1550863.02837*100)</f>
        <v>6.1702966831684539E-2</v>
      </c>
      <c r="H35" s="9">
        <f>IF(2039053.91344="","-",(8989.7778-4511.35734)/2039053.91344*100)</f>
        <v>0.21963227310869138</v>
      </c>
    </row>
    <row r="36" spans="1:8" s="2" customFormat="1" x14ac:dyDescent="0.25">
      <c r="A36" s="13" t="s">
        <v>231</v>
      </c>
      <c r="B36" s="14" t="s">
        <v>193</v>
      </c>
      <c r="C36" s="10">
        <v>679.04650000000004</v>
      </c>
      <c r="D36" s="10">
        <f>IF(OR(515.04745="",679.0465=""),"-",679.0465/515.04745*100)</f>
        <v>131.84154197831674</v>
      </c>
      <c r="E36" s="10">
        <f>IF(515.04745="","-",515.04745/2039053.91344*100)</f>
        <v>2.5259138397723171E-2</v>
      </c>
      <c r="F36" s="10">
        <f>IF(679.0465="","-",679.0465/2306997.54002*100)</f>
        <v>2.9434209972937948E-2</v>
      </c>
      <c r="G36" s="10">
        <f>IF(OR(1550863.02837="",389.00048="",515.04745=""),"-",(515.04745-389.00048)/1550863.02837*100)</f>
        <v>8.1275372288988606E-3</v>
      </c>
      <c r="H36" s="10">
        <f>IF(OR(2039053.91344="",679.0465="",515.04745=""),"-",(679.0465-515.04745)/2039053.91344*100)</f>
        <v>8.0428991562721489E-3</v>
      </c>
    </row>
    <row r="37" spans="1:8" s="2" customFormat="1" ht="25.5" x14ac:dyDescent="0.25">
      <c r="A37" s="13" t="s">
        <v>232</v>
      </c>
      <c r="B37" s="14" t="s">
        <v>148</v>
      </c>
      <c r="C37" s="10">
        <v>7865.5006100000001</v>
      </c>
      <c r="D37" s="10" t="s">
        <v>91</v>
      </c>
      <c r="E37" s="10">
        <f>IF(3682.02319="","-",3682.02319/2039053.91344*100)</f>
        <v>0.1805750777716425</v>
      </c>
      <c r="F37" s="10">
        <f>IF(7865.50061="","-",7865.50061/2306997.54002*100)</f>
        <v>0.34094100550847622</v>
      </c>
      <c r="G37" s="10">
        <f>IF(OR(1550863.02837="",2665.42842="",3682.02319=""),"-",(3682.02319-2665.42842)/1550863.02837*100)</f>
        <v>6.5550261461095563E-2</v>
      </c>
      <c r="H37" s="10">
        <f>IF(OR(2039053.91344="",7865.50061="",3682.02319=""),"-",(7865.50061-3682.02319)/2039053.91344*100)</f>
        <v>0.2051675726877783</v>
      </c>
    </row>
    <row r="38" spans="1:8" s="2" customFormat="1" ht="63.75" x14ac:dyDescent="0.25">
      <c r="A38" s="13" t="s">
        <v>233</v>
      </c>
      <c r="B38" s="14" t="s">
        <v>191</v>
      </c>
      <c r="C38" s="10">
        <v>445.23068999999998</v>
      </c>
      <c r="D38" s="10">
        <f>IF(OR(314.2867="",445.23069=""),"-",445.23069/314.2867*100)</f>
        <v>141.66386614514707</v>
      </c>
      <c r="E38" s="10">
        <f>IF(314.2867="","-",314.2867/2039053.91344*100)</f>
        <v>1.5413359005784227E-2</v>
      </c>
      <c r="F38" s="10">
        <f>IF(445.23069="","-",445.23069/2306997.54002*100)</f>
        <v>1.9299140214780644E-2</v>
      </c>
      <c r="G38" s="10">
        <f>IF(OR(1550863.02837="",499.99994="",314.2867=""),"-",(314.2867-499.99994)/1550863.02837*100)</f>
        <v>-1.1974831858309869E-2</v>
      </c>
      <c r="H38" s="10">
        <f>IF(OR(2039053.91344="",445.23069="",314.2867=""),"-",(445.23069-314.2867)/2039053.91344*100)</f>
        <v>6.4218012646409146E-3</v>
      </c>
    </row>
    <row r="39" spans="1:8" s="2" customFormat="1" ht="25.5" x14ac:dyDescent="0.25">
      <c r="A39" s="11" t="s">
        <v>234</v>
      </c>
      <c r="B39" s="12" t="s">
        <v>149</v>
      </c>
      <c r="C39" s="9">
        <v>316967.47716000001</v>
      </c>
      <c r="D39" s="9">
        <f>IF(283562.36109="","-",316967.47716/283562.36109*100)</f>
        <v>111.78051838106875</v>
      </c>
      <c r="E39" s="9">
        <f>IF(283562.36109="","-",283562.36109/2039053.91344*100)</f>
        <v>13.906565158525611</v>
      </c>
      <c r="F39" s="9">
        <f>IF(316967.47716="","-",316967.47716/2306997.54002*100)</f>
        <v>13.739393807817068</v>
      </c>
      <c r="G39" s="9">
        <f>IF(1550863.02837="","-",(283562.36109-240095.15096)/1550863.02837*100)</f>
        <v>2.8027755730101624</v>
      </c>
      <c r="H39" s="9">
        <f>IF(2039053.91344="","-",(316967.47716-283562.36109)/2039053.91344*100)</f>
        <v>1.638265464675412</v>
      </c>
    </row>
    <row r="40" spans="1:8" s="2" customFormat="1" x14ac:dyDescent="0.25">
      <c r="A40" s="13" t="s">
        <v>235</v>
      </c>
      <c r="B40" s="14" t="s">
        <v>23</v>
      </c>
      <c r="C40" s="10">
        <v>4013.0409</v>
      </c>
      <c r="D40" s="10">
        <f>IF(OR(3930.37843="",4013.0409=""),"-",4013.0409/3930.37843*100)</f>
        <v>102.10316821833361</v>
      </c>
      <c r="E40" s="10">
        <f>IF(3930.37843="","-",3930.37843/2039053.91344*100)</f>
        <v>0.19275500290079275</v>
      </c>
      <c r="F40" s="10">
        <f>IF(4013.0409="","-",4013.0409/2306997.54002*100)</f>
        <v>0.1739508096729574</v>
      </c>
      <c r="G40" s="10">
        <f>IF(OR(1550863.02837="",2839.71484="",3930.37843=""),"-",(3930.37843-2839.71484)/1550863.02837*100)</f>
        <v>7.0326235782815577E-2</v>
      </c>
      <c r="H40" s="10">
        <f>IF(OR(2039053.91344="",4013.0409="",3930.37843=""),"-",(4013.0409-3930.37843)/2039053.91344*100)</f>
        <v>4.0539619602575133E-3</v>
      </c>
    </row>
    <row r="41" spans="1:8" s="2" customFormat="1" x14ac:dyDescent="0.25">
      <c r="A41" s="13" t="s">
        <v>236</v>
      </c>
      <c r="B41" s="14" t="s">
        <v>24</v>
      </c>
      <c r="C41" s="10">
        <v>9052.8816900000002</v>
      </c>
      <c r="D41" s="10">
        <f>IF(OR(5923.8663="",9052.88169=""),"-",9052.88169/5923.8663*100)</f>
        <v>152.82049309586881</v>
      </c>
      <c r="E41" s="10">
        <f>IF(5923.8663="","-",5923.8663/2039053.91344*100)</f>
        <v>0.29052033695401902</v>
      </c>
      <c r="F41" s="10">
        <f>IF(9052.88169="","-",9052.88169/2306997.54002*100)</f>
        <v>0.39240968110965208</v>
      </c>
      <c r="G41" s="10">
        <f>IF(OR(1550863.02837="",3653.16733="",5923.8663=""),"-",(5923.8663-3653.16733)/1550863.02837*100)</f>
        <v>0.14641518486558849</v>
      </c>
      <c r="H41" s="10">
        <f>IF(OR(2039053.91344="",9052.88169="",5923.8663=""),"-",(9052.88169-5923.8663)/2039053.91344*100)</f>
        <v>0.15345427452289251</v>
      </c>
    </row>
    <row r="42" spans="1:8" s="2" customFormat="1" x14ac:dyDescent="0.25">
      <c r="A42" s="13" t="s">
        <v>237</v>
      </c>
      <c r="B42" s="14" t="s">
        <v>150</v>
      </c>
      <c r="C42" s="10">
        <v>9735.4243700000006</v>
      </c>
      <c r="D42" s="10">
        <f>IF(OR(9354.91482="",9735.42437=""),"-",9735.42437/9354.91482*100)</f>
        <v>104.06748278655091</v>
      </c>
      <c r="E42" s="10">
        <f>IF(9354.91482="","-",9354.91482/2039053.91344*100)</f>
        <v>0.45878702658811632</v>
      </c>
      <c r="F42" s="10">
        <f>IF(9735.42437="","-",9735.42437/2306997.54002*100)</f>
        <v>0.42199543784149857</v>
      </c>
      <c r="G42" s="10">
        <f>IF(OR(1550863.02837="",8531.8071="",9354.91482=""),"-",(9354.91482-8531.8071)/1550863.02837*100)</f>
        <v>5.3074172569908325E-2</v>
      </c>
      <c r="H42" s="10">
        <f>IF(OR(2039053.91344="",9735.42437="",9354.91482=""),"-",(9735.42437-9354.91482)/2039053.91344*100)</f>
        <v>1.866108333340041E-2</v>
      </c>
    </row>
    <row r="43" spans="1:8" s="2" customFormat="1" x14ac:dyDescent="0.25">
      <c r="A43" s="13" t="s">
        <v>238</v>
      </c>
      <c r="B43" s="14" t="s">
        <v>151</v>
      </c>
      <c r="C43" s="10">
        <v>80697.995209999994</v>
      </c>
      <c r="D43" s="10">
        <f>IF(OR(76706.78486="",80697.99521=""),"-",80697.99521/76706.78486*100)</f>
        <v>105.2032038069181</v>
      </c>
      <c r="E43" s="10">
        <f>IF(76706.78486="","-",76706.78486/2039053.91344*100)</f>
        <v>3.7618811525484035</v>
      </c>
      <c r="F43" s="10">
        <f>IF(80697.99521="","-",80697.99521/2306997.54002*100)</f>
        <v>3.4979662444416997</v>
      </c>
      <c r="G43" s="10">
        <f>IF(OR(1550863.02837="",70461.76108="",76706.78486=""),"-",(76706.78486-70461.76108)/1550863.02837*100)</f>
        <v>0.40268055049088997</v>
      </c>
      <c r="H43" s="10">
        <f>IF(OR(2039053.91344="",80697.99521="",76706.78486=""),"-",(80697.99521-76706.78486)/2039053.91344*100)</f>
        <v>0.19573834334113291</v>
      </c>
    </row>
    <row r="44" spans="1:8" s="2" customFormat="1" ht="38.25" x14ac:dyDescent="0.25">
      <c r="A44" s="13" t="s">
        <v>239</v>
      </c>
      <c r="B44" s="14" t="s">
        <v>152</v>
      </c>
      <c r="C44" s="10">
        <v>40296.641239999997</v>
      </c>
      <c r="D44" s="10">
        <f>IF(OR(33299.70264="",40296.64124=""),"-",40296.64124/33299.70264*100)</f>
        <v>121.01201525924495</v>
      </c>
      <c r="E44" s="10">
        <f>IF(33299.70264="","-",33299.70264/2039053.91344*100)</f>
        <v>1.6330957421239296</v>
      </c>
      <c r="F44" s="10">
        <f>IF(40296.64124="","-",40296.64124/2306997.54002*100)</f>
        <v>1.7467136631472373</v>
      </c>
      <c r="G44" s="10">
        <f>IF(OR(1550863.02837="",31740.74881="",33299.70264=""),"-",(33299.70264-31740.74881)/1550863.02837*100)</f>
        <v>0.10052169672511349</v>
      </c>
      <c r="H44" s="10">
        <f>IF(OR(2039053.91344="",40296.64124="",33299.70264=""),"-",(40296.64124-33299.70264)/2039053.91344*100)</f>
        <v>0.34314632653315968</v>
      </c>
    </row>
    <row r="45" spans="1:8" s="2" customFormat="1" x14ac:dyDescent="0.25">
      <c r="A45" s="13" t="s">
        <v>240</v>
      </c>
      <c r="B45" s="14" t="s">
        <v>153</v>
      </c>
      <c r="C45" s="10">
        <v>63915.64402</v>
      </c>
      <c r="D45" s="10">
        <f>IF(OR(49110.9095="",63915.64402=""),"-",63915.64402/49110.9095*100)</f>
        <v>130.14551078513421</v>
      </c>
      <c r="E45" s="10">
        <f>IF(49110.9095="","-",49110.9095/2039053.91344*100)</f>
        <v>2.4085145162810875</v>
      </c>
      <c r="F45" s="10">
        <f>IF(63915.64402="","-",63915.64402/2306997.54002*100)</f>
        <v>2.7705120144794733</v>
      </c>
      <c r="G45" s="10">
        <f>IF(OR(1550863.02837="",23623.06706="",49110.9095=""),"-",(49110.9095-23623.06706)/1550863.02837*100)</f>
        <v>1.6434618643780829</v>
      </c>
      <c r="H45" s="10">
        <f>IF(OR(2039053.91344="",63915.64402="",49110.9095=""),"-",(63915.64402-49110.9095)/2039053.91344*100)</f>
        <v>0.72605900326703809</v>
      </c>
    </row>
    <row r="46" spans="1:8" s="2" customFormat="1" x14ac:dyDescent="0.25">
      <c r="A46" s="13" t="s">
        <v>241</v>
      </c>
      <c r="B46" s="14" t="s">
        <v>25</v>
      </c>
      <c r="C46" s="10">
        <v>15665.4195</v>
      </c>
      <c r="D46" s="10">
        <f>IF(OR(15974.17245="",15665.4195=""),"-",15665.4195/15974.17245*100)</f>
        <v>98.067174052575098</v>
      </c>
      <c r="E46" s="10">
        <f>IF(15974.17245="","-",15974.17245/2039053.91344*100)</f>
        <v>0.78341099000421521</v>
      </c>
      <c r="F46" s="10">
        <f>IF(15665.4195="","-",15665.4195/2306997.54002*100)</f>
        <v>0.67903928063417829</v>
      </c>
      <c r="G46" s="10">
        <f>IF(OR(1550863.02837="",12084.48941="",15974.17245=""),"-",(15974.17245-12084.48941)/1550863.02837*100)</f>
        <v>0.250807645088307</v>
      </c>
      <c r="H46" s="10">
        <f>IF(OR(2039053.91344="",15665.4195="",15974.17245=""),"-",(15665.4195-15974.17245)/2039053.91344*100)</f>
        <v>-1.5141970889779772E-2</v>
      </c>
    </row>
    <row r="47" spans="1:8" s="2" customFormat="1" x14ac:dyDescent="0.25">
      <c r="A47" s="13" t="s">
        <v>242</v>
      </c>
      <c r="B47" s="14" t="s">
        <v>26</v>
      </c>
      <c r="C47" s="10">
        <v>31115.76181</v>
      </c>
      <c r="D47" s="10">
        <f>IF(OR(32450.95973="",31115.76181=""),"-",31115.76181/32450.95973*100)</f>
        <v>95.885490194714805</v>
      </c>
      <c r="E47" s="10">
        <f>IF(32450.95973="","-",32450.95973/2039053.91344*100)</f>
        <v>1.5914713934784286</v>
      </c>
      <c r="F47" s="10">
        <f>IF(31115.76181="","-",31115.76181/2306997.54002*100)</f>
        <v>1.3487557429181414</v>
      </c>
      <c r="G47" s="10">
        <f>IF(OR(1550863.02837="",32245.24317="",32450.95973=""),"-",(32450.95973-32245.24317)/1550863.02837*100)</f>
        <v>1.3264650471177388E-2</v>
      </c>
      <c r="H47" s="10">
        <f>IF(OR(2039053.91344="",31115.76181="",32450.95973=""),"-",(31115.76181-32450.95973)/2039053.91344*100)</f>
        <v>-6.5481246532978807E-2</v>
      </c>
    </row>
    <row r="48" spans="1:8" s="2" customFormat="1" x14ac:dyDescent="0.25">
      <c r="A48" s="13" t="s">
        <v>243</v>
      </c>
      <c r="B48" s="14" t="s">
        <v>154</v>
      </c>
      <c r="C48" s="10">
        <v>62474.668420000002</v>
      </c>
      <c r="D48" s="10">
        <f>IF(OR(56810.67236="",62474.66842=""),"-",62474.66842/56810.67236*100)</f>
        <v>109.96995075873805</v>
      </c>
      <c r="E48" s="10">
        <f>IF(56810.67236="","-",56810.67236/2039053.91344*100)</f>
        <v>2.7861289976466175</v>
      </c>
      <c r="F48" s="10">
        <f>IF(62474.66842="","-",62474.66842/2306997.54002*100)</f>
        <v>2.7080509335722303</v>
      </c>
      <c r="G48" s="10">
        <f>IF(OR(1550863.02837="",54915.15216="",56810.67236=""),"-",(56810.67236-54915.15216)/1550863.02837*100)</f>
        <v>0.12222357263827763</v>
      </c>
      <c r="H48" s="10">
        <f>IF(OR(2039053.91344="",62474.66842="",56810.67236=""),"-",(62474.66842-56810.67236)/2039053.91344*100)</f>
        <v>0.27777568914028966</v>
      </c>
    </row>
    <row r="49" spans="1:8" s="2" customFormat="1" ht="25.5" x14ac:dyDescent="0.25">
      <c r="A49" s="11" t="s">
        <v>244</v>
      </c>
      <c r="B49" s="12" t="s">
        <v>307</v>
      </c>
      <c r="C49" s="9">
        <v>276621.91671000002</v>
      </c>
      <c r="D49" s="9">
        <f>IF(286196.75364="","-",276621.91671/286196.75364*100)</f>
        <v>96.654456485539328</v>
      </c>
      <c r="E49" s="9">
        <f>IF(286196.75364="","-",286196.75364/2039053.91344*100)</f>
        <v>14.035761965566168</v>
      </c>
      <c r="F49" s="9">
        <f>IF(276621.91671="","-",276621.91671/2306997.54002*100)</f>
        <v>11.990559673834845</v>
      </c>
      <c r="G49" s="9">
        <f>IF(1550863.02837="","-",(286196.75364-266067.78603)/1550863.02837*100)</f>
        <v>1.2979203992731774</v>
      </c>
      <c r="H49" s="9">
        <f>IF(2039053.91344="","-",(276621.91671-286196.75364)/2039053.91344*100)</f>
        <v>-0.46957252414413575</v>
      </c>
    </row>
    <row r="50" spans="1:8" s="2" customFormat="1" x14ac:dyDescent="0.25">
      <c r="A50" s="13" t="s">
        <v>245</v>
      </c>
      <c r="B50" s="14" t="s">
        <v>155</v>
      </c>
      <c r="C50" s="10">
        <v>11615.983</v>
      </c>
      <c r="D50" s="10">
        <f>IF(OR(13195.46483="",11615.983=""),"-",11615.983/13195.46483*100)</f>
        <v>88.030116025855833</v>
      </c>
      <c r="E50" s="10">
        <f>IF(13195.46483="","-",13195.46483/2039053.91344*100)</f>
        <v>0.64713663248552855</v>
      </c>
      <c r="F50" s="10">
        <f>IF(11615.983="","-",11615.983/2306997.54002*100)</f>
        <v>0.50351085332753742</v>
      </c>
      <c r="G50" s="10">
        <f>IF(OR(1550863.02837="",15425.74219="",13195.46483=""),"-",(13195.46483-15425.74219)/1550863.02837*100)</f>
        <v>-0.14380879028008575</v>
      </c>
      <c r="H50" s="10">
        <f>IF(OR(2039053.91344="",11615.983="",13195.46483=""),"-",(11615.983-13195.46483)/2039053.91344*100)</f>
        <v>-7.7461504062701553E-2</v>
      </c>
    </row>
    <row r="51" spans="1:8" s="2" customFormat="1" x14ac:dyDescent="0.25">
      <c r="A51" s="13" t="s">
        <v>246</v>
      </c>
      <c r="B51" s="14" t="s">
        <v>27</v>
      </c>
      <c r="C51" s="10">
        <v>18390.148140000001</v>
      </c>
      <c r="D51" s="10">
        <f>IF(OR(19797.93904="",18390.14814=""),"-",18390.14814/19797.93904*100)</f>
        <v>92.889204794722914</v>
      </c>
      <c r="E51" s="10">
        <f>IF(19797.93904="","-",19797.93904/2039053.91344*100)</f>
        <v>0.97093749750832981</v>
      </c>
      <c r="F51" s="10">
        <f>IF(18390.14814="","-",18390.14814/2306997.54002*100)</f>
        <v>0.79714641307509027</v>
      </c>
      <c r="G51" s="10">
        <f>IF(OR(1550863.02837="",15277.4405="",19797.93904=""),"-",(19797.93904-15277.4405)/1550863.02837*100)</f>
        <v>0.29148277167656578</v>
      </c>
      <c r="H51" s="10">
        <f>IF(OR(2039053.91344="",18390.14814="",19797.93904=""),"-",(18390.14814-19797.93904)/2039053.91344*100)</f>
        <v>-6.9041377019059616E-2</v>
      </c>
    </row>
    <row r="52" spans="1:8" s="2" customFormat="1" x14ac:dyDescent="0.25">
      <c r="A52" s="13" t="s">
        <v>247</v>
      </c>
      <c r="B52" s="14" t="s">
        <v>156</v>
      </c>
      <c r="C52" s="10">
        <v>22709.043460000001</v>
      </c>
      <c r="D52" s="10">
        <f>IF(OR(23555.40037="",22709.04346=""),"-",22709.04346/23555.40037*100)</f>
        <v>96.406951710836069</v>
      </c>
      <c r="E52" s="10">
        <f>IF(23555.40037="","-",23555.40037/2039053.91344*100)</f>
        <v>1.1552122391045905</v>
      </c>
      <c r="F52" s="10">
        <f>IF(22709.04346="","-",22709.04346/2306997.54002*100)</f>
        <v>0.98435490571884732</v>
      </c>
      <c r="G52" s="10">
        <f>IF(OR(1550863.02837="",21544.59436="",23555.40037=""),"-",(23555.40037-21544.59436)/1550863.02837*100)</f>
        <v>0.12965722782839262</v>
      </c>
      <c r="H52" s="10">
        <f>IF(OR(2039053.91344="",22709.04346="",23555.40037=""),"-",(22709.04346-23555.40037)/2039053.91344*100)</f>
        <v>-4.1507333593359792E-2</v>
      </c>
    </row>
    <row r="53" spans="1:8" s="2" customFormat="1" ht="25.5" x14ac:dyDescent="0.25">
      <c r="A53" s="13" t="s">
        <v>248</v>
      </c>
      <c r="B53" s="14" t="s">
        <v>157</v>
      </c>
      <c r="C53" s="10">
        <v>29814.199189999999</v>
      </c>
      <c r="D53" s="10">
        <f>IF(OR(28984.58121="",29814.19919=""),"-",29814.19919/28984.58121*100)</f>
        <v>102.86227347564288</v>
      </c>
      <c r="E53" s="10">
        <f>IF(28984.58121="","-",28984.58121/2039053.91344*100)</f>
        <v>1.4214720375441845</v>
      </c>
      <c r="F53" s="10">
        <f>IF(29814.19919="","-",29814.19919/2306997.54002*100)</f>
        <v>1.2923377105006157</v>
      </c>
      <c r="G53" s="10">
        <f>IF(OR(1550863.02837="",24336.98687="",28984.58121=""),"-",(28984.58121-24336.98687)/1550863.02837*100)</f>
        <v>0.29967793770187107</v>
      </c>
      <c r="H53" s="10">
        <f>IF(OR(2039053.91344="",29814.19919="",28984.58121=""),"-",(29814.19919-28984.58121)/2039053.91344*100)</f>
        <v>4.0686417094307537E-2</v>
      </c>
    </row>
    <row r="54" spans="1:8" s="2" customFormat="1" ht="27.75" customHeight="1" x14ac:dyDescent="0.25">
      <c r="A54" s="13" t="s">
        <v>249</v>
      </c>
      <c r="B54" s="14" t="s">
        <v>158</v>
      </c>
      <c r="C54" s="10">
        <v>73569.862529999999</v>
      </c>
      <c r="D54" s="10">
        <f>IF(OR(79023.70739="",73569.86253=""),"-",73569.86253/79023.70739*100)</f>
        <v>93.098470015986436</v>
      </c>
      <c r="E54" s="10">
        <f>IF(79023.70739="","-",79023.70739/2039053.91344*100)</f>
        <v>3.8755084830828479</v>
      </c>
      <c r="F54" s="10">
        <f>IF(73569.86253="","-",73569.86253/2306997.54002*100)</f>
        <v>3.188987471974599</v>
      </c>
      <c r="G54" s="10">
        <f>IF(OR(1550863.02837="",69398.18892="",79023.70739=""),"-",(79023.70739-69398.18892)/1550863.02837*100)</f>
        <v>0.62065561522326584</v>
      </c>
      <c r="H54" s="10">
        <f>IF(OR(2039053.91344="",73569.86253="",79023.70739=""),"-",(73569.86253-79023.70739)/2039053.91344*100)</f>
        <v>-0.26746937999295223</v>
      </c>
    </row>
    <row r="55" spans="1:8" s="2" customFormat="1" x14ac:dyDescent="0.25">
      <c r="A55" s="13" t="s">
        <v>250</v>
      </c>
      <c r="B55" s="14" t="s">
        <v>28</v>
      </c>
      <c r="C55" s="10">
        <v>39884.844069999999</v>
      </c>
      <c r="D55" s="10">
        <f>IF(OR(31486.33106="",39884.84407=""),"-",39884.84407/31486.33106*100)</f>
        <v>126.67352062708063</v>
      </c>
      <c r="E55" s="10">
        <f>IF(31486.33106="","-",31486.33106/2039053.91344*100)</f>
        <v>1.5441637345861428</v>
      </c>
      <c r="F55" s="10">
        <f>IF(39884.84407="","-",39884.84407/2306997.54002*100)</f>
        <v>1.7288637451106352</v>
      </c>
      <c r="G55" s="10">
        <f>IF(OR(1550863.02837="",31217.7585="",31486.33106=""),"-",(31486.33106-31217.7585)/1550863.02837*100)</f>
        <v>1.7317619614820385E-2</v>
      </c>
      <c r="H55" s="10">
        <f>IF(OR(2039053.91344="",39884.84407="",31486.33106=""),"-",(39884.84407-31486.33106)/2039053.91344*100)</f>
        <v>0.41188283226073358</v>
      </c>
    </row>
    <row r="56" spans="1:8" s="2" customFormat="1" x14ac:dyDescent="0.25">
      <c r="A56" s="13" t="s">
        <v>251</v>
      </c>
      <c r="B56" s="14" t="s">
        <v>159</v>
      </c>
      <c r="C56" s="10">
        <v>30609.854360000001</v>
      </c>
      <c r="D56" s="10">
        <f>IF(OR(39398.3569="",30609.85436=""),"-",30609.85436/39398.3569*100)</f>
        <v>77.693225729421229</v>
      </c>
      <c r="E56" s="10">
        <f>IF(39398.3569="","-",39398.3569/2039053.91344*100)</f>
        <v>1.9321880917573548</v>
      </c>
      <c r="F56" s="10">
        <f>IF(30609.85436="","-",30609.85436/2306997.54002*100)</f>
        <v>1.3268264845975792</v>
      </c>
      <c r="G56" s="10">
        <f>IF(OR(1550863.02837="",29415.20755="",39398.3569=""),"-",(39398.3569-29415.20755)/1550863.02837*100)</f>
        <v>0.64371573552130945</v>
      </c>
      <c r="H56" s="10">
        <f>IF(OR(2039053.91344="",30609.85436="",39398.3569=""),"-",(30609.85436-39398.3569)/2039053.91344*100)</f>
        <v>-0.43100883611131663</v>
      </c>
    </row>
    <row r="57" spans="1:8" s="2" customFormat="1" x14ac:dyDescent="0.25">
      <c r="A57" s="13" t="s">
        <v>252</v>
      </c>
      <c r="B57" s="14" t="s">
        <v>29</v>
      </c>
      <c r="C57" s="10">
        <v>8326.8332599999994</v>
      </c>
      <c r="D57" s="10">
        <f>IF(OR(7877.27819="",8326.83326=""),"-",8326.83326/7877.27819*100)</f>
        <v>105.70698481324041</v>
      </c>
      <c r="E57" s="10">
        <f>IF(7877.27819="","-",7877.27819/2039053.91344*100)</f>
        <v>0.38632025068481801</v>
      </c>
      <c r="F57" s="10">
        <f>IF(8326.83326="","-",8326.83326/2306997.54002*100)</f>
        <v>0.3609381074557978</v>
      </c>
      <c r="G57" s="10">
        <f>IF(OR(1550863.02837="",16139.253="",7877.27819=""),"-",(7877.27819-16139.253)/1550863.02837*100)</f>
        <v>-0.53273401060334546</v>
      </c>
      <c r="H57" s="10">
        <f>IF(OR(2039053.91344="",8326.83326="",7877.27819=""),"-",(8326.83326-7877.27819)/2039053.91344*100)</f>
        <v>2.2047238037054863E-2</v>
      </c>
    </row>
    <row r="58" spans="1:8" s="2" customFormat="1" x14ac:dyDescent="0.25">
      <c r="A58" s="13" t="s">
        <v>253</v>
      </c>
      <c r="B58" s="14" t="s">
        <v>30</v>
      </c>
      <c r="C58" s="10">
        <v>41701.148699999998</v>
      </c>
      <c r="D58" s="10">
        <f>IF(OR(42877.69465="",41701.1487=""),"-",41701.1487/42877.69465*100)</f>
        <v>97.256041959336088</v>
      </c>
      <c r="E58" s="10">
        <f>IF(42877.69465="","-",42877.69465/2039053.91344*100)</f>
        <v>2.1028229988123699</v>
      </c>
      <c r="F58" s="10">
        <f>IF(41701.1487="","-",41701.1487/2306997.54002*100)</f>
        <v>1.8075939820741411</v>
      </c>
      <c r="G58" s="10">
        <f>IF(OR(1550863.02837="",43312.61414="",42877.69465=""),"-",(42877.69465-43312.61414)/1550863.02837*100)</f>
        <v>-2.8043707409616484E-2</v>
      </c>
      <c r="H58" s="10">
        <f>IF(OR(2039053.91344="",41701.1487="",42877.69465=""),"-",(41701.1487-42877.69465)/2039053.91344*100)</f>
        <v>-5.7700580756842264E-2</v>
      </c>
    </row>
    <row r="59" spans="1:8" s="2" customFormat="1" ht="25.5" x14ac:dyDescent="0.25">
      <c r="A59" s="11" t="s">
        <v>254</v>
      </c>
      <c r="B59" s="12" t="s">
        <v>160</v>
      </c>
      <c r="C59" s="9">
        <v>476441.33145</v>
      </c>
      <c r="D59" s="9">
        <f>IF(425700.20562="","-",476441.33145/425700.20562*100)</f>
        <v>111.91945062749016</v>
      </c>
      <c r="E59" s="9">
        <f>IF(425700.20562="","-",425700.20562/2039053.91344*100)</f>
        <v>20.877339378526756</v>
      </c>
      <c r="F59" s="9">
        <f>IF(476441.33145="","-",476441.33145/2306997.54002*100)</f>
        <v>20.652008646956318</v>
      </c>
      <c r="G59" s="9">
        <f>IF(1550863.02837="","-",(425700.20562-396092.06704)/1550863.02837*100)</f>
        <v>1.9091394944864348</v>
      </c>
      <c r="H59" s="9">
        <f>IF(2039053.91344="","-",(476441.33145-425700.20562)/2039053.91344*100)</f>
        <v>2.4884641595570569</v>
      </c>
    </row>
    <row r="60" spans="1:8" s="2" customFormat="1" ht="25.5" x14ac:dyDescent="0.25">
      <c r="A60" s="13" t="s">
        <v>255</v>
      </c>
      <c r="B60" s="14" t="s">
        <v>161</v>
      </c>
      <c r="C60" s="10">
        <v>9879.6263799999997</v>
      </c>
      <c r="D60" s="10">
        <f>IF(OR(6790.34303="",9879.62638=""),"-",9879.62638/6790.34303*100)</f>
        <v>145.4952472408452</v>
      </c>
      <c r="E60" s="10">
        <f>IF(6790.34303="","-",6790.34303/2039053.91344*100)</f>
        <v>0.33301439384426595</v>
      </c>
      <c r="F60" s="10">
        <f>IF(9879.62638="","-",9879.62638/2306997.54002*100)</f>
        <v>0.42824607346197469</v>
      </c>
      <c r="G60" s="10">
        <f>IF(OR(1550863.02837="",7172.01209="",6790.34303=""),"-",(6790.34303-7172.01209)/1550863.02837*100)</f>
        <v>-2.4610107599324547E-2</v>
      </c>
      <c r="H60" s="10">
        <f>IF(OR(2039053.91344="",9879.62638="",6790.34303=""),"-",(9879.62638-6790.34303)/2039053.91344*100)</f>
        <v>0.1515057218270508</v>
      </c>
    </row>
    <row r="61" spans="1:8" s="2" customFormat="1" ht="25.5" x14ac:dyDescent="0.25">
      <c r="A61" s="13" t="s">
        <v>256</v>
      </c>
      <c r="B61" s="14" t="s">
        <v>162</v>
      </c>
      <c r="C61" s="10">
        <v>52093.287340000003</v>
      </c>
      <c r="D61" s="10">
        <f>IF(OR(66063.37821="",52093.28734=""),"-",52093.28734/66063.37821*100)</f>
        <v>78.853502123987141</v>
      </c>
      <c r="E61" s="10">
        <f>IF(66063.37821="","-",66063.37821/2039053.91344*100)</f>
        <v>3.2399034559389022</v>
      </c>
      <c r="F61" s="10">
        <f>IF(52093.28734="","-",52093.28734/2306997.54002*100)</f>
        <v>2.2580556084835872</v>
      </c>
      <c r="G61" s="10">
        <f>IF(OR(1550863.02837="",41337.36668="",66063.37821=""),"-",(66063.37821-41337.36668)/1550863.02837*100)</f>
        <v>1.5943388344222584</v>
      </c>
      <c r="H61" s="10">
        <f>IF(OR(2039053.91344="",52093.28734="",66063.37821=""),"-",(52093.28734-66063.37821)/2039053.91344*100)</f>
        <v>-0.68512611549498736</v>
      </c>
    </row>
    <row r="62" spans="1:8" s="2" customFormat="1" ht="25.5" x14ac:dyDescent="0.25">
      <c r="A62" s="13" t="s">
        <v>257</v>
      </c>
      <c r="B62" s="14" t="s">
        <v>163</v>
      </c>
      <c r="C62" s="10">
        <v>4481.94841</v>
      </c>
      <c r="D62" s="10">
        <f>IF(OR(2938.01835="",4481.94841=""),"-",4481.94841/2938.01835*100)</f>
        <v>152.55004823234003</v>
      </c>
      <c r="E62" s="10">
        <f>IF(2938.01835="","-",2938.01835/2039053.91344*100)</f>
        <v>0.14408733043470123</v>
      </c>
      <c r="F62" s="10">
        <f>IF(4481.94841="","-",4481.94841/2306997.54002*100)</f>
        <v>0.19427625440645871</v>
      </c>
      <c r="G62" s="10">
        <f>IF(OR(1550863.02837="",3523.51254="",2938.01835=""),"-",(2938.01835-3523.51254)/1550863.02837*100)</f>
        <v>-3.7752798234888023E-2</v>
      </c>
      <c r="H62" s="10">
        <f>IF(OR(2039053.91344="",4481.94841="",2938.01835=""),"-",(4481.94841-2938.01835)/2039053.91344*100)</f>
        <v>7.5717961640126633E-2</v>
      </c>
    </row>
    <row r="63" spans="1:8" s="2" customFormat="1" ht="38.25" x14ac:dyDescent="0.25">
      <c r="A63" s="13" t="s">
        <v>258</v>
      </c>
      <c r="B63" s="14" t="s">
        <v>164</v>
      </c>
      <c r="C63" s="10">
        <v>51919.084929999997</v>
      </c>
      <c r="D63" s="10">
        <f>IF(OR(51991.25725="",51919.08493=""),"-",51919.08493/51991.25725*100)</f>
        <v>99.861183737771597</v>
      </c>
      <c r="E63" s="10">
        <f>IF(51991.25725="","-",51991.25725/2039053.91344*100)</f>
        <v>2.5497735448440295</v>
      </c>
      <c r="F63" s="10">
        <f>IF(51919.08493="","-",51919.08493/2306997.54002*100)</f>
        <v>2.2505045640209</v>
      </c>
      <c r="G63" s="10">
        <f>IF(OR(1550863.02837="",54968.80707="",51991.25725=""),"-",(51991.25725-54968.80707)/1550863.02837*100)</f>
        <v>-0.19199308807622345</v>
      </c>
      <c r="H63" s="10">
        <f>IF(OR(2039053.91344="",51919.08493="",51991.25725=""),"-",(51919.08493-51991.25725)/2039053.91344*100)</f>
        <v>-3.5395003302412104E-3</v>
      </c>
    </row>
    <row r="64" spans="1:8" s="2" customFormat="1" ht="25.5" x14ac:dyDescent="0.25">
      <c r="A64" s="13" t="s">
        <v>259</v>
      </c>
      <c r="B64" s="14" t="s">
        <v>165</v>
      </c>
      <c r="C64" s="10">
        <v>21273.495289999999</v>
      </c>
      <c r="D64" s="10">
        <f>IF(OR(21084.26143="",21273.49529=""),"-",21273.49529/21084.26143*100)</f>
        <v>100.89751239628791</v>
      </c>
      <c r="E64" s="10">
        <f>IF(21084.26143="","-",21084.26143/2039053.91344*100)</f>
        <v>1.0340217730893466</v>
      </c>
      <c r="F64" s="10">
        <f>IF(21273.49529="","-",21273.49529/2306997.54002*100)</f>
        <v>0.92212908427356066</v>
      </c>
      <c r="G64" s="10">
        <f>IF(OR(1550863.02837="",18234.95743="",21084.26143=""),"-",(21084.26143-18234.95743)/1550863.02837*100)</f>
        <v>0.18372376850034897</v>
      </c>
      <c r="H64" s="10">
        <f>IF(OR(2039053.91344="",21273.49529="",21084.26143=""),"-",(21273.49529-21084.26143)/2039053.91344*100)</f>
        <v>9.2804735937929168E-3</v>
      </c>
    </row>
    <row r="65" spans="1:8" s="2" customFormat="1" ht="38.25" x14ac:dyDescent="0.25">
      <c r="A65" s="13" t="s">
        <v>260</v>
      </c>
      <c r="B65" s="14" t="s">
        <v>166</v>
      </c>
      <c r="C65" s="10">
        <v>50007.811800000003</v>
      </c>
      <c r="D65" s="10">
        <f>IF(OR(39770.96248="",50007.8118=""),"-",50007.8118/39770.96248*100)</f>
        <v>125.73950611617181</v>
      </c>
      <c r="E65" s="10">
        <f>IF(39770.96248="","-",39770.96248/2039053.91344*100)</f>
        <v>1.9504615458109258</v>
      </c>
      <c r="F65" s="10">
        <f>IF(50007.8118="","-",50007.8118/2306997.54002*100)</f>
        <v>2.1676577860402255</v>
      </c>
      <c r="G65" s="10">
        <f>IF(OR(1550863.02837="",42651.91115="",39770.96248=""),"-",(39770.96248-42651.91115)/1550863.02837*100)</f>
        <v>-0.18576422400293821</v>
      </c>
      <c r="H65" s="10">
        <f>IF(OR(2039053.91344="",50007.8118="",39770.96248=""),"-",(50007.8118-39770.96248)/2039053.91344*100)</f>
        <v>0.50203916887758271</v>
      </c>
    </row>
    <row r="66" spans="1:8" s="2" customFormat="1" ht="51" x14ac:dyDescent="0.25">
      <c r="A66" s="13" t="s">
        <v>261</v>
      </c>
      <c r="B66" s="14" t="s">
        <v>167</v>
      </c>
      <c r="C66" s="10">
        <v>152779.11270999999</v>
      </c>
      <c r="D66" s="10">
        <f>IF(OR(126181.3937="",152779.11271=""),"-",152779.11271/126181.3937*100)</f>
        <v>121.07895485227944</v>
      </c>
      <c r="E66" s="10">
        <f>IF(126181.3937="","-",126181.3937/2039053.91344*100)</f>
        <v>6.1882323399249799</v>
      </c>
      <c r="F66" s="10">
        <f>IF(152779.11271="","-",152779.11271/2306997.54002*100)</f>
        <v>6.622422003478837</v>
      </c>
      <c r="G66" s="10">
        <f>IF(OR(1550863.02837="",128694.35833="",126181.3937=""),"-",(126181.3937-128694.35833)/1550863.02837*100)</f>
        <v>-0.16203652959869691</v>
      </c>
      <c r="H66" s="10">
        <f>IF(OR(2039053.91344="",152779.11271="",126181.3937=""),"-",(152779.11271-126181.3937)/2039053.91344*100)</f>
        <v>1.3044147010869427</v>
      </c>
    </row>
    <row r="67" spans="1:8" s="2" customFormat="1" ht="25.5" x14ac:dyDescent="0.25">
      <c r="A67" s="13" t="s">
        <v>262</v>
      </c>
      <c r="B67" s="14" t="s">
        <v>168</v>
      </c>
      <c r="C67" s="10">
        <v>132406.77669</v>
      </c>
      <c r="D67" s="10">
        <f>IF(OR(108402.94355="",132406.77669=""),"-",132406.77669/108402.94355*100)</f>
        <v>122.14315622244006</v>
      </c>
      <c r="E67" s="10">
        <f>IF(108402.94355="","-",108402.94355/2039053.91344*100)</f>
        <v>5.3163353276480096</v>
      </c>
      <c r="F67" s="10">
        <f>IF(132406.77669="","-",132406.77669/2306997.54002*100)</f>
        <v>5.73935491447694</v>
      </c>
      <c r="G67" s="10">
        <f>IF(OR(1550863.02837="",99133.49366="",108402.94355=""),"-",(108402.94355-99133.49366)/1550863.02837*100)</f>
        <v>0.59769623238374914</v>
      </c>
      <c r="H67" s="10">
        <f>IF(OR(2039053.91344="",132406.77669="",108402.94355=""),"-",(132406.77669-108402.94355)/2039053.91344*100)</f>
        <v>1.1772044369098691</v>
      </c>
    </row>
    <row r="68" spans="1:8" s="2" customFormat="1" x14ac:dyDescent="0.25">
      <c r="A68" s="13" t="s">
        <v>263</v>
      </c>
      <c r="B68" s="14" t="s">
        <v>31</v>
      </c>
      <c r="C68" s="10">
        <v>1600.1878999999999</v>
      </c>
      <c r="D68" s="10">
        <f>IF(OR(2477.64762="",1600.1879=""),"-",1600.1879/2477.64762*100)</f>
        <v>64.584967090679328</v>
      </c>
      <c r="E68" s="10">
        <f>IF(2477.64762="","-",2477.64762/2039053.91344*100)</f>
        <v>0.12150966699159353</v>
      </c>
      <c r="F68" s="10">
        <f>IF(1600.1879="","-",1600.1879/2306997.54002*100)</f>
        <v>6.9362358313833639E-2</v>
      </c>
      <c r="G68" s="10">
        <f>IF(OR(1550863.02837="",375.64809="",2477.64762=""),"-",(2477.64762-375.64809)/1550863.02837*100)</f>
        <v>0.13553740669214739</v>
      </c>
      <c r="H68" s="10">
        <f>IF(OR(2039053.91344="",1600.1879="",2477.64762=""),"-",(1600.1879-2477.64762)/2039053.91344*100)</f>
        <v>-4.3032688553078804E-2</v>
      </c>
    </row>
    <row r="69" spans="1:8" s="2" customFormat="1" x14ac:dyDescent="0.25">
      <c r="A69" s="11" t="s">
        <v>264</v>
      </c>
      <c r="B69" s="12" t="s">
        <v>32</v>
      </c>
      <c r="C69" s="9">
        <v>194519.45165</v>
      </c>
      <c r="D69" s="9">
        <f>IF(172656.78272="","-",194519.45165/172656.78272*100)</f>
        <v>112.66250221136984</v>
      </c>
      <c r="E69" s="9">
        <f>IF(172656.78272="","-",172656.78272/2039053.91344*100)</f>
        <v>8.4674947328252923</v>
      </c>
      <c r="F69" s="9">
        <f>IF(194519.45165="","-",194519.45165/2306997.54002*100)</f>
        <v>8.4317147407237218</v>
      </c>
      <c r="G69" s="9">
        <f>IF(1550863.02837="","-",(172656.78272-177748.11539)/1550863.02837*100)</f>
        <v>-0.32829028591590936</v>
      </c>
      <c r="H69" s="9">
        <f>IF(2039053.91344="","-",(194519.45165-172656.78272)/2039053.91344*100)</f>
        <v>1.0721967077916272</v>
      </c>
    </row>
    <row r="70" spans="1:8" ht="38.25" x14ac:dyDescent="0.25">
      <c r="A70" s="13" t="s">
        <v>265</v>
      </c>
      <c r="B70" s="14" t="s">
        <v>194</v>
      </c>
      <c r="C70" s="10">
        <v>10716.629629999999</v>
      </c>
      <c r="D70" s="10">
        <f>IF(OR(14426.61107="",10716.62963=""),"-",10716.62963/14426.61107*100)</f>
        <v>74.283763373125993</v>
      </c>
      <c r="E70" s="10">
        <f>IF(14426.61107="","-",14426.61107/2039053.91344*100)</f>
        <v>0.70751493989001435</v>
      </c>
      <c r="F70" s="10">
        <f>IF(10716.62963="","-",10716.62963/2306997.54002*100)</f>
        <v>0.46452713728975592</v>
      </c>
      <c r="G70" s="10">
        <f>IF(OR(1550863.02837="",12967.56513="",14426.61107=""),"-",(14426.61107-12967.56513)/1550863.02837*100)</f>
        <v>9.4079613306243925E-2</v>
      </c>
      <c r="H70" s="10">
        <f>IF(OR(2039053.91344="",10716.62963="",14426.61107=""),"-",(10716.62963-14426.61107)/2039053.91344*100)</f>
        <v>-0.18194621611260153</v>
      </c>
    </row>
    <row r="71" spans="1:8" x14ac:dyDescent="0.25">
      <c r="A71" s="13" t="s">
        <v>266</v>
      </c>
      <c r="B71" s="14" t="s">
        <v>169</v>
      </c>
      <c r="C71" s="10">
        <v>14777.19839</v>
      </c>
      <c r="D71" s="10">
        <f>IF(OR(17788.75128="",14777.19839=""),"-",14777.19839/17788.75128*100)</f>
        <v>83.070464910114808</v>
      </c>
      <c r="E71" s="10">
        <f>IF(17788.75128="","-",17788.75128/2039053.91344*100)</f>
        <v>0.8724022039215904</v>
      </c>
      <c r="F71" s="10">
        <f>IF(14777.19839="","-",14777.19839/2306997.54002*100)</f>
        <v>0.64053810780708031</v>
      </c>
      <c r="G71" s="10">
        <f>IF(OR(1550863.02837="",16145.26678="",17788.75128=""),"-",(17788.75128-16145.26678)/1550863.02837*100)</f>
        <v>0.10597225350889615</v>
      </c>
      <c r="H71" s="10">
        <f>IF(OR(2039053.91344="",14777.19839="",17788.75128=""),"-",(14777.19839-17788.75128)/2039053.91344*100)</f>
        <v>-0.14769363723783741</v>
      </c>
    </row>
    <row r="72" spans="1:8" x14ac:dyDescent="0.25">
      <c r="A72" s="13" t="s">
        <v>267</v>
      </c>
      <c r="B72" s="14" t="s">
        <v>170</v>
      </c>
      <c r="C72" s="10">
        <v>4172.9750400000003</v>
      </c>
      <c r="D72" s="10">
        <f>IF(OR(3719.35628="",4172.97504=""),"-",4172.97504/3719.35628*100)</f>
        <v>112.19616314896297</v>
      </c>
      <c r="E72" s="10">
        <f>IF(3719.35628="","-",3719.35628/2039053.91344*100)</f>
        <v>0.18240598031688304</v>
      </c>
      <c r="F72" s="10">
        <f>IF(4172.97504="","-",4172.97504/2306997.54002*100)</f>
        <v>0.18088337623298129</v>
      </c>
      <c r="G72" s="10">
        <f>IF(OR(1550863.02837="",2837.06946="",3719.35628=""),"-",(3719.35628-2837.06946)/1550863.02837*100)</f>
        <v>5.6890054367167917E-2</v>
      </c>
      <c r="H72" s="10">
        <f>IF(OR(2039053.91344="",4172.97504="",3719.35628=""),"-",(4172.97504-3719.35628)/2039053.91344*100)</f>
        <v>2.2246530952912357E-2</v>
      </c>
    </row>
    <row r="73" spans="1:8" x14ac:dyDescent="0.25">
      <c r="A73" s="13" t="s">
        <v>268</v>
      </c>
      <c r="B73" s="14" t="s">
        <v>171</v>
      </c>
      <c r="C73" s="10">
        <v>47733.977509999997</v>
      </c>
      <c r="D73" s="10">
        <f>IF(OR(41875.91656="",47733.97751=""),"-",47733.97751/41875.91656*100)</f>
        <v>113.98909309031254</v>
      </c>
      <c r="E73" s="10">
        <f>IF(41875.91656="","-",41875.91656/2039053.91344*100)</f>
        <v>2.0536934449836561</v>
      </c>
      <c r="F73" s="10">
        <f>IF(47733.97751="","-",47733.97751/2306997.54002*100)</f>
        <v>2.069095292992214</v>
      </c>
      <c r="G73" s="10">
        <f>IF(OR(1550863.02837="",43495.18409="",41875.91656=""),"-",(41875.91656-43495.18409)/1550863.02837*100)</f>
        <v>-0.10441073778784317</v>
      </c>
      <c r="H73" s="10">
        <f>IF(OR(2039053.91344="",47733.97751="",41875.91656=""),"-",(47733.97751-41875.91656)/2039053.91344*100)</f>
        <v>0.28729308780841001</v>
      </c>
    </row>
    <row r="74" spans="1:8" x14ac:dyDescent="0.25">
      <c r="A74" s="13" t="s">
        <v>269</v>
      </c>
      <c r="B74" s="14" t="s">
        <v>172</v>
      </c>
      <c r="C74" s="10">
        <v>15387.62486</v>
      </c>
      <c r="D74" s="10">
        <f>IF(OR(14197.80757="",15387.62486=""),"-",15387.62486/14197.80757*100)</f>
        <v>108.3802888870961</v>
      </c>
      <c r="E74" s="10">
        <f>IF(14197.80757="","-",14197.80757/2039053.91344*100)</f>
        <v>0.69629387807836285</v>
      </c>
      <c r="F74" s="10">
        <f>IF(15387.62486="","-",15387.62486/2306997.54002*100)</f>
        <v>0.66699788764692824</v>
      </c>
      <c r="G74" s="10">
        <f>IF(OR(1550863.02837="",13449.42642="",14197.80757=""),"-",(14197.80757-13449.42642)/1550863.02837*100)</f>
        <v>4.8255786378928023E-2</v>
      </c>
      <c r="H74" s="10">
        <f>IF(OR(2039053.91344="",15387.62486="",14197.80757=""),"-",(15387.62486-14197.80757)/2039053.91344*100)</f>
        <v>5.8351438486131516E-2</v>
      </c>
    </row>
    <row r="75" spans="1:8" ht="25.5" x14ac:dyDescent="0.25">
      <c r="A75" s="13" t="s">
        <v>270</v>
      </c>
      <c r="B75" s="14" t="s">
        <v>323</v>
      </c>
      <c r="C75" s="10">
        <v>18174.819869999999</v>
      </c>
      <c r="D75" s="10">
        <f>IF(OR(15188.35353="",18174.81987=""),"-",18174.81987/15188.35353*100)</f>
        <v>119.66287085760243</v>
      </c>
      <c r="E75" s="10">
        <f>IF(15188.35353="","-",15188.35353/2039053.91344*100)</f>
        <v>0.74487258183263938</v>
      </c>
      <c r="F75" s="10">
        <f>IF(18174.81987="","-",18174.81987/2306997.54002*100)</f>
        <v>0.78781271131491692</v>
      </c>
      <c r="G75" s="10">
        <f>IF(OR(1550863.02837="",20663.54412="",15188.35353=""),"-",(15188.35353-20663.54412)/1550863.02837*100)</f>
        <v>-0.35304153170474223</v>
      </c>
      <c r="H75" s="10">
        <f>IF(OR(2039053.91344="",18174.81987="",15188.35353=""),"-",(18174.81987-15188.35353)/2039053.91344*100)</f>
        <v>0.14646333381944082</v>
      </c>
    </row>
    <row r="76" spans="1:8" ht="25.5" x14ac:dyDescent="0.25">
      <c r="A76" s="13" t="s">
        <v>271</v>
      </c>
      <c r="B76" s="14" t="s">
        <v>173</v>
      </c>
      <c r="C76" s="10">
        <v>4899.6943300000003</v>
      </c>
      <c r="D76" s="10">
        <f>IF(OR(3379.39017="",4899.69433=""),"-",4899.69433/3379.39017*100)</f>
        <v>144.98752980630229</v>
      </c>
      <c r="E76" s="10">
        <f>IF(3379.39017="","-",3379.39017/2039053.91344*100)</f>
        <v>0.16573324264382872</v>
      </c>
      <c r="F76" s="10">
        <f>IF(4899.69433="","-",4899.69433/2306997.54002*100)</f>
        <v>0.21238402924164032</v>
      </c>
      <c r="G76" s="10">
        <f>IF(OR(1550863.02837="",3113.94998="",3379.39017=""),"-",(3379.39017-3113.94998)/1550863.02837*100)</f>
        <v>1.7115643686405065E-2</v>
      </c>
      <c r="H76" s="10">
        <f>IF(OR(2039053.91344="",4899.69433="",3379.39017=""),"-",(4899.69433-3379.39017)/2039053.91344*100)</f>
        <v>7.4559291933343763E-2</v>
      </c>
    </row>
    <row r="77" spans="1:8" x14ac:dyDescent="0.25">
      <c r="A77" s="13" t="s">
        <v>272</v>
      </c>
      <c r="B77" s="14" t="s">
        <v>33</v>
      </c>
      <c r="C77" s="10">
        <v>78656.532019999999</v>
      </c>
      <c r="D77" s="10">
        <f>IF(OR(62080.59626="",78656.53202=""),"-",78656.53202/62080.59626*100)</f>
        <v>126.70067099642255</v>
      </c>
      <c r="E77" s="10">
        <f>IF(62080.59626="","-",62080.59626/2039053.91344*100)</f>
        <v>3.0445784611583173</v>
      </c>
      <c r="F77" s="10">
        <f>IF(78656.53202="","-",78656.53202/2306997.54002*100)</f>
        <v>3.4094761981982047</v>
      </c>
      <c r="G77" s="10">
        <f>IF(OR(1550863.02837="",65076.10941="",62080.59626=""),"-",(62080.59626-65076.10941)/1550863.02837*100)</f>
        <v>-0.19315136767096489</v>
      </c>
      <c r="H77" s="10">
        <f>IF(OR(2039053.91344="",78656.53202="",62080.59626=""),"-",(78656.53202-62080.59626)/2039053.91344*100)</f>
        <v>0.81292287814182673</v>
      </c>
    </row>
    <row r="78" spans="1:8" ht="25.5" x14ac:dyDescent="0.25">
      <c r="A78" s="62" t="s">
        <v>275</v>
      </c>
      <c r="B78" s="59" t="s">
        <v>174</v>
      </c>
      <c r="C78" s="60">
        <v>3022.2772</v>
      </c>
      <c r="D78" s="60">
        <f>IF(8317.11143="","-",3022.2772/8317.11143*100)</f>
        <v>36.338063105642433</v>
      </c>
      <c r="E78" s="60">
        <f>IF(8317.11143="","-",8317.11143/2039053.91344*100)</f>
        <v>0.40789070731183175</v>
      </c>
      <c r="F78" s="60">
        <f>IF(3022.2772="","-",3022.2772/2306997.54002*100)</f>
        <v>0.13100478641922605</v>
      </c>
      <c r="G78" s="60">
        <f>IF(1550863.02837="","-",(8317.11143-76.52458)/1550863.02837*100)</f>
        <v>0.53135491008906743</v>
      </c>
      <c r="H78" s="60">
        <f>IF(2039053.91344="","-",(3022.2772-8317.11143)/2039053.91344*100)</f>
        <v>-0.25967112468680703</v>
      </c>
    </row>
    <row r="79" spans="1:8" x14ac:dyDescent="0.25">
      <c r="A79" s="20" t="s">
        <v>278</v>
      </c>
      <c r="B79" s="21"/>
    </row>
    <row r="80" spans="1:8" x14ac:dyDescent="0.25">
      <c r="A80" s="21" t="s">
        <v>329</v>
      </c>
      <c r="B80" s="2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2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7" customWidth="1"/>
    <col min="2" max="2" width="39" customWidth="1"/>
    <col min="3" max="3" width="13.125" customWidth="1"/>
    <col min="4" max="4" width="13.375" customWidth="1"/>
    <col min="5" max="5" width="13.625" customWidth="1"/>
  </cols>
  <sheetData>
    <row r="1" spans="1:5" x14ac:dyDescent="0.25">
      <c r="B1" s="85" t="s">
        <v>129</v>
      </c>
      <c r="C1" s="85"/>
      <c r="D1" s="85"/>
      <c r="E1" s="85"/>
    </row>
    <row r="2" spans="1:5" x14ac:dyDescent="0.25">
      <c r="B2" s="85" t="s">
        <v>277</v>
      </c>
      <c r="C2" s="85"/>
      <c r="D2" s="85"/>
      <c r="E2" s="85"/>
    </row>
    <row r="3" spans="1:5" x14ac:dyDescent="0.25">
      <c r="A3" s="95"/>
      <c r="B3" s="95"/>
      <c r="C3" s="95"/>
      <c r="D3" s="95"/>
      <c r="E3" s="95"/>
    </row>
    <row r="4" spans="1:5" ht="81.75" customHeight="1" x14ac:dyDescent="0.25">
      <c r="A4" s="45" t="s">
        <v>276</v>
      </c>
      <c r="B4" s="47"/>
      <c r="C4" s="45" t="s">
        <v>353</v>
      </c>
      <c r="D4" s="45" t="s">
        <v>354</v>
      </c>
      <c r="E4" s="46" t="s">
        <v>358</v>
      </c>
    </row>
    <row r="5" spans="1:5" s="37" customFormat="1" ht="15.75" customHeight="1" x14ac:dyDescent="0.2">
      <c r="A5" s="25"/>
      <c r="B5" s="57" t="s">
        <v>282</v>
      </c>
      <c r="C5" s="54">
        <v>-976403.61898999999</v>
      </c>
      <c r="D5" s="54">
        <v>-1231841.26669</v>
      </c>
      <c r="E5" s="54">
        <f>IF(-976403.61899="","-",-1231841.26669/-976403.61899*100)</f>
        <v>126.16107137786183</v>
      </c>
    </row>
    <row r="6" spans="1:5" x14ac:dyDescent="0.25">
      <c r="A6" s="25"/>
      <c r="B6" s="33" t="s">
        <v>119</v>
      </c>
      <c r="C6" s="68"/>
      <c r="D6" s="68"/>
      <c r="E6" s="17"/>
    </row>
    <row r="7" spans="1:5" x14ac:dyDescent="0.25">
      <c r="A7" s="11" t="s">
        <v>204</v>
      </c>
      <c r="B7" s="12" t="s">
        <v>175</v>
      </c>
      <c r="C7" s="50">
        <v>81488.045419999995</v>
      </c>
      <c r="D7" s="17">
        <v>-7293.2848999999997</v>
      </c>
      <c r="E7" s="17" t="s">
        <v>20</v>
      </c>
    </row>
    <row r="8" spans="1:5" x14ac:dyDescent="0.25">
      <c r="A8" s="13" t="s">
        <v>205</v>
      </c>
      <c r="B8" s="14" t="s">
        <v>21</v>
      </c>
      <c r="C8" s="51">
        <v>476.98750000000001</v>
      </c>
      <c r="D8" s="15">
        <v>1398.8887099999999</v>
      </c>
      <c r="E8" s="15" t="s">
        <v>314</v>
      </c>
    </row>
    <row r="9" spans="1:5" x14ac:dyDescent="0.25">
      <c r="A9" s="13" t="s">
        <v>206</v>
      </c>
      <c r="B9" s="14" t="s">
        <v>176</v>
      </c>
      <c r="C9" s="51">
        <v>-26767.637299999999</v>
      </c>
      <c r="D9" s="15">
        <v>-15432.46927</v>
      </c>
      <c r="E9" s="15">
        <f>IF(OR(-26767.6373="",-15432.46927="",-26767.6373=0,-15432.46927=0),"-",-15432.46927/-26767.6373*100)</f>
        <v>57.653460770704633</v>
      </c>
    </row>
    <row r="10" spans="1:5" x14ac:dyDescent="0.25">
      <c r="A10" s="13" t="s">
        <v>207</v>
      </c>
      <c r="B10" s="14" t="s">
        <v>177</v>
      </c>
      <c r="C10" s="51">
        <v>-27239.412100000001</v>
      </c>
      <c r="D10" s="15">
        <v>-27959.48042</v>
      </c>
      <c r="E10" s="15">
        <f>IF(OR(-27239.4121="",-27959.48042="",-27239.4121=0,-27959.48042=0),"-",-27959.48042/-27239.4121*100)</f>
        <v>102.6434796659947</v>
      </c>
    </row>
    <row r="11" spans="1:5" x14ac:dyDescent="0.25">
      <c r="A11" s="13" t="s">
        <v>208</v>
      </c>
      <c r="B11" s="14" t="s">
        <v>178</v>
      </c>
      <c r="C11" s="51">
        <v>-18916.81494</v>
      </c>
      <c r="D11" s="15">
        <v>-20839.51859</v>
      </c>
      <c r="E11" s="15">
        <f>IF(OR(-18916.81494="",-20839.51859="",-18916.81494=0,-20839.51859=0),"-",-20839.51859/-18916.81494*100)</f>
        <v>110.16399249079929</v>
      </c>
    </row>
    <row r="12" spans="1:5" x14ac:dyDescent="0.25">
      <c r="A12" s="13" t="s">
        <v>209</v>
      </c>
      <c r="B12" s="14" t="s">
        <v>179</v>
      </c>
      <c r="C12" s="51">
        <v>139019.91699</v>
      </c>
      <c r="D12" s="15">
        <v>68344.834990000003</v>
      </c>
      <c r="E12" s="15">
        <f>IF(OR(139019.91699="",68344.83499="",139019.91699=0,68344.83499=0),"-",68344.83499/139019.91699*100)</f>
        <v>49.161901740249341</v>
      </c>
    </row>
    <row r="13" spans="1:5" x14ac:dyDescent="0.25">
      <c r="A13" s="13" t="s">
        <v>210</v>
      </c>
      <c r="B13" s="14" t="s">
        <v>180</v>
      </c>
      <c r="C13" s="51">
        <v>38961.215360000002</v>
      </c>
      <c r="D13" s="15">
        <v>28309.198759999999</v>
      </c>
      <c r="E13" s="15">
        <f>IF(OR(38961.21536="",28309.19876="",38961.21536=0,28309.19876=0),"-",28309.19876/38961.21536*100)</f>
        <v>72.659947844091064</v>
      </c>
    </row>
    <row r="14" spans="1:5" x14ac:dyDescent="0.25">
      <c r="A14" s="13" t="s">
        <v>211</v>
      </c>
      <c r="B14" s="14" t="s">
        <v>138</v>
      </c>
      <c r="C14" s="51">
        <v>4933.5263599999998</v>
      </c>
      <c r="D14" s="15">
        <v>-1825.12806</v>
      </c>
      <c r="E14" s="15" t="s">
        <v>20</v>
      </c>
    </row>
    <row r="15" spans="1:5" ht="17.25" customHeight="1" x14ac:dyDescent="0.25">
      <c r="A15" s="13" t="s">
        <v>212</v>
      </c>
      <c r="B15" s="14" t="s">
        <v>181</v>
      </c>
      <c r="C15" s="51">
        <v>-11060.786620000001</v>
      </c>
      <c r="D15" s="15">
        <v>-16591.79651</v>
      </c>
      <c r="E15" s="15">
        <f>IF(OR(-11060.78662="",-16591.79651="",-11060.78662=0,-16591.79651=0),"-",-16591.79651/-11060.78662*100)</f>
        <v>150.00557446790344</v>
      </c>
    </row>
    <row r="16" spans="1:5" ht="15.75" customHeight="1" x14ac:dyDescent="0.25">
      <c r="A16" s="13" t="s">
        <v>213</v>
      </c>
      <c r="B16" s="14" t="s">
        <v>139</v>
      </c>
      <c r="C16" s="51">
        <v>5326.0659400000004</v>
      </c>
      <c r="D16" s="15">
        <v>3861.6743299999998</v>
      </c>
      <c r="E16" s="15">
        <f>IF(OR(5326.06594="",3861.67433="",5326.06594=0,3861.67433=0),"-",3861.67433/5326.06594*100)</f>
        <v>72.505191890282887</v>
      </c>
    </row>
    <row r="17" spans="1:5" x14ac:dyDescent="0.25">
      <c r="A17" s="13" t="s">
        <v>214</v>
      </c>
      <c r="B17" s="14" t="s">
        <v>182</v>
      </c>
      <c r="C17" s="51">
        <v>-23245.015770000002</v>
      </c>
      <c r="D17" s="15">
        <v>-26559.488840000002</v>
      </c>
      <c r="E17" s="15">
        <f>IF(OR(-23245.01577="",-26559.48884="",-23245.01577=0,-26559.48884=0),"-",-26559.48884/-23245.01577*100)</f>
        <v>114.25885489945615</v>
      </c>
    </row>
    <row r="18" spans="1:5" x14ac:dyDescent="0.25">
      <c r="A18" s="11" t="s">
        <v>215</v>
      </c>
      <c r="B18" s="12" t="s">
        <v>183</v>
      </c>
      <c r="C18" s="50">
        <v>15198.06343</v>
      </c>
      <c r="D18" s="17">
        <v>25631.181710000001</v>
      </c>
      <c r="E18" s="17" t="s">
        <v>99</v>
      </c>
    </row>
    <row r="19" spans="1:5" x14ac:dyDescent="0.25">
      <c r="A19" s="13" t="s">
        <v>216</v>
      </c>
      <c r="B19" s="14" t="s">
        <v>184</v>
      </c>
      <c r="C19" s="51">
        <v>20457.101340000001</v>
      </c>
      <c r="D19" s="15">
        <v>32433.465970000001</v>
      </c>
      <c r="E19" s="15">
        <f>IF(OR(20457.10134="",32433.46597="",20457.10134=0,32433.46597=0),"-",32433.46597/20457.10134*100)</f>
        <v>158.54380066340329</v>
      </c>
    </row>
    <row r="20" spans="1:5" x14ac:dyDescent="0.25">
      <c r="A20" s="13" t="s">
        <v>217</v>
      </c>
      <c r="B20" s="14" t="s">
        <v>185</v>
      </c>
      <c r="C20" s="51">
        <v>-5259.03791</v>
      </c>
      <c r="D20" s="15">
        <v>-6802.2842600000004</v>
      </c>
      <c r="E20" s="15">
        <f>IF(OR(-5259.03791="",-6802.28426="",-5259.03791=0,-6802.28426=0),"-",-6802.28426/-5259.03791*100)</f>
        <v>129.34465155814024</v>
      </c>
    </row>
    <row r="21" spans="1:5" ht="16.5" customHeight="1" x14ac:dyDescent="0.25">
      <c r="A21" s="11" t="s">
        <v>218</v>
      </c>
      <c r="B21" s="12" t="s">
        <v>22</v>
      </c>
      <c r="C21" s="50">
        <v>107026.88636999999</v>
      </c>
      <c r="D21" s="17">
        <v>-17254.273440000001</v>
      </c>
      <c r="E21" s="17" t="s">
        <v>20</v>
      </c>
    </row>
    <row r="22" spans="1:5" x14ac:dyDescent="0.25">
      <c r="A22" s="13" t="s">
        <v>219</v>
      </c>
      <c r="B22" s="14" t="s">
        <v>192</v>
      </c>
      <c r="C22" s="51">
        <v>386.95204999999999</v>
      </c>
      <c r="D22" s="15">
        <v>383.18736000000001</v>
      </c>
      <c r="E22" s="15">
        <f>IF(OR(386.95205="",383.18736="",386.95205=0,383.18736=0),"-",383.18736/386.95205*100)</f>
        <v>99.027091341162304</v>
      </c>
    </row>
    <row r="23" spans="1:5" x14ac:dyDescent="0.25">
      <c r="A23" s="13" t="s">
        <v>220</v>
      </c>
      <c r="B23" s="14" t="s">
        <v>186</v>
      </c>
      <c r="C23" s="51">
        <v>118264.66843000001</v>
      </c>
      <c r="D23" s="15">
        <v>-1168.92364</v>
      </c>
      <c r="E23" s="15" t="s">
        <v>20</v>
      </c>
    </row>
    <row r="24" spans="1:5" ht="17.25" customHeight="1" x14ac:dyDescent="0.25">
      <c r="A24" s="13" t="s">
        <v>273</v>
      </c>
      <c r="B24" s="14" t="s">
        <v>187</v>
      </c>
      <c r="C24" s="51">
        <v>-736.16800999999998</v>
      </c>
      <c r="D24" s="15">
        <v>-1184.8856499999999</v>
      </c>
      <c r="E24" s="15" t="s">
        <v>100</v>
      </c>
    </row>
    <row r="25" spans="1:5" x14ac:dyDescent="0.25">
      <c r="A25" s="13" t="s">
        <v>221</v>
      </c>
      <c r="B25" s="14" t="s">
        <v>188</v>
      </c>
      <c r="C25" s="51">
        <v>-11874.49813</v>
      </c>
      <c r="D25" s="15">
        <v>-9034.1468000000004</v>
      </c>
      <c r="E25" s="15">
        <f>IF(OR(-11874.49813="",-9034.1468="",-11874.49813=0,-9034.1468=0),"-",-9034.1468/-11874.49813*100)</f>
        <v>76.080241043416635</v>
      </c>
    </row>
    <row r="26" spans="1:5" x14ac:dyDescent="0.25">
      <c r="A26" s="13" t="s">
        <v>222</v>
      </c>
      <c r="B26" s="14" t="s">
        <v>140</v>
      </c>
      <c r="C26" s="51">
        <v>800.26802999999995</v>
      </c>
      <c r="D26" s="15">
        <v>784.45728999999994</v>
      </c>
      <c r="E26" s="15">
        <f>IF(OR(800.26803="",784.45729="",800.26803=0,784.45729=0),"-",784.45729/800.26803*100)</f>
        <v>98.024319427079959</v>
      </c>
    </row>
    <row r="27" spans="1:5" ht="28.5" customHeight="1" x14ac:dyDescent="0.25">
      <c r="A27" s="13" t="s">
        <v>223</v>
      </c>
      <c r="B27" s="14" t="s">
        <v>141</v>
      </c>
      <c r="C27" s="51">
        <v>-1864.6979699999999</v>
      </c>
      <c r="D27" s="15">
        <v>-1855.51224</v>
      </c>
      <c r="E27" s="15">
        <f>IF(OR(-1864.69797="",-1855.51224="",-1864.69797=0,-1855.51224=0),"-",-1855.51224/-1864.69797*100)</f>
        <v>99.507387783556183</v>
      </c>
    </row>
    <row r="28" spans="1:5" ht="25.5" x14ac:dyDescent="0.25">
      <c r="A28" s="13" t="s">
        <v>224</v>
      </c>
      <c r="B28" s="14" t="s">
        <v>142</v>
      </c>
      <c r="C28" s="51">
        <v>-2726.1311799999999</v>
      </c>
      <c r="D28" s="15">
        <v>337.93241999999998</v>
      </c>
      <c r="E28" s="15" t="s">
        <v>20</v>
      </c>
    </row>
    <row r="29" spans="1:5" x14ac:dyDescent="0.25">
      <c r="A29" s="13" t="s">
        <v>225</v>
      </c>
      <c r="B29" s="14" t="s">
        <v>143</v>
      </c>
      <c r="C29" s="51">
        <v>19388.528320000001</v>
      </c>
      <c r="D29" s="15">
        <v>11628.336740000001</v>
      </c>
      <c r="E29" s="15">
        <f>IF(OR(19388.52832="",11628.33674="",19388.52832=0,11628.33674=0),"-",11628.33674/19388.52832*100)</f>
        <v>59.975344946655554</v>
      </c>
    </row>
    <row r="30" spans="1:5" x14ac:dyDescent="0.25">
      <c r="A30" s="13" t="s">
        <v>226</v>
      </c>
      <c r="B30" s="14" t="s">
        <v>144</v>
      </c>
      <c r="C30" s="51">
        <v>-14612.035169999999</v>
      </c>
      <c r="D30" s="15">
        <v>-17144.718919999999</v>
      </c>
      <c r="E30" s="15">
        <f>IF(OR(-14612.03517="",-17144.71892="",-14612.03517=0,-17144.71892=0),"-",-17144.71892/-14612.03517*100)</f>
        <v>117.33286103225278</v>
      </c>
    </row>
    <row r="31" spans="1:5" ht="15.75" customHeight="1" x14ac:dyDescent="0.25">
      <c r="A31" s="11" t="s">
        <v>227</v>
      </c>
      <c r="B31" s="12" t="s">
        <v>145</v>
      </c>
      <c r="C31" s="50">
        <v>-531001.99127</v>
      </c>
      <c r="D31" s="17">
        <v>-524948.26358000003</v>
      </c>
      <c r="E31" s="17">
        <f>IF(-531001.99127="","-",-524948.26358/-531001.99127*100)</f>
        <v>98.859942563393915</v>
      </c>
    </row>
    <row r="32" spans="1:5" x14ac:dyDescent="0.25">
      <c r="A32" s="13" t="s">
        <v>228</v>
      </c>
      <c r="B32" s="14" t="s">
        <v>189</v>
      </c>
      <c r="C32" s="51">
        <v>-4054.9367000000002</v>
      </c>
      <c r="D32" s="15">
        <v>-6029.3041999999996</v>
      </c>
      <c r="E32" s="15">
        <f>IF(OR(-4054.9367="",-6029.3042="",-4054.9367=0,-6029.3042=0),"-",-6029.3042/-4054.9367*100)</f>
        <v>148.69046414460675</v>
      </c>
    </row>
    <row r="33" spans="1:5" x14ac:dyDescent="0.25">
      <c r="A33" s="13" t="s">
        <v>229</v>
      </c>
      <c r="B33" s="14" t="s">
        <v>146</v>
      </c>
      <c r="C33" s="51">
        <v>-208377.25206999999</v>
      </c>
      <c r="D33" s="15">
        <v>-262438.33439999999</v>
      </c>
      <c r="E33" s="15">
        <f>IF(OR(-208377.25207="",-262438.3344="",-208377.25207=0,-262438.3344=0),"-",-262438.3344/-208377.25207*100)</f>
        <v>125.94385029697929</v>
      </c>
    </row>
    <row r="34" spans="1:5" x14ac:dyDescent="0.25">
      <c r="A34" s="13" t="s">
        <v>274</v>
      </c>
      <c r="B34" s="14" t="s">
        <v>190</v>
      </c>
      <c r="C34" s="51">
        <v>-318570.39395</v>
      </c>
      <c r="D34" s="15">
        <v>-249472.38071999999</v>
      </c>
      <c r="E34" s="15">
        <f>IF(OR(-318570.39395="",-249472.38072="",-318570.39395=0,-249472.38072=0),"-",-249472.38072/-318570.39395*100)</f>
        <v>78.309970247629153</v>
      </c>
    </row>
    <row r="35" spans="1:5" x14ac:dyDescent="0.25">
      <c r="A35" s="13" t="s">
        <v>279</v>
      </c>
      <c r="B35" s="14" t="s">
        <v>281</v>
      </c>
      <c r="C35" s="51">
        <v>0.59145000000000003</v>
      </c>
      <c r="D35" s="15">
        <v>-7008.2442600000004</v>
      </c>
      <c r="E35" s="15" t="s">
        <v>20</v>
      </c>
    </row>
    <row r="36" spans="1:5" ht="25.5" x14ac:dyDescent="0.25">
      <c r="A36" s="11" t="s">
        <v>230</v>
      </c>
      <c r="B36" s="12" t="s">
        <v>147</v>
      </c>
      <c r="C36" s="50">
        <v>96611.92985</v>
      </c>
      <c r="D36" s="17">
        <v>74949.378200000006</v>
      </c>
      <c r="E36" s="17">
        <f>IF(96611.92985="","-",74949.3782/96611.92985*100)</f>
        <v>77.577767379625541</v>
      </c>
    </row>
    <row r="37" spans="1:5" x14ac:dyDescent="0.25">
      <c r="A37" s="13" t="s">
        <v>231</v>
      </c>
      <c r="B37" s="14" t="s">
        <v>193</v>
      </c>
      <c r="C37" s="51">
        <v>-513.45150999999998</v>
      </c>
      <c r="D37" s="15">
        <v>-677.11348999999996</v>
      </c>
      <c r="E37" s="15">
        <f>IF(OR(-513.45151="",-677.11349="",-513.45151=0,-677.11349=0),"-",-677.11349/-513.45151*100)</f>
        <v>131.87486584663077</v>
      </c>
    </row>
    <row r="38" spans="1:5" ht="14.25" customHeight="1" x14ac:dyDescent="0.25">
      <c r="A38" s="13" t="s">
        <v>232</v>
      </c>
      <c r="B38" s="14" t="s">
        <v>148</v>
      </c>
      <c r="C38" s="51">
        <v>97439.668059999996</v>
      </c>
      <c r="D38" s="15">
        <v>76071.672080000004</v>
      </c>
      <c r="E38" s="15">
        <f>IF(OR(97439.66806="",76071.67208="",97439.66806=0,76071.67208=0),"-",76071.67208/97439.66806*100)</f>
        <v>78.070536973871555</v>
      </c>
    </row>
    <row r="39" spans="1:5" ht="40.5" customHeight="1" x14ac:dyDescent="0.25">
      <c r="A39" s="13" t="s">
        <v>233</v>
      </c>
      <c r="B39" s="14" t="s">
        <v>191</v>
      </c>
      <c r="C39" s="51">
        <v>-314.2867</v>
      </c>
      <c r="D39" s="15">
        <v>-445.18038999999999</v>
      </c>
      <c r="E39" s="15">
        <f>IF(OR(-314.2867="",-445.18039="",-314.2867=0,-445.18039=0),"-",-445.18039/-314.2867*100)</f>
        <v>141.64786164988845</v>
      </c>
    </row>
    <row r="40" spans="1:5" ht="15" customHeight="1" x14ac:dyDescent="0.25">
      <c r="A40" s="11" t="s">
        <v>234</v>
      </c>
      <c r="B40" s="12" t="s">
        <v>149</v>
      </c>
      <c r="C40" s="50">
        <v>-242904.18178000001</v>
      </c>
      <c r="D40" s="17">
        <v>-282018.80721</v>
      </c>
      <c r="E40" s="17">
        <f>IF(-242904.18178="","-",-282018.80721/-242904.18178*100)</f>
        <v>116.10290326966309</v>
      </c>
    </row>
    <row r="41" spans="1:5" x14ac:dyDescent="0.25">
      <c r="A41" s="13" t="s">
        <v>235</v>
      </c>
      <c r="B41" s="14" t="s">
        <v>23</v>
      </c>
      <c r="C41" s="51">
        <v>10075.481390000001</v>
      </c>
      <c r="D41" s="15">
        <v>3067.27063</v>
      </c>
      <c r="E41" s="15">
        <f>IF(OR(10075.48139="",3067.27063="",10075.48139=0,3067.27063=0),"-",3067.27063/10075.48139*100)</f>
        <v>30.442918916452882</v>
      </c>
    </row>
    <row r="42" spans="1:5" x14ac:dyDescent="0.25">
      <c r="A42" s="13" t="s">
        <v>236</v>
      </c>
      <c r="B42" s="14" t="s">
        <v>24</v>
      </c>
      <c r="C42" s="51">
        <v>-5163.4299099999998</v>
      </c>
      <c r="D42" s="15">
        <v>-7085.1850899999999</v>
      </c>
      <c r="E42" s="15">
        <f>IF(OR(-5163.42991="",-7085.18509="",-5163.42991=0,-7085.18509=0),"-",-7085.18509/-5163.42991*100)</f>
        <v>137.21857783482528</v>
      </c>
    </row>
    <row r="43" spans="1:5" x14ac:dyDescent="0.25">
      <c r="A43" s="13" t="s">
        <v>237</v>
      </c>
      <c r="B43" s="14" t="s">
        <v>150</v>
      </c>
      <c r="C43" s="51">
        <v>-8582.9061000000002</v>
      </c>
      <c r="D43" s="15">
        <v>-8510.1677299999992</v>
      </c>
      <c r="E43" s="15">
        <f>IF(OR(-8582.9061="",-8510.16773="",-8582.9061=0,-8510.16773=0),"-",-8510.16773/-8582.9061*100)</f>
        <v>99.152520496525057</v>
      </c>
    </row>
    <row r="44" spans="1:5" x14ac:dyDescent="0.25">
      <c r="A44" s="13" t="s">
        <v>238</v>
      </c>
      <c r="B44" s="14" t="s">
        <v>151</v>
      </c>
      <c r="C44" s="51">
        <v>-58355.12053</v>
      </c>
      <c r="D44" s="15">
        <v>-69343.206529999996</v>
      </c>
      <c r="E44" s="15">
        <f>IF(OR(-58355.12053="",-69343.20653="",-58355.12053=0,-69343.20653=0),"-",-69343.20653/-58355.12053*100)</f>
        <v>118.82968606731109</v>
      </c>
    </row>
    <row r="45" spans="1:5" ht="28.5" customHeight="1" x14ac:dyDescent="0.25">
      <c r="A45" s="13" t="s">
        <v>239</v>
      </c>
      <c r="B45" s="14" t="s">
        <v>152</v>
      </c>
      <c r="C45" s="51">
        <v>-30078.174569999999</v>
      </c>
      <c r="D45" s="15">
        <v>-35713.199209999999</v>
      </c>
      <c r="E45" s="15">
        <f>IF(OR(-30078.17457="",-35713.19921="",-30078.17457=0,-35713.19921=0),"-",-35713.19921/-30078.17457*100)</f>
        <v>118.73459649915183</v>
      </c>
    </row>
    <row r="46" spans="1:5" x14ac:dyDescent="0.25">
      <c r="A46" s="13" t="s">
        <v>240</v>
      </c>
      <c r="B46" s="14" t="s">
        <v>153</v>
      </c>
      <c r="C46" s="51">
        <v>-49039.69154</v>
      </c>
      <c r="D46" s="15">
        <v>-63650.271959999998</v>
      </c>
      <c r="E46" s="15">
        <f>IF(OR(-49039.69154="",-63650.27196="",-49039.69154=0,-63650.27196=0),"-",-63650.27196/-49039.69154*100)</f>
        <v>129.79337748909504</v>
      </c>
    </row>
    <row r="47" spans="1:5" x14ac:dyDescent="0.25">
      <c r="A47" s="13" t="s">
        <v>241</v>
      </c>
      <c r="B47" s="14" t="s">
        <v>25</v>
      </c>
      <c r="C47" s="51">
        <v>-15217.971320000001</v>
      </c>
      <c r="D47" s="15">
        <v>-10500.304599999999</v>
      </c>
      <c r="E47" s="15">
        <f>IF(OR(-15217.97132="",-10500.3046="",-15217.97132=0,-10500.3046=0),"-",-10500.3046/-15217.97132*100)</f>
        <v>68.999371724404057</v>
      </c>
    </row>
    <row r="48" spans="1:5" x14ac:dyDescent="0.25">
      <c r="A48" s="13" t="s">
        <v>242</v>
      </c>
      <c r="B48" s="14" t="s">
        <v>26</v>
      </c>
      <c r="C48" s="51">
        <v>-31029.75201</v>
      </c>
      <c r="D48" s="15">
        <v>-29561.441129999999</v>
      </c>
      <c r="E48" s="15">
        <f>IF(OR(-31029.75201="",-29561.44113="",-31029.75201=0,-29561.44113=0),"-",-29561.44113/-31029.75201*100)</f>
        <v>95.268054738153225</v>
      </c>
    </row>
    <row r="49" spans="1:5" x14ac:dyDescent="0.25">
      <c r="A49" s="13" t="s">
        <v>243</v>
      </c>
      <c r="B49" s="14" t="s">
        <v>154</v>
      </c>
      <c r="C49" s="51">
        <v>-55512.617189999997</v>
      </c>
      <c r="D49" s="15">
        <v>-60722.301590000003</v>
      </c>
      <c r="E49" s="15">
        <f>IF(OR(-55512.61719="",-60722.30159="",-55512.61719=0,-60722.30159=0),"-",-60722.30159/-55512.61719*100)</f>
        <v>109.38468525482973</v>
      </c>
    </row>
    <row r="50" spans="1:5" ht="25.5" x14ac:dyDescent="0.25">
      <c r="A50" s="11" t="s">
        <v>244</v>
      </c>
      <c r="B50" s="12" t="s">
        <v>307</v>
      </c>
      <c r="C50" s="50">
        <v>-213449.46572000001</v>
      </c>
      <c r="D50" s="17">
        <v>-199778.79115999999</v>
      </c>
      <c r="E50" s="17">
        <f>IF(-213449.46572="","-",-199778.79116/-213449.46572*100)</f>
        <v>93.595357798677739</v>
      </c>
    </row>
    <row r="51" spans="1:5" x14ac:dyDescent="0.25">
      <c r="A51" s="13" t="s">
        <v>245</v>
      </c>
      <c r="B51" s="14" t="s">
        <v>155</v>
      </c>
      <c r="C51" s="51">
        <v>-12738.83166</v>
      </c>
      <c r="D51" s="15">
        <v>-11380.83193</v>
      </c>
      <c r="E51" s="15">
        <f>IF(OR(-12738.83166="",-11380.83193="",-12738.83166=0,-11380.83193=0),"-",-11380.83193/-12738.83166*100)</f>
        <v>89.339683840362483</v>
      </c>
    </row>
    <row r="52" spans="1:5" x14ac:dyDescent="0.25">
      <c r="A52" s="13" t="s">
        <v>246</v>
      </c>
      <c r="B52" s="14" t="s">
        <v>27</v>
      </c>
      <c r="C52" s="51">
        <v>-19649.38566</v>
      </c>
      <c r="D52" s="15">
        <v>-17495.927</v>
      </c>
      <c r="E52" s="15">
        <f>IF(OR(-19649.38566="",-17495.927="",-19649.38566=0,-17495.927=0),"-",-17495.927/-19649.38566*100)</f>
        <v>89.040580213233994</v>
      </c>
    </row>
    <row r="53" spans="1:5" x14ac:dyDescent="0.25">
      <c r="A53" s="13" t="s">
        <v>247</v>
      </c>
      <c r="B53" s="14" t="s">
        <v>156</v>
      </c>
      <c r="C53" s="51">
        <v>-16095.132890000001</v>
      </c>
      <c r="D53" s="15">
        <v>-15805.508110000001</v>
      </c>
      <c r="E53" s="15">
        <f>IF(OR(-16095.13289="",-15805.50811="",-16095.13289=0,-15805.50811=0),"-",-15805.50811/-16095.13289*100)</f>
        <v>98.200544338593531</v>
      </c>
    </row>
    <row r="54" spans="1:5" ht="25.5" x14ac:dyDescent="0.25">
      <c r="A54" s="13" t="s">
        <v>248</v>
      </c>
      <c r="B54" s="14" t="s">
        <v>157</v>
      </c>
      <c r="C54" s="51">
        <v>-24639.525259999999</v>
      </c>
      <c r="D54" s="15">
        <v>-24550.586340000002</v>
      </c>
      <c r="E54" s="15">
        <f>IF(OR(-24639.52526="",-24550.58634="",-24639.52526=0,-24550.58634=0),"-",-24550.58634/-24639.52526*100)</f>
        <v>99.639039636269359</v>
      </c>
    </row>
    <row r="55" spans="1:5" ht="25.5" x14ac:dyDescent="0.25">
      <c r="A55" s="13" t="s">
        <v>249</v>
      </c>
      <c r="B55" s="14" t="s">
        <v>158</v>
      </c>
      <c r="C55" s="51">
        <v>-54918.933720000001</v>
      </c>
      <c r="D55" s="15">
        <v>-52187.904609999998</v>
      </c>
      <c r="E55" s="15">
        <f>IF(OR(-54918.93372="",-52187.90461="",-54918.93372=0,-52187.90461=0),"-",-52187.90461/-54918.93372*100)</f>
        <v>95.027162901734499</v>
      </c>
    </row>
    <row r="56" spans="1:5" x14ac:dyDescent="0.25">
      <c r="A56" s="13" t="s">
        <v>250</v>
      </c>
      <c r="B56" s="14" t="s">
        <v>28</v>
      </c>
      <c r="C56" s="51">
        <v>-10219.768029999999</v>
      </c>
      <c r="D56" s="15">
        <v>-8502.7289899999996</v>
      </c>
      <c r="E56" s="15">
        <f>IF(OR(-10219.76803="",-8502.72899="",-10219.76803=0,-8502.72899=0),"-",-8502.72899/-10219.76803*100)</f>
        <v>83.198845267723755</v>
      </c>
    </row>
    <row r="57" spans="1:5" x14ac:dyDescent="0.25">
      <c r="A57" s="13" t="s">
        <v>251</v>
      </c>
      <c r="B57" s="14" t="s">
        <v>159</v>
      </c>
      <c r="C57" s="51">
        <v>-36264.551240000001</v>
      </c>
      <c r="D57" s="15">
        <v>-28044.604619999998</v>
      </c>
      <c r="E57" s="15">
        <f>IF(OR(-36264.55124="",-28044.60462="",-36264.55124=0,-28044.60462=0),"-",-28044.60462/-36264.55124*100)</f>
        <v>77.333383872310662</v>
      </c>
    </row>
    <row r="58" spans="1:5" x14ac:dyDescent="0.25">
      <c r="A58" s="13" t="s">
        <v>252</v>
      </c>
      <c r="B58" s="14" t="s">
        <v>29</v>
      </c>
      <c r="C58" s="51">
        <v>-7077.4676399999998</v>
      </c>
      <c r="D58" s="15">
        <v>-7989.07582</v>
      </c>
      <c r="E58" s="15">
        <f>IF(OR(-7077.46764="",-7989.07582="",-7077.46764=0,-7989.07582=0),"-",-7989.07582/-7077.46764*100)</f>
        <v>112.88042879698705</v>
      </c>
    </row>
    <row r="59" spans="1:5" x14ac:dyDescent="0.25">
      <c r="A59" s="13" t="s">
        <v>253</v>
      </c>
      <c r="B59" s="14" t="s">
        <v>30</v>
      </c>
      <c r="C59" s="51">
        <v>-31845.869620000001</v>
      </c>
      <c r="D59" s="15">
        <v>-33821.623740000003</v>
      </c>
      <c r="E59" s="15">
        <f>IF(OR(-31845.86962="",-33821.62374="",-31845.86962=0,-33821.62374=0),"-",-33821.62374/-31845.86962*100)</f>
        <v>106.20411420248728</v>
      </c>
    </row>
    <row r="60" spans="1:5" x14ac:dyDescent="0.25">
      <c r="A60" s="11" t="s">
        <v>254</v>
      </c>
      <c r="B60" s="12" t="s">
        <v>160</v>
      </c>
      <c r="C60" s="50">
        <v>-258363.61254999999</v>
      </c>
      <c r="D60" s="17">
        <v>-265042.23976999999</v>
      </c>
      <c r="E60" s="17">
        <f>IF(-258363.61255="","-",-265042.23977/-258363.61255*100)</f>
        <v>102.58497206866059</v>
      </c>
    </row>
    <row r="61" spans="1:5" ht="16.5" customHeight="1" x14ac:dyDescent="0.25">
      <c r="A61" s="13" t="s">
        <v>255</v>
      </c>
      <c r="B61" s="14" t="s">
        <v>161</v>
      </c>
      <c r="C61" s="51">
        <v>-6215.7317300000004</v>
      </c>
      <c r="D61" s="15">
        <v>-7723.8867300000002</v>
      </c>
      <c r="E61" s="15">
        <f>IF(OR(-6215.73173="",-7723.88673="",-6215.73173=0,-7723.88673=0),"-",-7723.88673/-6215.73173*100)</f>
        <v>124.26351498924808</v>
      </c>
    </row>
    <row r="62" spans="1:5" ht="15" customHeight="1" x14ac:dyDescent="0.25">
      <c r="A62" s="13" t="s">
        <v>256</v>
      </c>
      <c r="B62" s="14" t="s">
        <v>162</v>
      </c>
      <c r="C62" s="51">
        <v>-63901.681900000003</v>
      </c>
      <c r="D62" s="15">
        <v>-45305.572390000001</v>
      </c>
      <c r="E62" s="15">
        <f>IF(OR(-63901.6819="",-45305.57239="",-63901.6819=0,-45305.57239=0),"-",-45305.57239/-63901.6819*100)</f>
        <v>70.898873148438994</v>
      </c>
    </row>
    <row r="63" spans="1:5" x14ac:dyDescent="0.25">
      <c r="A63" s="13" t="s">
        <v>257</v>
      </c>
      <c r="B63" s="14" t="s">
        <v>163</v>
      </c>
      <c r="C63" s="51">
        <v>-2177.9155300000002</v>
      </c>
      <c r="D63" s="15">
        <v>-3324.6296900000002</v>
      </c>
      <c r="E63" s="15">
        <f>IF(OR(-2177.91553="",-3324.62969="",-2177.91553=0,-3324.62969=0),"-",-3324.62969/-2177.91553*100)</f>
        <v>152.65191161936386</v>
      </c>
    </row>
    <row r="64" spans="1:5" ht="25.5" x14ac:dyDescent="0.25">
      <c r="A64" s="13" t="s">
        <v>258</v>
      </c>
      <c r="B64" s="14" t="s">
        <v>164</v>
      </c>
      <c r="C64" s="51">
        <v>-45231.754370000002</v>
      </c>
      <c r="D64" s="15">
        <v>-42146.929349999999</v>
      </c>
      <c r="E64" s="15">
        <f>IF(OR(-45231.75437="",-42146.92935="",-45231.75437=0,-42146.92935=0),"-",-42146.92935/-45231.75437*100)</f>
        <v>93.179957171756271</v>
      </c>
    </row>
    <row r="65" spans="1:5" ht="27.75" customHeight="1" x14ac:dyDescent="0.25">
      <c r="A65" s="13" t="s">
        <v>259</v>
      </c>
      <c r="B65" s="14" t="s">
        <v>165</v>
      </c>
      <c r="C65" s="51">
        <v>-20460.468010000001</v>
      </c>
      <c r="D65" s="15">
        <v>-17962.555</v>
      </c>
      <c r="E65" s="15">
        <f>IF(OR(-20460.46801="",-17962.555="",-20460.46801=0,-17962.555=0),"-",-17962.555/-20460.46801*100)</f>
        <v>87.791515771881905</v>
      </c>
    </row>
    <row r="66" spans="1:5" ht="29.25" customHeight="1" x14ac:dyDescent="0.25">
      <c r="A66" s="13" t="s">
        <v>260</v>
      </c>
      <c r="B66" s="14" t="s">
        <v>166</v>
      </c>
      <c r="C66" s="51">
        <v>-39356.625520000001</v>
      </c>
      <c r="D66" s="15">
        <v>-49216.373780000002</v>
      </c>
      <c r="E66" s="15">
        <f>IF(OR(-39356.62552="",-49216.37378="",-39356.62552=0,-49216.37378=0),"-",-49216.37378/-39356.62552*100)</f>
        <v>125.05232125398946</v>
      </c>
    </row>
    <row r="67" spans="1:5" ht="15" customHeight="1" x14ac:dyDescent="0.25">
      <c r="A67" s="13" t="s">
        <v>261</v>
      </c>
      <c r="B67" s="14" t="s">
        <v>167</v>
      </c>
      <c r="C67" s="51">
        <v>6684.1385399999999</v>
      </c>
      <c r="D67" s="15">
        <v>6806.0012299999999</v>
      </c>
      <c r="E67" s="15">
        <f>IF(OR(6684.13854="",6806.00123="",6684.13854=0,6806.00123=0),"-",6806.00123/6684.13854*100)</f>
        <v>101.82316224103877</v>
      </c>
    </row>
    <row r="68" spans="1:5" x14ac:dyDescent="0.25">
      <c r="A68" s="13" t="s">
        <v>262</v>
      </c>
      <c r="B68" s="14" t="s">
        <v>168</v>
      </c>
      <c r="C68" s="51">
        <v>-85283.797820000007</v>
      </c>
      <c r="D68" s="15">
        <v>-108387.85875</v>
      </c>
      <c r="E68" s="15">
        <f>IF(OR(-85283.79782="",-108387.85875="",-85283.79782=0,-108387.85875=0),"-",-108387.85875/-85283.79782*100)</f>
        <v>127.09079745576462</v>
      </c>
    </row>
    <row r="69" spans="1:5" x14ac:dyDescent="0.25">
      <c r="A69" s="13" t="s">
        <v>263</v>
      </c>
      <c r="B69" s="14" t="s">
        <v>31</v>
      </c>
      <c r="C69" s="51">
        <v>-2419.77621</v>
      </c>
      <c r="D69" s="15">
        <v>2219.5646900000002</v>
      </c>
      <c r="E69" s="15" t="s">
        <v>20</v>
      </c>
    </row>
    <row r="70" spans="1:5" x14ac:dyDescent="0.25">
      <c r="A70" s="11" t="s">
        <v>264</v>
      </c>
      <c r="B70" s="12" t="s">
        <v>32</v>
      </c>
      <c r="C70" s="50">
        <v>-23099.437389999999</v>
      </c>
      <c r="D70" s="17">
        <v>-36390.022190000003</v>
      </c>
      <c r="E70" s="17">
        <f>IF(-23099.43739="","-",-36390.02219/-23099.43739*100)</f>
        <v>157.53640045689443</v>
      </c>
    </row>
    <row r="71" spans="1:5" ht="25.5" x14ac:dyDescent="0.25">
      <c r="A71" s="13" t="s">
        <v>265</v>
      </c>
      <c r="B71" s="14" t="s">
        <v>194</v>
      </c>
      <c r="C71" s="51">
        <v>-9713.4205199999997</v>
      </c>
      <c r="D71" s="15">
        <v>-6686.8829699999997</v>
      </c>
      <c r="E71" s="15">
        <f>IF(OR(-9713.42052="",-6686.88297="",-9713.42052=0,-6686.88297=0),"-",-6686.88297/-9713.42052*100)</f>
        <v>68.841691309787961</v>
      </c>
    </row>
    <row r="72" spans="1:5" x14ac:dyDescent="0.25">
      <c r="A72" s="13" t="s">
        <v>266</v>
      </c>
      <c r="B72" s="14" t="s">
        <v>169</v>
      </c>
      <c r="C72" s="51">
        <v>21267.257509999999</v>
      </c>
      <c r="D72" s="15">
        <v>23802.189480000001</v>
      </c>
      <c r="E72" s="15">
        <f>IF(OR(21267.25751="",23802.18948="",21267.25751=0,23802.18948=0),"-",23802.18948/21267.25751*100)</f>
        <v>111.91941165337403</v>
      </c>
    </row>
    <row r="73" spans="1:5" x14ac:dyDescent="0.25">
      <c r="A73" s="13" t="s">
        <v>267</v>
      </c>
      <c r="B73" s="14" t="s">
        <v>170</v>
      </c>
      <c r="C73" s="51">
        <v>-268.44556999999998</v>
      </c>
      <c r="D73" s="15">
        <v>-788.27904999999998</v>
      </c>
      <c r="E73" s="15" t="s">
        <v>314</v>
      </c>
    </row>
    <row r="74" spans="1:5" x14ac:dyDescent="0.25">
      <c r="A74" s="13" t="s">
        <v>268</v>
      </c>
      <c r="B74" s="14" t="s">
        <v>171</v>
      </c>
      <c r="C74" s="51">
        <v>27420.98662</v>
      </c>
      <c r="D74" s="15">
        <v>24396.391660000001</v>
      </c>
      <c r="E74" s="15">
        <f>IF(OR(27420.98662="",24396.39166="",27420.98662=0,24396.39166=0),"-",24396.39166/27420.98662*100)</f>
        <v>88.969780694200267</v>
      </c>
    </row>
    <row r="75" spans="1:5" x14ac:dyDescent="0.25">
      <c r="A75" s="13" t="s">
        <v>269</v>
      </c>
      <c r="B75" s="14" t="s">
        <v>172</v>
      </c>
      <c r="C75" s="51">
        <v>-4524.4523099999997</v>
      </c>
      <c r="D75" s="15">
        <v>-6732.7328399999997</v>
      </c>
      <c r="E75" s="15">
        <f>IF(OR(-4524.45231="",-6732.73284="",-4524.45231=0,-6732.73284=0),"-",-6732.73284/-4524.45231*100)</f>
        <v>148.8076871783847</v>
      </c>
    </row>
    <row r="76" spans="1:5" ht="25.5" x14ac:dyDescent="0.25">
      <c r="A76" s="13" t="s">
        <v>270</v>
      </c>
      <c r="B76" s="14" t="s">
        <v>323</v>
      </c>
      <c r="C76" s="51">
        <v>-11353.799230000001</v>
      </c>
      <c r="D76" s="15">
        <v>-12679.317499999999</v>
      </c>
      <c r="E76" s="15">
        <f>IF(OR(-11353.79923="",-12679.3175="",-11353.79923=0,-12679.3175=0),"-",-12679.3175/-11353.79923*100)</f>
        <v>111.67466715896823</v>
      </c>
    </row>
    <row r="77" spans="1:5" ht="25.5" x14ac:dyDescent="0.25">
      <c r="A77" s="13" t="s">
        <v>271</v>
      </c>
      <c r="B77" s="14" t="s">
        <v>173</v>
      </c>
      <c r="C77" s="51">
        <v>-2332.22075</v>
      </c>
      <c r="D77" s="15">
        <v>-3527.9487899999999</v>
      </c>
      <c r="E77" s="15">
        <f>IF(OR(-2332.22075="",-3527.94879="",-2332.22075=0,-3527.94879=0),"-",-3527.94879/-2332.22075*100)</f>
        <v>151.26993403175922</v>
      </c>
    </row>
    <row r="78" spans="1:5" x14ac:dyDescent="0.25">
      <c r="A78" s="13" t="s">
        <v>272</v>
      </c>
      <c r="B78" s="14" t="s">
        <v>33</v>
      </c>
      <c r="C78" s="51">
        <v>-43595.343139999997</v>
      </c>
      <c r="D78" s="15">
        <v>-54173.442179999998</v>
      </c>
      <c r="E78" s="15">
        <f>IF(OR(-43595.34314="",-54173.44218="",-43595.34314=0,-54173.44218=0),"-",-54173.44218/-43595.34314*100)</f>
        <v>124.26428668316704</v>
      </c>
    </row>
    <row r="79" spans="1:5" x14ac:dyDescent="0.25">
      <c r="A79" s="62" t="s">
        <v>275</v>
      </c>
      <c r="B79" s="59" t="s">
        <v>174</v>
      </c>
      <c r="C79" s="63">
        <v>-7909.8553499999998</v>
      </c>
      <c r="D79" s="61">
        <v>303.85565000000003</v>
      </c>
      <c r="E79" s="61" t="s">
        <v>20</v>
      </c>
    </row>
    <row r="80" spans="1:5" x14ac:dyDescent="0.25">
      <c r="A80" s="20" t="s">
        <v>278</v>
      </c>
      <c r="B80" s="21"/>
    </row>
    <row r="81" spans="3:5" x14ac:dyDescent="0.25">
      <c r="C81" s="15"/>
      <c r="D81" s="15"/>
      <c r="E81" s="23"/>
    </row>
    <row r="82" spans="3:5" x14ac:dyDescent="0.25">
      <c r="C82" s="15"/>
      <c r="D82" s="15"/>
      <c r="E82" s="23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2023-05-16T05:36:13Z</cp:lastPrinted>
  <dcterms:created xsi:type="dcterms:W3CDTF">2016-09-01T07:59:47Z</dcterms:created>
  <dcterms:modified xsi:type="dcterms:W3CDTF">2023-05-17T05:59:34Z</dcterms:modified>
</cp:coreProperties>
</file>