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rinaVicol\Desktop\Com Ext\"/>
    </mc:Choice>
  </mc:AlternateContent>
  <xr:revisionPtr revIDLastSave="0" documentId="13_ncr:1_{CE78CD38-50EB-4C3A-BF97-2E5B90F8F3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Comerciala_Tari'!$3:$3</definedName>
    <definedName name="_xlnm.Print_Titles" localSheetId="7">Balanta_Comerciala_Gr_Marf_CSCI!$4:$4</definedName>
    <definedName name="_xlnm.Print_Titles" localSheetId="5">Export_Grupe_Marfuri_CSCI!$4:$5</definedName>
    <definedName name="_xlnm.Print_Titles" localSheetId="0">Export_Tari!$3:$4</definedName>
    <definedName name="_xlnm.Print_Titles" localSheetId="6">Import_Grupe_Marfuri_CSCI!$4:$5</definedName>
    <definedName name="_xlnm.Print_Titles" localSheetId="1">Import_Tari!$3:$4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4" l="1"/>
  <c r="E77" i="4"/>
  <c r="E76" i="4"/>
  <c r="E75" i="4"/>
  <c r="E74" i="4"/>
  <c r="E72" i="4"/>
  <c r="E71" i="4"/>
  <c r="E70" i="4"/>
  <c r="E68" i="4"/>
  <c r="E66" i="4"/>
  <c r="E65" i="4"/>
  <c r="E64" i="4"/>
  <c r="E63" i="4"/>
  <c r="E62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7" i="4"/>
  <c r="E16" i="4"/>
  <c r="E15" i="4"/>
  <c r="E13" i="4"/>
  <c r="E12" i="4"/>
  <c r="E11" i="4"/>
  <c r="E10" i="4"/>
  <c r="E9" i="4"/>
  <c r="E5" i="4"/>
  <c r="H78" i="6" l="1"/>
  <c r="G78" i="6"/>
  <c r="F78" i="6"/>
  <c r="E78" i="6"/>
  <c r="D78" i="6"/>
  <c r="H77" i="6"/>
  <c r="G77" i="6"/>
  <c r="F77" i="6"/>
  <c r="E77" i="6"/>
  <c r="D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D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D62" i="6"/>
  <c r="H61" i="6"/>
  <c r="G61" i="6"/>
  <c r="F61" i="6"/>
  <c r="E61" i="6"/>
  <c r="D61" i="6"/>
  <c r="H60" i="6"/>
  <c r="G60" i="6"/>
  <c r="F60" i="6"/>
  <c r="E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D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D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D42" i="6"/>
  <c r="H41" i="6"/>
  <c r="G41" i="6"/>
  <c r="F41" i="6"/>
  <c r="E41" i="6"/>
  <c r="D41" i="6"/>
  <c r="H40" i="6"/>
  <c r="G40" i="6"/>
  <c r="F40" i="6"/>
  <c r="E40" i="6"/>
  <c r="D40" i="6"/>
  <c r="H39" i="6"/>
  <c r="G39" i="6"/>
  <c r="F39" i="6"/>
  <c r="E39" i="6"/>
  <c r="D39" i="6"/>
  <c r="H38" i="6"/>
  <c r="G38" i="6"/>
  <c r="F38" i="6"/>
  <c r="E38" i="6"/>
  <c r="D38" i="6"/>
  <c r="H37" i="6"/>
  <c r="G37" i="6"/>
  <c r="F37" i="6"/>
  <c r="E37" i="6"/>
  <c r="D37" i="6"/>
  <c r="H36" i="6"/>
  <c r="G36" i="6"/>
  <c r="F36" i="6"/>
  <c r="E36" i="6"/>
  <c r="D36" i="6"/>
  <c r="H35" i="6"/>
  <c r="G35" i="6"/>
  <c r="F35" i="6"/>
  <c r="E35" i="6"/>
  <c r="D35" i="6"/>
  <c r="H34" i="6"/>
  <c r="G34" i="6"/>
  <c r="F34" i="6"/>
  <c r="E34" i="6"/>
  <c r="D34" i="6"/>
  <c r="H33" i="6"/>
  <c r="G33" i="6"/>
  <c r="F33" i="6"/>
  <c r="E33" i="6"/>
  <c r="D33" i="6"/>
  <c r="H32" i="6"/>
  <c r="G32" i="6"/>
  <c r="F32" i="6"/>
  <c r="E32" i="6"/>
  <c r="D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D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D25" i="6"/>
  <c r="H24" i="6"/>
  <c r="G24" i="6"/>
  <c r="F24" i="6"/>
  <c r="E24" i="6"/>
  <c r="D24" i="6"/>
  <c r="H23" i="6"/>
  <c r="G23" i="6"/>
  <c r="F23" i="6"/>
  <c r="E23" i="6"/>
  <c r="D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D9" i="6"/>
  <c r="H8" i="6"/>
  <c r="G8" i="6"/>
  <c r="F8" i="6"/>
  <c r="E8" i="6"/>
  <c r="D8" i="6"/>
  <c r="H7" i="6"/>
  <c r="G7" i="6"/>
  <c r="F7" i="6"/>
  <c r="E7" i="6"/>
  <c r="D7" i="6"/>
  <c r="H6" i="6"/>
  <c r="G6" i="6"/>
  <c r="D6" i="6"/>
  <c r="H79" i="5"/>
  <c r="G79" i="5"/>
  <c r="F79" i="5"/>
  <c r="E79" i="5"/>
  <c r="H78" i="5"/>
  <c r="G78" i="5"/>
  <c r="F78" i="5"/>
  <c r="E78" i="5"/>
  <c r="D78" i="5"/>
  <c r="H77" i="5"/>
  <c r="G77" i="5"/>
  <c r="F77" i="5"/>
  <c r="E77" i="5"/>
  <c r="D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D72" i="5"/>
  <c r="H71" i="5"/>
  <c r="G71" i="5"/>
  <c r="F71" i="5"/>
  <c r="E71" i="5"/>
  <c r="D71" i="5"/>
  <c r="H70" i="5"/>
  <c r="G70" i="5"/>
  <c r="F70" i="5"/>
  <c r="E70" i="5"/>
  <c r="D70" i="5"/>
  <c r="H69" i="5"/>
  <c r="G69" i="5"/>
  <c r="F69" i="5"/>
  <c r="E69" i="5"/>
  <c r="H68" i="5"/>
  <c r="G68" i="5"/>
  <c r="F68" i="5"/>
  <c r="E68" i="5"/>
  <c r="D68" i="5"/>
  <c r="H67" i="5"/>
  <c r="G67" i="5"/>
  <c r="F67" i="5"/>
  <c r="E67" i="5"/>
  <c r="D67" i="5"/>
  <c r="H66" i="5"/>
  <c r="G66" i="5"/>
  <c r="F66" i="5"/>
  <c r="E66" i="5"/>
  <c r="D66" i="5"/>
  <c r="H65" i="5"/>
  <c r="G65" i="5"/>
  <c r="F65" i="5"/>
  <c r="E65" i="5"/>
  <c r="H64" i="5"/>
  <c r="G64" i="5"/>
  <c r="F64" i="5"/>
  <c r="E64" i="5"/>
  <c r="D64" i="5"/>
  <c r="H63" i="5"/>
  <c r="G63" i="5"/>
  <c r="F63" i="5"/>
  <c r="E63" i="5"/>
  <c r="D63" i="5"/>
  <c r="H62" i="5"/>
  <c r="G62" i="5"/>
  <c r="F62" i="5"/>
  <c r="E62" i="5"/>
  <c r="H61" i="5"/>
  <c r="G61" i="5"/>
  <c r="F61" i="5"/>
  <c r="E61" i="5"/>
  <c r="D61" i="5"/>
  <c r="H60" i="5"/>
  <c r="G60" i="5"/>
  <c r="F60" i="5"/>
  <c r="E60" i="5"/>
  <c r="D60" i="5"/>
  <c r="H59" i="5"/>
  <c r="G59" i="5"/>
  <c r="F59" i="5"/>
  <c r="E59" i="5"/>
  <c r="D59" i="5"/>
  <c r="H58" i="5"/>
  <c r="G58" i="5"/>
  <c r="F58" i="5"/>
  <c r="E58" i="5"/>
  <c r="D58" i="5"/>
  <c r="H57" i="5"/>
  <c r="G57" i="5"/>
  <c r="F57" i="5"/>
  <c r="E57" i="5"/>
  <c r="D57" i="5"/>
  <c r="H56" i="5"/>
  <c r="G56" i="5"/>
  <c r="F56" i="5"/>
  <c r="E56" i="5"/>
  <c r="D56" i="5"/>
  <c r="H55" i="5"/>
  <c r="G55" i="5"/>
  <c r="F55" i="5"/>
  <c r="E55" i="5"/>
  <c r="D55" i="5"/>
  <c r="H54" i="5"/>
  <c r="G54" i="5"/>
  <c r="F54" i="5"/>
  <c r="E54" i="5"/>
  <c r="D54" i="5"/>
  <c r="H53" i="5"/>
  <c r="G53" i="5"/>
  <c r="F53" i="5"/>
  <c r="E53" i="5"/>
  <c r="D53" i="5"/>
  <c r="H52" i="5"/>
  <c r="G52" i="5"/>
  <c r="F52" i="5"/>
  <c r="E52" i="5"/>
  <c r="H51" i="5"/>
  <c r="G51" i="5"/>
  <c r="F51" i="5"/>
  <c r="E51" i="5"/>
  <c r="D51" i="5"/>
  <c r="H50" i="5"/>
  <c r="G50" i="5"/>
  <c r="F50" i="5"/>
  <c r="E50" i="5"/>
  <c r="D50" i="5"/>
  <c r="H49" i="5"/>
  <c r="G49" i="5"/>
  <c r="F49" i="5"/>
  <c r="E49" i="5"/>
  <c r="D49" i="5"/>
  <c r="H48" i="5"/>
  <c r="G48" i="5"/>
  <c r="F48" i="5"/>
  <c r="E48" i="5"/>
  <c r="D48" i="5"/>
  <c r="H47" i="5"/>
  <c r="G47" i="5"/>
  <c r="F47" i="5"/>
  <c r="E47" i="5"/>
  <c r="H46" i="5"/>
  <c r="G46" i="5"/>
  <c r="F46" i="5"/>
  <c r="E46" i="5"/>
  <c r="H45" i="5"/>
  <c r="G45" i="5"/>
  <c r="F45" i="5"/>
  <c r="E45" i="5"/>
  <c r="D45" i="5"/>
  <c r="H44" i="5"/>
  <c r="G44" i="5"/>
  <c r="F44" i="5"/>
  <c r="E44" i="5"/>
  <c r="D44" i="5"/>
  <c r="H43" i="5"/>
  <c r="G43" i="5"/>
  <c r="F43" i="5"/>
  <c r="E43" i="5"/>
  <c r="H42" i="5"/>
  <c r="G42" i="5"/>
  <c r="F42" i="5"/>
  <c r="E42" i="5"/>
  <c r="D42" i="5"/>
  <c r="H41" i="5"/>
  <c r="G41" i="5"/>
  <c r="F41" i="5"/>
  <c r="E41" i="5"/>
  <c r="D41" i="5"/>
  <c r="H40" i="5"/>
  <c r="G40" i="5"/>
  <c r="F40" i="5"/>
  <c r="E40" i="5"/>
  <c r="D40" i="5"/>
  <c r="H39" i="5"/>
  <c r="G39" i="5"/>
  <c r="F39" i="5"/>
  <c r="E39" i="5"/>
  <c r="D39" i="5"/>
  <c r="H38" i="5"/>
  <c r="G38" i="5"/>
  <c r="F38" i="5"/>
  <c r="E38" i="5"/>
  <c r="D38" i="5"/>
  <c r="H37" i="5"/>
  <c r="G37" i="5"/>
  <c r="F37" i="5"/>
  <c r="E37" i="5"/>
  <c r="D37" i="5"/>
  <c r="H36" i="5"/>
  <c r="G36" i="5"/>
  <c r="F36" i="5"/>
  <c r="E36" i="5"/>
  <c r="D36" i="5"/>
  <c r="H35" i="5"/>
  <c r="G35" i="5"/>
  <c r="F35" i="5"/>
  <c r="E35" i="5"/>
  <c r="H34" i="5"/>
  <c r="G34" i="5"/>
  <c r="F34" i="5"/>
  <c r="E34" i="5"/>
  <c r="D34" i="5"/>
  <c r="H33" i="5"/>
  <c r="G33" i="5"/>
  <c r="F33" i="5"/>
  <c r="E33" i="5"/>
  <c r="D33" i="5"/>
  <c r="H32" i="5"/>
  <c r="G32" i="5"/>
  <c r="F32" i="5"/>
  <c r="E32" i="5"/>
  <c r="D32" i="5"/>
  <c r="H31" i="5"/>
  <c r="G31" i="5"/>
  <c r="F31" i="5"/>
  <c r="E31" i="5"/>
  <c r="D31" i="5"/>
  <c r="H30" i="5"/>
  <c r="G30" i="5"/>
  <c r="F30" i="5"/>
  <c r="E30" i="5"/>
  <c r="D30" i="5"/>
  <c r="H29" i="5"/>
  <c r="G29" i="5"/>
  <c r="F29" i="5"/>
  <c r="E29" i="5"/>
  <c r="D29" i="5"/>
  <c r="H28" i="5"/>
  <c r="G28" i="5"/>
  <c r="F28" i="5"/>
  <c r="E28" i="5"/>
  <c r="H27" i="5"/>
  <c r="G27" i="5"/>
  <c r="F27" i="5"/>
  <c r="E27" i="5"/>
  <c r="H26" i="5"/>
  <c r="G26" i="5"/>
  <c r="F26" i="5"/>
  <c r="E26" i="5"/>
  <c r="D26" i="5"/>
  <c r="H25" i="5"/>
  <c r="G25" i="5"/>
  <c r="F25" i="5"/>
  <c r="E25" i="5"/>
  <c r="D25" i="5"/>
  <c r="H24" i="5"/>
  <c r="G24" i="5"/>
  <c r="F24" i="5"/>
  <c r="E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D18" i="5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D13" i="5"/>
  <c r="H12" i="5"/>
  <c r="G12" i="5"/>
  <c r="F12" i="5"/>
  <c r="E12" i="5"/>
  <c r="D12" i="5"/>
  <c r="H11" i="5"/>
  <c r="G11" i="5"/>
  <c r="F11" i="5"/>
  <c r="E11" i="5"/>
  <c r="H10" i="5"/>
  <c r="G10" i="5"/>
  <c r="F10" i="5"/>
  <c r="E10" i="5"/>
  <c r="D10" i="5"/>
  <c r="H9" i="5"/>
  <c r="G9" i="5"/>
  <c r="F9" i="5"/>
  <c r="E9" i="5"/>
  <c r="D9" i="5"/>
  <c r="H8" i="5"/>
  <c r="G8" i="5"/>
  <c r="F8" i="5"/>
  <c r="E8" i="5"/>
  <c r="D8" i="5"/>
  <c r="H7" i="5"/>
  <c r="G7" i="5"/>
  <c r="F7" i="5"/>
  <c r="E7" i="5"/>
  <c r="D7" i="5"/>
  <c r="H6" i="5"/>
  <c r="G6" i="5"/>
  <c r="D6" i="5"/>
  <c r="E39" i="8" l="1"/>
  <c r="D39" i="8"/>
  <c r="E38" i="8"/>
  <c r="D38" i="8"/>
  <c r="E37" i="8"/>
  <c r="D37" i="8"/>
  <c r="E36" i="8"/>
  <c r="D36" i="8"/>
  <c r="E35" i="8"/>
  <c r="D35" i="8"/>
  <c r="E34" i="8"/>
  <c r="D34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3" i="8"/>
  <c r="D23" i="8"/>
  <c r="E22" i="8"/>
  <c r="D22" i="8"/>
  <c r="E21" i="8"/>
  <c r="E20" i="8"/>
  <c r="D20" i="8"/>
  <c r="E19" i="8"/>
  <c r="D19" i="8"/>
  <c r="E18" i="8"/>
  <c r="D18" i="8"/>
  <c r="E17" i="8"/>
  <c r="D17" i="8"/>
  <c r="E16" i="8"/>
  <c r="D16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E39" i="7"/>
  <c r="D39" i="7"/>
  <c r="E38" i="7"/>
  <c r="D38" i="7"/>
  <c r="E37" i="7"/>
  <c r="D37" i="7"/>
  <c r="E36" i="7"/>
  <c r="D36" i="7"/>
  <c r="E35" i="7"/>
  <c r="D35" i="7"/>
  <c r="E34" i="7"/>
  <c r="D34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3" i="7"/>
  <c r="D23" i="7"/>
  <c r="E22" i="7"/>
  <c r="D22" i="7"/>
  <c r="E21" i="7"/>
  <c r="E20" i="7"/>
  <c r="D20" i="7"/>
  <c r="E19" i="7"/>
  <c r="D19" i="7"/>
  <c r="E18" i="7"/>
  <c r="D18" i="7"/>
  <c r="E17" i="7"/>
  <c r="D17" i="7"/>
  <c r="E16" i="7"/>
  <c r="D16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D8" i="7"/>
  <c r="E7" i="7"/>
  <c r="D7" i="7"/>
  <c r="D138" i="3" l="1"/>
  <c r="D137" i="3"/>
  <c r="D136" i="3"/>
  <c r="D133" i="3"/>
  <c r="D131" i="3"/>
  <c r="D129" i="3"/>
  <c r="D127" i="3"/>
  <c r="D125" i="3"/>
  <c r="D124" i="3"/>
  <c r="D123" i="3"/>
  <c r="D122" i="3"/>
  <c r="D121" i="3"/>
  <c r="D115" i="3"/>
  <c r="D112" i="3"/>
  <c r="D111" i="3"/>
  <c r="D106" i="3"/>
  <c r="D104" i="3"/>
  <c r="D103" i="3"/>
  <c r="D102" i="3"/>
  <c r="D101" i="3"/>
  <c r="D99" i="3"/>
  <c r="D98" i="3"/>
  <c r="D97" i="3"/>
  <c r="D95" i="3"/>
  <c r="D93" i="3"/>
  <c r="D92" i="3"/>
  <c r="D88" i="3"/>
  <c r="D87" i="3"/>
  <c r="D86" i="3"/>
  <c r="D85" i="3"/>
  <c r="D84" i="3"/>
  <c r="D83" i="3"/>
  <c r="D82" i="3"/>
  <c r="D80" i="3"/>
  <c r="D78" i="3"/>
  <c r="D77" i="3"/>
  <c r="D74" i="3"/>
  <c r="D73" i="3"/>
  <c r="D72" i="3"/>
  <c r="D68" i="3"/>
  <c r="D65" i="3"/>
  <c r="D64" i="3"/>
  <c r="D63" i="3"/>
  <c r="D62" i="3"/>
  <c r="D61" i="3"/>
  <c r="D60" i="3"/>
  <c r="D59" i="3"/>
  <c r="D58" i="3"/>
  <c r="D57" i="3"/>
  <c r="D53" i="3"/>
  <c r="D52" i="3"/>
  <c r="D51" i="3"/>
  <c r="D50" i="3"/>
  <c r="D49" i="3"/>
  <c r="D47" i="3"/>
  <c r="D46" i="3"/>
  <c r="D41" i="3"/>
  <c r="D40" i="3"/>
  <c r="D39" i="3"/>
  <c r="D37" i="3"/>
  <c r="D36" i="3"/>
  <c r="D35" i="3"/>
  <c r="D30" i="3"/>
  <c r="D29" i="3"/>
  <c r="D28" i="3"/>
  <c r="D27" i="3"/>
  <c r="D26" i="3"/>
  <c r="D25" i="3"/>
  <c r="D24" i="3"/>
  <c r="D23" i="3"/>
  <c r="D22" i="3"/>
  <c r="D20" i="3"/>
  <c r="D18" i="3"/>
  <c r="D17" i="3"/>
  <c r="D16" i="3"/>
  <c r="D14" i="3"/>
  <c r="D11" i="3"/>
  <c r="D10" i="3"/>
  <c r="D9" i="3"/>
  <c r="D7" i="3"/>
  <c r="D6" i="3"/>
  <c r="D4" i="3"/>
  <c r="G125" i="2" l="1"/>
  <c r="F125" i="2"/>
  <c r="E125" i="2"/>
  <c r="D125" i="2"/>
  <c r="C125" i="2"/>
  <c r="G124" i="2"/>
  <c r="F124" i="2"/>
  <c r="E124" i="2"/>
  <c r="D124" i="2"/>
  <c r="C124" i="2"/>
  <c r="G123" i="2"/>
  <c r="F123" i="2"/>
  <c r="E123" i="2"/>
  <c r="D123" i="2"/>
  <c r="C123" i="2"/>
  <c r="G122" i="2"/>
  <c r="F122" i="2"/>
  <c r="E122" i="2"/>
  <c r="D122" i="2"/>
  <c r="G121" i="2"/>
  <c r="F121" i="2"/>
  <c r="E121" i="2"/>
  <c r="D121" i="2"/>
  <c r="G120" i="2"/>
  <c r="F120" i="2"/>
  <c r="E120" i="2"/>
  <c r="D120" i="2"/>
  <c r="C120" i="2"/>
  <c r="G119" i="2"/>
  <c r="F119" i="2"/>
  <c r="E119" i="2"/>
  <c r="D119" i="2"/>
  <c r="C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C116" i="2"/>
  <c r="G115" i="2"/>
  <c r="F115" i="2"/>
  <c r="E115" i="2"/>
  <c r="D115" i="2"/>
  <c r="C115" i="2"/>
  <c r="G114" i="2"/>
  <c r="F114" i="2"/>
  <c r="E114" i="2"/>
  <c r="D114" i="2"/>
  <c r="C114" i="2"/>
  <c r="G113" i="2"/>
  <c r="F113" i="2"/>
  <c r="E113" i="2"/>
  <c r="D113" i="2"/>
  <c r="C113" i="2"/>
  <c r="G112" i="2"/>
  <c r="F112" i="2"/>
  <c r="E112" i="2"/>
  <c r="D112" i="2"/>
  <c r="C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C109" i="2"/>
  <c r="G108" i="2"/>
  <c r="F108" i="2"/>
  <c r="E108" i="2"/>
  <c r="D108" i="2"/>
  <c r="C108" i="2"/>
  <c r="G107" i="2"/>
  <c r="F107" i="2"/>
  <c r="E107" i="2"/>
  <c r="D107" i="2"/>
  <c r="C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C104" i="2"/>
  <c r="G103" i="2"/>
  <c r="F103" i="2"/>
  <c r="E103" i="2"/>
  <c r="D103" i="2"/>
  <c r="C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C97" i="2"/>
  <c r="G96" i="2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C94" i="2"/>
  <c r="G93" i="2"/>
  <c r="F93" i="2"/>
  <c r="E93" i="2"/>
  <c r="D93" i="2"/>
  <c r="C93" i="2"/>
  <c r="G92" i="2"/>
  <c r="F92" i="2"/>
  <c r="E92" i="2"/>
  <c r="D92" i="2"/>
  <c r="C92" i="2"/>
  <c r="G91" i="2"/>
  <c r="F91" i="2"/>
  <c r="E91" i="2"/>
  <c r="D91" i="2"/>
  <c r="C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G77" i="2"/>
  <c r="F77" i="2"/>
  <c r="E77" i="2"/>
  <c r="D77" i="2"/>
  <c r="C77" i="2"/>
  <c r="G76" i="2"/>
  <c r="F76" i="2"/>
  <c r="E76" i="2"/>
  <c r="D76" i="2"/>
  <c r="G75" i="2"/>
  <c r="F75" i="2"/>
  <c r="E75" i="2"/>
  <c r="D75" i="2"/>
  <c r="C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C71" i="2"/>
  <c r="G70" i="2"/>
  <c r="F70" i="2"/>
  <c r="E70" i="2"/>
  <c r="D70" i="2"/>
  <c r="G69" i="2"/>
  <c r="F69" i="2"/>
  <c r="E69" i="2"/>
  <c r="D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C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G60" i="2"/>
  <c r="F60" i="2"/>
  <c r="E60" i="2"/>
  <c r="D60" i="2"/>
  <c r="C60" i="2"/>
  <c r="G59" i="2"/>
  <c r="F59" i="2"/>
  <c r="E59" i="2"/>
  <c r="D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G55" i="2"/>
  <c r="F55" i="2"/>
  <c r="E55" i="2"/>
  <c r="D55" i="2"/>
  <c r="C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C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C48" i="2"/>
  <c r="G47" i="2"/>
  <c r="F47" i="2"/>
  <c r="E47" i="2"/>
  <c r="D47" i="2"/>
  <c r="C47" i="2"/>
  <c r="G46" i="2"/>
  <c r="F46" i="2"/>
  <c r="E46" i="2"/>
  <c r="D46" i="2"/>
  <c r="C46" i="2"/>
  <c r="G45" i="2"/>
  <c r="F45" i="2"/>
  <c r="E45" i="2"/>
  <c r="D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G40" i="2"/>
  <c r="F40" i="2"/>
  <c r="E40" i="2"/>
  <c r="D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C36" i="2"/>
  <c r="G35" i="2"/>
  <c r="F35" i="2"/>
  <c r="E35" i="2"/>
  <c r="D35" i="2"/>
  <c r="C35" i="2"/>
  <c r="G34" i="2"/>
  <c r="F34" i="2"/>
  <c r="E34" i="2"/>
  <c r="D34" i="2"/>
  <c r="C34" i="2"/>
  <c r="G33" i="2"/>
  <c r="F33" i="2"/>
  <c r="E33" i="2"/>
  <c r="D33" i="2"/>
  <c r="C33" i="2"/>
  <c r="G32" i="2"/>
  <c r="F32" i="2"/>
  <c r="E32" i="2"/>
  <c r="D32" i="2"/>
  <c r="C32" i="2"/>
  <c r="G31" i="2"/>
  <c r="F31" i="2"/>
  <c r="E31" i="2"/>
  <c r="D31" i="2"/>
  <c r="C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C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5" i="2"/>
  <c r="F5" i="2"/>
  <c r="C5" i="2"/>
  <c r="G111" i="1" l="1"/>
  <c r="F111" i="1"/>
  <c r="E111" i="1"/>
  <c r="D111" i="1"/>
  <c r="C111" i="1"/>
  <c r="G110" i="1"/>
  <c r="F110" i="1"/>
  <c r="E110" i="1"/>
  <c r="D110" i="1"/>
  <c r="C110" i="1"/>
  <c r="G109" i="1"/>
  <c r="F109" i="1"/>
  <c r="E109" i="1"/>
  <c r="D109" i="1"/>
  <c r="G108" i="1"/>
  <c r="F108" i="1"/>
  <c r="E108" i="1"/>
  <c r="D108" i="1"/>
  <c r="G107" i="1"/>
  <c r="F107" i="1"/>
  <c r="E107" i="1"/>
  <c r="D107" i="1"/>
  <c r="C107" i="1"/>
  <c r="G106" i="1"/>
  <c r="F106" i="1"/>
  <c r="E106" i="1"/>
  <c r="D106" i="1"/>
  <c r="G105" i="1"/>
  <c r="F105" i="1"/>
  <c r="E105" i="1"/>
  <c r="D105" i="1"/>
  <c r="G104" i="1"/>
  <c r="F104" i="1"/>
  <c r="E104" i="1"/>
  <c r="D104" i="1"/>
  <c r="G103" i="1"/>
  <c r="F103" i="1"/>
  <c r="E103" i="1"/>
  <c r="D103" i="1"/>
  <c r="C103" i="1"/>
  <c r="G102" i="1"/>
  <c r="F102" i="1"/>
  <c r="E102" i="1"/>
  <c r="D102" i="1"/>
  <c r="C102" i="1"/>
  <c r="G101" i="1"/>
  <c r="F101" i="1"/>
  <c r="E101" i="1"/>
  <c r="D101" i="1"/>
  <c r="C101" i="1"/>
  <c r="G100" i="1"/>
  <c r="F100" i="1"/>
  <c r="E100" i="1"/>
  <c r="D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G95" i="1"/>
  <c r="F95" i="1"/>
  <c r="E95" i="1"/>
  <c r="D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G88" i="1"/>
  <c r="F88" i="1"/>
  <c r="E88" i="1"/>
  <c r="D88" i="1"/>
  <c r="C88" i="1"/>
  <c r="G87" i="1"/>
  <c r="F87" i="1"/>
  <c r="E87" i="1"/>
  <c r="D87" i="1"/>
  <c r="C87" i="1"/>
  <c r="G86" i="1"/>
  <c r="F86" i="1"/>
  <c r="E86" i="1"/>
  <c r="D86" i="1"/>
  <c r="C86" i="1"/>
  <c r="G85" i="1"/>
  <c r="F85" i="1"/>
  <c r="E85" i="1"/>
  <c r="D85" i="1"/>
  <c r="C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G81" i="1"/>
  <c r="F81" i="1"/>
  <c r="E81" i="1"/>
  <c r="D81" i="1"/>
  <c r="G80" i="1"/>
  <c r="F80" i="1"/>
  <c r="E80" i="1"/>
  <c r="D80" i="1"/>
  <c r="C80" i="1"/>
  <c r="G79" i="1"/>
  <c r="F79" i="1"/>
  <c r="E79" i="1"/>
  <c r="D79" i="1"/>
  <c r="G78" i="1"/>
  <c r="F78" i="1"/>
  <c r="E78" i="1"/>
  <c r="D78" i="1"/>
  <c r="C78" i="1"/>
  <c r="G77" i="1"/>
  <c r="F77" i="1"/>
  <c r="E77" i="1"/>
  <c r="D77" i="1"/>
  <c r="G76" i="1"/>
  <c r="F76" i="1"/>
  <c r="E76" i="1"/>
  <c r="D76" i="1"/>
  <c r="G75" i="1"/>
  <c r="F75" i="1"/>
  <c r="E75" i="1"/>
  <c r="D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G71" i="1"/>
  <c r="F71" i="1"/>
  <c r="E71" i="1"/>
  <c r="D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C68" i="1"/>
  <c r="G67" i="1"/>
  <c r="F67" i="1"/>
  <c r="E67" i="1"/>
  <c r="D67" i="1"/>
  <c r="G66" i="1"/>
  <c r="F66" i="1"/>
  <c r="E66" i="1"/>
  <c r="D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G62" i="1"/>
  <c r="F62" i="1"/>
  <c r="E62" i="1"/>
  <c r="D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G51" i="1"/>
  <c r="F51" i="1"/>
  <c r="E51" i="1"/>
  <c r="D51" i="1"/>
  <c r="C51" i="1"/>
  <c r="G50" i="1"/>
  <c r="F50" i="1"/>
  <c r="E50" i="1"/>
  <c r="D50" i="1"/>
  <c r="C50" i="1"/>
  <c r="G49" i="1"/>
  <c r="F49" i="1"/>
  <c r="E49" i="1"/>
  <c r="D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G44" i="1"/>
  <c r="F44" i="1"/>
  <c r="E44" i="1"/>
  <c r="D44" i="1"/>
  <c r="C44" i="1"/>
  <c r="G43" i="1"/>
  <c r="F43" i="1"/>
  <c r="E43" i="1"/>
  <c r="D43" i="1"/>
  <c r="G42" i="1"/>
  <c r="F42" i="1"/>
  <c r="E42" i="1"/>
  <c r="D42" i="1"/>
  <c r="G41" i="1"/>
  <c r="F41" i="1"/>
  <c r="E41" i="1"/>
  <c r="D41" i="1"/>
  <c r="C41" i="1"/>
  <c r="G40" i="1"/>
  <c r="F40" i="1"/>
  <c r="E40" i="1"/>
  <c r="D40" i="1"/>
  <c r="G39" i="1"/>
  <c r="F39" i="1"/>
  <c r="E39" i="1"/>
  <c r="D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C34" i="1"/>
  <c r="G33" i="1"/>
  <c r="F33" i="1"/>
  <c r="E33" i="1"/>
  <c r="D33" i="1"/>
  <c r="C33" i="1"/>
  <c r="G32" i="1"/>
  <c r="F32" i="1"/>
  <c r="E32" i="1"/>
  <c r="D32" i="1"/>
  <c r="C32" i="1"/>
  <c r="G31" i="1"/>
  <c r="F31" i="1"/>
  <c r="E31" i="1"/>
  <c r="D31" i="1"/>
  <c r="C31" i="1"/>
  <c r="G30" i="1"/>
  <c r="F30" i="1"/>
  <c r="E30" i="1"/>
  <c r="D30" i="1"/>
  <c r="C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G24" i="1"/>
  <c r="F24" i="1"/>
  <c r="E24" i="1"/>
  <c r="D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G19" i="1"/>
  <c r="F19" i="1"/>
  <c r="E19" i="1"/>
  <c r="D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5" i="1"/>
  <c r="F5" i="1"/>
  <c r="C5" i="1"/>
</calcChain>
</file>

<file path=xl/sharedStrings.xml><?xml version="1.0" encoding="utf-8"?>
<sst xmlns="http://schemas.openxmlformats.org/spreadsheetml/2006/main" count="1109" uniqueCount="411">
  <si>
    <t>Structura, %</t>
  </si>
  <si>
    <t>România</t>
  </si>
  <si>
    <t>Italia</t>
  </si>
  <si>
    <t>Germania</t>
  </si>
  <si>
    <t>Polonia</t>
  </si>
  <si>
    <t>Bulgaria</t>
  </si>
  <si>
    <t>Austria</t>
  </si>
  <si>
    <t>Grecia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</si>
  <si>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</si>
  <si>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</si>
  <si>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</si>
  <si>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</si>
  <si>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</si>
  <si>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</si>
  <si>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</si>
  <si>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</si>
  <si>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</si>
  <si>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</si>
  <si>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</si>
  <si>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</si>
  <si>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</si>
  <si>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</si>
  <si>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</si>
  <si>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</si>
  <si>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</si>
  <si>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</si>
  <si>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</si>
  <si>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</si>
  <si>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</si>
  <si>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</si>
  <si>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</si>
  <si>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</si>
  <si>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</si>
  <si>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</si>
  <si>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</si>
  <si>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</si>
  <si>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</si>
  <si>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</si>
  <si>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</si>
  <si>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</si>
  <si>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</si>
  <si>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</si>
  <si>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</si>
  <si>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</si>
  <si>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</si>
  <si>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</si>
  <si>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</si>
  <si>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</si>
  <si>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</si>
  <si>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</si>
  <si>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</si>
  <si>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</si>
  <si>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</si>
  <si>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</si>
  <si>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</si>
  <si>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</si>
  <si>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</si>
  <si>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</si>
  <si>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</si>
  <si>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</si>
  <si>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</si>
  <si>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</si>
  <si>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</si>
  <si>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</si>
  <si>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</si>
  <si>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</si>
  <si>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</si>
  <si>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</si>
  <si>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</si>
  <si>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</si>
  <si>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</si>
  <si>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</si>
  <si>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</si>
  <si>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</si>
  <si>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</si>
  <si>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</si>
  <si>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</si>
  <si>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</si>
  <si>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</si>
  <si>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</si>
  <si>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</si>
  <si>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</si>
  <si>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</si>
  <si>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</si>
  <si>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</si>
  <si>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</si>
  <si>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</si>
  <si>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</si>
  <si>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</si>
  <si>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</si>
  <si>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</si>
  <si>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</si>
  <si>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</si>
  <si>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</si>
  <si>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</si>
  <si>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</si>
  <si>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</si>
  <si>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</si>
  <si>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</si>
  <si>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</si>
  <si>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</si>
  <si>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Qatar</t>
  </si>
  <si>
    <t>Ponderea, %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</si>
  <si>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</si>
  <si>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</si>
  <si>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</si>
  <si>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</si>
  <si>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</si>
  <si>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</si>
  <si>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</si>
  <si>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mii dolari             SUA</t>
  </si>
  <si>
    <t>IMPORT - total</t>
  </si>
  <si>
    <t>Etiopia</t>
  </si>
  <si>
    <t>Bahrain</t>
  </si>
  <si>
    <t xml:space="preserve">   din care:</t>
  </si>
  <si>
    <t xml:space="preserve">IMPORT - total      </t>
  </si>
  <si>
    <t>Macedonia de Nord</t>
  </si>
  <si>
    <t>Cote D'Ivoire</t>
  </si>
  <si>
    <t xml:space="preserve">     din care:</t>
  </si>
  <si>
    <t>Zimbabwe</t>
  </si>
  <si>
    <t>Camerun</t>
  </si>
  <si>
    <t xml:space="preserve">EXPORT - total      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</si>
  <si>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</si>
  <si>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</si>
  <si>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</si>
  <si>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</si>
  <si>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</si>
  <si>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</si>
  <si>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</si>
  <si>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</si>
  <si>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</si>
  <si>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</si>
  <si>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</si>
  <si>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</si>
  <si>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</si>
  <si>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</si>
  <si>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</si>
  <si>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</si>
  <si>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</si>
  <si>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</si>
  <si>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</si>
  <si>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</si>
  <si>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</si>
  <si>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</si>
  <si>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</si>
  <si>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</si>
  <si>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</si>
  <si>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</si>
  <si>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</si>
  <si>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</si>
  <si>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</si>
  <si>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</si>
  <si>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</si>
  <si>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</si>
  <si>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</si>
  <si>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</si>
  <si>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</si>
  <si>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</si>
  <si>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</si>
  <si>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</si>
  <si>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</si>
  <si>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</si>
  <si>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</si>
  <si>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</si>
  <si>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</si>
  <si>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</si>
  <si>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</si>
  <si>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</si>
  <si>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</si>
  <si>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</si>
  <si>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</si>
  <si>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</si>
  <si>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</si>
  <si>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</si>
  <si>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</si>
  <si>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</si>
  <si>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</si>
  <si>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</si>
  <si>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</si>
  <si>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</si>
  <si>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</si>
  <si>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</si>
  <si>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</si>
  <si>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</si>
  <si>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</si>
  <si>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</si>
  <si>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</si>
  <si>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de 2,2 ori</t>
  </si>
  <si>
    <t>de 1,8 ori</t>
  </si>
  <si>
    <t>Țările CSI - total</t>
  </si>
  <si>
    <t>Țările Uniunii Europene (UE-27)</t>
  </si>
  <si>
    <t xml:space="preserve">Țările CSI </t>
  </si>
  <si>
    <t xml:space="preserve">Celelalte țări ale lumii </t>
  </si>
  <si>
    <t>Afganistan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</si>
  <si>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</si>
  <si>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</si>
  <si>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</si>
  <si>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</si>
  <si>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</si>
  <si>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</si>
  <si>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</si>
  <si>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</si>
  <si>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</si>
  <si>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</si>
  <si>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</si>
  <si>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</si>
  <si>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</si>
  <si>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</si>
  <si>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</si>
  <si>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</si>
  <si>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</si>
  <si>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</si>
  <si>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</si>
  <si>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</si>
  <si>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</si>
  <si>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</si>
  <si>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</si>
  <si>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</si>
  <si>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</si>
  <si>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</si>
  <si>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</si>
  <si>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</si>
  <si>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</si>
  <si>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</si>
  <si>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</si>
  <si>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</si>
  <si>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</si>
  <si>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</si>
  <si>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</si>
  <si>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</si>
  <si>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</si>
  <si>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</si>
  <si>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</si>
  <si>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</si>
  <si>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</si>
  <si>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</si>
  <si>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</si>
  <si>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</si>
  <si>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</si>
  <si>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</si>
  <si>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</si>
  <si>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</si>
  <si>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</si>
  <si>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</si>
  <si>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</si>
  <si>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</si>
  <si>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</si>
  <si>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</si>
  <si>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</si>
  <si>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</si>
  <si>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</si>
  <si>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</si>
  <si>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</si>
  <si>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</si>
  <si>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</si>
  <si>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</si>
  <si>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</si>
  <si>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</si>
  <si>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</si>
  <si>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</si>
  <si>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</si>
  <si>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</si>
  <si>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</si>
  <si>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</si>
  <si>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</si>
  <si>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</si>
  <si>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</si>
  <si>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</si>
  <si>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>conform Clasificării Standard de Comerţ Internaţional (CSCI)</t>
  </si>
  <si>
    <t xml:space="preserve">  ¹ În preţuri curente</t>
  </si>
  <si>
    <t>35</t>
  </si>
  <si>
    <t>Energie electrica</t>
  </si>
  <si>
    <t>Energie electrică</t>
  </si>
  <si>
    <t>BALANŢA COMERCIALĂ - total, mii dolari SUA</t>
  </si>
  <si>
    <t>Celelalte țări ale lumii</t>
  </si>
  <si>
    <t>Malawi</t>
  </si>
  <si>
    <t>Franța</t>
  </si>
  <si>
    <t>Croația</t>
  </si>
  <si>
    <t>Federația Rusă</t>
  </si>
  <si>
    <t>de 2,8 ori</t>
  </si>
  <si>
    <t>Cehia</t>
  </si>
  <si>
    <t>Kârgâzstan</t>
  </si>
  <si>
    <t>Taiwan, provincie a Chinei</t>
  </si>
  <si>
    <t>Insulele Feroe</t>
  </si>
  <si>
    <t>Burkina Faso</t>
  </si>
  <si>
    <t>Regatul Țărilor de Jos (Netherlands)</t>
  </si>
  <si>
    <t>Țările Uniunii Europene - total</t>
  </si>
  <si>
    <t>Gaz și produse industriale obținute din gaz</t>
  </si>
  <si>
    <t>de 2,6 ori</t>
  </si>
  <si>
    <t>de 2,3 ori</t>
  </si>
  <si>
    <t>de 2,9 ori</t>
  </si>
  <si>
    <t>Republica Dominicană</t>
  </si>
  <si>
    <t>Kosovo</t>
  </si>
  <si>
    <t>Tuvalu</t>
  </si>
  <si>
    <t>-</t>
  </si>
  <si>
    <t>Instrumente şi aparate profesionale, ştiinţifice şi de control</t>
  </si>
  <si>
    <t>Ciad</t>
  </si>
  <si>
    <t>de 3,7 ori</t>
  </si>
  <si>
    <t>de 4,2 ori</t>
  </si>
  <si>
    <t>Uganda</t>
  </si>
  <si>
    <t>Nepal</t>
  </si>
  <si>
    <t>BALANŢA COMERCIALĂ – total, mii dolari SUA</t>
  </si>
  <si>
    <t>Instrumente şi aparate, profesionale, ştiinţifice şi de control</t>
  </si>
  <si>
    <t>de 3,8 ori</t>
  </si>
  <si>
    <t>Algeria</t>
  </si>
  <si>
    <t>Kuwait</t>
  </si>
  <si>
    <t>Togo</t>
  </si>
  <si>
    <t>Lesotho</t>
  </si>
  <si>
    <t>Coreea de Nord</t>
  </si>
  <si>
    <t>Mauritania</t>
  </si>
  <si>
    <t>Nicaragua</t>
  </si>
  <si>
    <t>Liechtenstein</t>
  </si>
  <si>
    <t>Libia</t>
  </si>
  <si>
    <t>de 2,4 ori</t>
  </si>
  <si>
    <t>Sudan</t>
  </si>
  <si>
    <t>Muntenegru</t>
  </si>
  <si>
    <t>Belize</t>
  </si>
  <si>
    <t>Venezuela</t>
  </si>
  <si>
    <t>de 7,2 ori</t>
  </si>
  <si>
    <t>de 10,1 ori</t>
  </si>
  <si>
    <t>de 3,2 ori</t>
  </si>
  <si>
    <t>San Marino</t>
  </si>
  <si>
    <t>Mauritius</t>
  </si>
  <si>
    <t>Guatemala</t>
  </si>
  <si>
    <t>Laos</t>
  </si>
  <si>
    <t>de 4,0 ori</t>
  </si>
  <si>
    <t>Yemen</t>
  </si>
  <si>
    <t>Haiti</t>
  </si>
  <si>
    <t>Sierra Leone</t>
  </si>
  <si>
    <r>
      <t xml:space="preserve">  </t>
    </r>
    <r>
      <rPr>
        <b/>
        <vertAlign val="superscript"/>
        <sz val="8"/>
        <rFont val="Arial"/>
        <family val="2"/>
        <charset val="204"/>
      </rPr>
      <t>2</t>
    </r>
    <r>
      <rPr>
        <b/>
        <sz val="8"/>
        <rFont val="Arial"/>
        <family val="2"/>
        <charset val="204"/>
      </rPr>
      <t xml:space="preserve"> Faţă de anul precedent</t>
    </r>
  </si>
  <si>
    <r>
      <t xml:space="preserve">  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Faţă de anul precedent</t>
    </r>
  </si>
  <si>
    <r>
      <rPr>
        <b/>
        <sz val="10"/>
        <rFont val="Arial"/>
        <family val="2"/>
        <charset val="204"/>
      </rPr>
      <t xml:space="preserve">Anexa 1.  </t>
    </r>
    <r>
      <rPr>
        <b/>
        <i/>
        <sz val="10"/>
        <rFont val="Arial"/>
        <family val="2"/>
        <charset val="204"/>
      </rPr>
      <t>Exporturile structurate pe principalele ţări de destinaţie a mărfurilor şi pe grupe de ţări</t>
    </r>
  </si>
  <si>
    <t>de 3,4 ori</t>
  </si>
  <si>
    <t>de 52,7 ori</t>
  </si>
  <si>
    <t>Cuba</t>
  </si>
  <si>
    <t>Paraguay</t>
  </si>
  <si>
    <r>
      <rPr>
        <b/>
        <sz val="10"/>
        <color indexed="8"/>
        <rFont val="Arial"/>
        <family val="2"/>
        <charset val="204"/>
      </rPr>
      <t xml:space="preserve">Anexa 2.  </t>
    </r>
    <r>
      <rPr>
        <b/>
        <i/>
        <sz val="10"/>
        <color indexed="8"/>
        <rFont val="Arial"/>
        <family val="2"/>
        <charset val="204"/>
      </rPr>
      <t>Importurile structurate pe principalele ţări de origine a mărfurilor şi pe grupe de ţări</t>
    </r>
  </si>
  <si>
    <t>Republica Arabă Siria</t>
  </si>
  <si>
    <t>Republica Unită Tanzania</t>
  </si>
  <si>
    <t>de 3,3 ori</t>
  </si>
  <si>
    <t>de 4,3 ori</t>
  </si>
  <si>
    <t>de 6,7 ori</t>
  </si>
  <si>
    <t>de 3,5 ori</t>
  </si>
  <si>
    <r>
      <rPr>
        <b/>
        <sz val="10"/>
        <color indexed="8"/>
        <rFont val="Arial"/>
        <family val="2"/>
        <charset val="204"/>
      </rPr>
      <t xml:space="preserve">Anexa 3.  </t>
    </r>
    <r>
      <rPr>
        <b/>
        <i/>
        <sz val="10"/>
        <color indexed="8"/>
        <rFont val="Arial"/>
        <family val="2"/>
        <charset val="204"/>
      </rPr>
      <t>Balanţa comercială structurată pe principalele ţări şi pe grupe de ţări</t>
    </r>
  </si>
  <si>
    <t>de 4,8 ori</t>
  </si>
  <si>
    <r>
      <rPr>
        <b/>
        <sz val="10"/>
        <rFont val="Arial"/>
        <family val="2"/>
        <charset val="204"/>
      </rPr>
      <t xml:space="preserve">Anexa 4.  </t>
    </r>
    <r>
      <rPr>
        <b/>
        <i/>
        <sz val="10"/>
        <rFont val="Arial"/>
        <family val="2"/>
        <charset val="204"/>
      </rPr>
      <t xml:space="preserve">Exporturile structurate după modul de transport al mărfurilor </t>
    </r>
  </si>
  <si>
    <t>de 91,3 ori</t>
  </si>
  <si>
    <r>
      <rPr>
        <b/>
        <sz val="10"/>
        <rFont val="Arial"/>
        <family val="2"/>
        <charset val="204"/>
      </rPr>
      <t>Anexa 5.</t>
    </r>
    <r>
      <rPr>
        <b/>
        <i/>
        <sz val="10"/>
        <rFont val="Arial"/>
        <family val="2"/>
        <charset val="204"/>
      </rPr>
      <t xml:space="preserve">  Importurile structurate după modul de transport al mărfurilor </t>
    </r>
  </si>
  <si>
    <t>de 9,5 ori</t>
  </si>
  <si>
    <r>
      <rPr>
        <b/>
        <sz val="10"/>
        <color indexed="8"/>
        <rFont val="Arial"/>
        <family val="2"/>
        <charset val="204"/>
      </rPr>
      <t>Anexa 6.</t>
    </r>
    <r>
      <rPr>
        <b/>
        <i/>
        <sz val="10"/>
        <color indexed="8"/>
        <rFont val="Arial"/>
        <family val="2"/>
        <charset val="204"/>
      </rPr>
      <t xml:space="preserve">  Exporturile structurate pe grupe de mărfuri, </t>
    </r>
  </si>
  <si>
    <t>de 6,2 ori</t>
  </si>
  <si>
    <t>Gradul de influenţă a grupelor de mărfuri  la creşterea (+),  scăderea (-) exporturilor, %</t>
  </si>
  <si>
    <t>Gradul de influenţă a ţărilor, grupelor de ţări  la              creşterea (+),  scăderea (-) importurilor, %</t>
  </si>
  <si>
    <t>Gradul de influenţă a ţărilor, grupelor de ţări  la              creşterea (+),  scăderea (-) exporturilor, %</t>
  </si>
  <si>
    <t>Gradul de influenţă a grupelor de mărfuri  la creşterea (+),  scăderea (-) importurilor, %</t>
  </si>
  <si>
    <r>
      <rPr>
        <b/>
        <sz val="10"/>
        <color indexed="8"/>
        <rFont val="Arial"/>
        <family val="2"/>
        <charset val="204"/>
      </rPr>
      <t>Anexa 7.</t>
    </r>
    <r>
      <rPr>
        <b/>
        <i/>
        <sz val="10"/>
        <color indexed="8"/>
        <rFont val="Arial"/>
        <family val="2"/>
        <charset val="204"/>
      </rPr>
      <t xml:space="preserve">  Importurile structurate pe grupe de mărfuri, </t>
    </r>
  </si>
  <si>
    <r>
      <rPr>
        <b/>
        <sz val="10"/>
        <color indexed="8"/>
        <rFont val="Arial"/>
        <family val="2"/>
        <charset val="204"/>
      </rPr>
      <t xml:space="preserve">Anexa 8.  </t>
    </r>
    <r>
      <rPr>
        <b/>
        <i/>
        <sz val="10"/>
        <color indexed="8"/>
        <rFont val="Arial"/>
        <family val="2"/>
        <charset val="204"/>
      </rPr>
      <t xml:space="preserve">Balanţa comercială structurată pe grupe de mărfuri, </t>
    </r>
  </si>
  <si>
    <t xml:space="preserve">      din care:</t>
  </si>
  <si>
    <t xml:space="preserve"> Ianuarie-iulie 2023</t>
  </si>
  <si>
    <t>ianuarie-iulie 2022</t>
  </si>
  <si>
    <t>ianuarie-iulie 2023</t>
  </si>
  <si>
    <r>
      <t>ianuarie-iulie        2023</t>
    </r>
    <r>
      <rPr>
        <b/>
        <vertAlign val="superscript"/>
        <sz val="9"/>
        <rFont val="Arial"/>
        <family val="2"/>
        <charset val="204"/>
      </rPr>
      <t>1,2</t>
    </r>
  </si>
  <si>
    <r>
      <t>ianuarie-iulie       2022</t>
    </r>
    <r>
      <rPr>
        <b/>
        <vertAlign val="superscript"/>
        <sz val="9"/>
        <rFont val="Arial"/>
        <family val="2"/>
        <charset val="204"/>
      </rPr>
      <t>1,2</t>
    </r>
  </si>
  <si>
    <r>
      <t>ianuarie-iulie 2022</t>
    </r>
    <r>
      <rPr>
        <b/>
        <vertAlign val="superscript"/>
        <sz val="9"/>
        <rFont val="Arial"/>
        <family val="2"/>
        <charset val="204"/>
      </rPr>
      <t>1,2</t>
    </r>
  </si>
  <si>
    <r>
      <t>ianuarie-iulie 2023</t>
    </r>
    <r>
      <rPr>
        <b/>
        <vertAlign val="superscript"/>
        <sz val="9"/>
        <rFont val="Arial"/>
        <family val="2"/>
        <charset val="204"/>
      </rPr>
      <t>1,2</t>
    </r>
  </si>
  <si>
    <t>Ianuarie-iulie    2022</t>
  </si>
  <si>
    <t>Ianuarie-iulie    2023</t>
  </si>
  <si>
    <r>
      <t>Ianuarie-iulie 2023
în % faţă de ianuarie-iulie 
2022</t>
    </r>
    <r>
      <rPr>
        <b/>
        <vertAlign val="superscript"/>
        <sz val="9"/>
        <color indexed="8"/>
        <rFont val="Arial"/>
        <family val="2"/>
        <charset val="204"/>
      </rPr>
      <t>1</t>
    </r>
  </si>
  <si>
    <t>Ianuarie-iulie 2023</t>
  </si>
  <si>
    <t>Mărfuri manufacturate, clasificate iulie ales după materia primă</t>
  </si>
  <si>
    <r>
      <t>ianuarie-iulie                2022</t>
    </r>
    <r>
      <rPr>
        <b/>
        <vertAlign val="superscript"/>
        <sz val="9"/>
        <rFont val="Arial"/>
        <family val="2"/>
        <charset val="204"/>
      </rPr>
      <t>1,2</t>
    </r>
  </si>
  <si>
    <t>Ianuarie-iulie        2022</t>
  </si>
  <si>
    <t>Ianuarie-iulie         2023</t>
  </si>
  <si>
    <r>
      <t>Ianuarie-iulie 2023
în % faţă de ianuarie-iulie
2022</t>
    </r>
    <r>
      <rPr>
        <b/>
        <vertAlign val="superscript"/>
        <sz val="9"/>
        <color indexed="8"/>
        <rFont val="Arial"/>
        <family val="2"/>
        <charset val="204"/>
      </rPr>
      <t>1</t>
    </r>
  </si>
  <si>
    <r>
      <t>în % faţă de  ianuarie-iulie 2022</t>
    </r>
    <r>
      <rPr>
        <b/>
        <vertAlign val="superscript"/>
        <sz val="9"/>
        <rFont val="Arial"/>
        <family val="2"/>
        <charset val="204"/>
      </rPr>
      <t>1</t>
    </r>
  </si>
  <si>
    <r>
      <t>în % faţă de 
ianuarie-iulie 2022</t>
    </r>
    <r>
      <rPr>
        <b/>
        <vertAlign val="superscript"/>
        <sz val="9"/>
        <rFont val="Arial"/>
        <family val="2"/>
        <charset val="204"/>
      </rPr>
      <t>1</t>
    </r>
  </si>
  <si>
    <r>
      <t>în % faţă de  ianuarie-iulie 2022</t>
    </r>
    <r>
      <rPr>
        <b/>
        <vertAlign val="superscript"/>
        <sz val="9"/>
        <rFont val="Arial"/>
        <family val="2"/>
        <charset val="204"/>
      </rPr>
      <t xml:space="preserve">1 </t>
    </r>
  </si>
  <si>
    <t>Regatul Unit al Marii Britanii şi Irlandei de Nord</t>
  </si>
  <si>
    <t>Elveţia</t>
  </si>
  <si>
    <t>de 7,9 ori</t>
  </si>
  <si>
    <t>de 4,7 ori</t>
  </si>
  <si>
    <t>de 33,5 ori</t>
  </si>
  <si>
    <t>de 7,3 ori</t>
  </si>
  <si>
    <t>de 5,3 ori</t>
  </si>
  <si>
    <t>de 21,2 ori</t>
  </si>
  <si>
    <t>de 16,4 ori</t>
  </si>
  <si>
    <t>de 132,0 ori</t>
  </si>
  <si>
    <t>Bosnia şi Herţegovina</t>
  </si>
  <si>
    <t>Şri Lanka</t>
  </si>
  <si>
    <t>de 4,1 ori</t>
  </si>
  <si>
    <t>de 5,7 ori</t>
  </si>
  <si>
    <t>de 34,5 ori</t>
  </si>
  <si>
    <t>de 28,3 ori</t>
  </si>
  <si>
    <t>de 1256,6 ori</t>
  </si>
  <si>
    <t>de 102,8 ori</t>
  </si>
  <si>
    <t>de 59,5 ori</t>
  </si>
  <si>
    <t>de 1013,1 ori</t>
  </si>
  <si>
    <t>de 7,7 ori</t>
  </si>
  <si>
    <t>de 12,7 ori</t>
  </si>
  <si>
    <t>de 2,5 ori</t>
  </si>
  <si>
    <t>de 7,4 ori</t>
  </si>
  <si>
    <t>de 99,6 ori</t>
  </si>
  <si>
    <t>de 120,1 ori</t>
  </si>
  <si>
    <t>de 4,6 ori</t>
  </si>
  <si>
    <t>de 5,1 ori</t>
  </si>
  <si>
    <t>Mărfuri produse în UE, la care țara de origine nu poate fi identificată</t>
  </si>
  <si>
    <t xml:space="preserve">Mărfuri produse în UE, la care țara de origine nu poate fi identificată </t>
  </si>
  <si>
    <t>Regatul Unit al Marii Britanii și Irlandei de Nord</t>
  </si>
  <si>
    <t>Elveția</t>
  </si>
  <si>
    <t>Bosnia și Hertegovina</t>
  </si>
  <si>
    <t>Șri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</si>
</sst>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 x14ac:knownFonts="1">
    <font>
      <sz val="12"/>
      <color indexed="8"/>
      <name val="Times New Roman"/>
      <family val="2"/>
      <charset val="238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vertAlign val="superscript"/>
      <sz val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Times New Roman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sz val="8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vertAlign val="superscript"/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5" fillId="0" borderId="0"/>
    <xf numFmtId="0" fontId="10" fillId="0" borderId="0"/>
    <xf numFmtId="0" fontId="5" fillId="0" borderId="0"/>
  </cellStyleXfs>
  <cellXfs count="9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" fontId="0" fillId="0" borderId="0" xfId="0" applyNumberFormat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right" vertical="top" indent="1"/>
    </xf>
    <xf numFmtId="0" fontId="17" fillId="0" borderId="0" xfId="0" applyFont="1" applyAlignment="1">
      <alignment horizontal="left" vertical="top" wrapText="1" indent="1"/>
    </xf>
    <xf numFmtId="4" fontId="17" fillId="0" borderId="0" xfId="0" applyNumberFormat="1" applyFont="1" applyAlignment="1">
      <alignment horizontal="right" vertical="top"/>
    </xf>
    <xf numFmtId="38" fontId="18" fillId="0" borderId="0" xfId="0" applyNumberFormat="1" applyFont="1" applyAlignment="1">
      <alignment horizontal="left" vertical="top" wrapText="1" indent="1"/>
    </xf>
    <xf numFmtId="4" fontId="18" fillId="0" borderId="0" xfId="0" applyNumberFormat="1" applyFont="1" applyAlignment="1">
      <alignment horizontal="right" vertical="top"/>
    </xf>
    <xf numFmtId="4" fontId="21" fillId="0" borderId="0" xfId="0" applyNumberFormat="1" applyFont="1" applyAlignment="1">
      <alignment horizontal="right" vertical="top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24" fillId="0" borderId="0" xfId="0" applyFont="1"/>
    <xf numFmtId="0" fontId="25" fillId="0" borderId="0" xfId="0" applyFont="1"/>
    <xf numFmtId="4" fontId="12" fillId="0" borderId="0" xfId="0" applyNumberFormat="1" applyFont="1" applyAlignment="1">
      <alignment horizontal="right" vertical="top" indent="1"/>
    </xf>
    <xf numFmtId="0" fontId="18" fillId="0" borderId="0" xfId="0" applyFont="1" applyAlignment="1">
      <alignment horizontal="left" vertical="top" wrapText="1" indent="1"/>
    </xf>
    <xf numFmtId="4" fontId="17" fillId="0" borderId="0" xfId="0" applyNumberFormat="1" applyFont="1" applyAlignment="1">
      <alignment horizontal="right" vertical="top" indent="1"/>
    </xf>
    <xf numFmtId="4" fontId="18" fillId="0" borderId="0" xfId="0" applyNumberFormat="1" applyFont="1" applyAlignment="1">
      <alignment horizontal="right" vertical="top" indent="1"/>
    </xf>
    <xf numFmtId="38" fontId="18" fillId="0" borderId="3" xfId="0" applyNumberFormat="1" applyFont="1" applyBorder="1" applyAlignment="1">
      <alignment horizontal="left" vertical="top" wrapText="1" indent="1"/>
    </xf>
    <xf numFmtId="4" fontId="21" fillId="0" borderId="3" xfId="0" applyNumberFormat="1" applyFont="1" applyBorder="1" applyAlignment="1">
      <alignment horizontal="right" vertical="top"/>
    </xf>
    <xf numFmtId="4" fontId="18" fillId="0" borderId="3" xfId="0" applyNumberFormat="1" applyFont="1" applyBorder="1" applyAlignment="1">
      <alignment horizontal="right" vertical="top" indent="1"/>
    </xf>
    <xf numFmtId="0" fontId="12" fillId="0" borderId="5" xfId="0" applyFont="1" applyBorder="1" applyAlignment="1">
      <alignment horizontal="left" vertical="top" wrapText="1" indent="1"/>
    </xf>
    <xf numFmtId="4" fontId="1" fillId="0" borderId="0" xfId="0" applyNumberFormat="1" applyFont="1"/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29" fillId="0" borderId="0" xfId="0" applyNumberFormat="1" applyFont="1" applyAlignment="1">
      <alignment horizontal="right" vertical="top" indent="1"/>
    </xf>
    <xf numFmtId="4" fontId="21" fillId="0" borderId="0" xfId="0" applyNumberFormat="1" applyFont="1" applyAlignment="1">
      <alignment horizontal="right" vertical="top" indent="1"/>
    </xf>
    <xf numFmtId="0" fontId="30" fillId="0" borderId="0" xfId="0" applyFont="1"/>
    <xf numFmtId="4" fontId="12" fillId="0" borderId="5" xfId="0" applyNumberFormat="1" applyFont="1" applyBorder="1" applyAlignment="1">
      <alignment horizontal="right" vertical="top" indent="1"/>
    </xf>
    <xf numFmtId="4" fontId="18" fillId="0" borderId="0" xfId="0" applyNumberFormat="1" applyFont="1" applyAlignment="1">
      <alignment horizontal="right" vertical="top" wrapText="1" indent="1"/>
    </xf>
    <xf numFmtId="0" fontId="22" fillId="0" borderId="0" xfId="0" applyFont="1" applyAlignment="1">
      <alignment vertical="top" wrapText="1"/>
    </xf>
    <xf numFmtId="0" fontId="18" fillId="0" borderId="3" xfId="0" applyFont="1" applyBorder="1" applyAlignment="1">
      <alignment horizontal="left" vertical="top" wrapText="1" indent="1"/>
    </xf>
    <xf numFmtId="4" fontId="21" fillId="0" borderId="3" xfId="0" applyNumberFormat="1" applyFont="1" applyBorder="1" applyAlignment="1">
      <alignment horizontal="right" vertical="top" indent="1"/>
    </xf>
    <xf numFmtId="0" fontId="31" fillId="0" borderId="0" xfId="0" applyFont="1"/>
    <xf numFmtId="0" fontId="32" fillId="0" borderId="0" xfId="0" applyFont="1"/>
    <xf numFmtId="38" fontId="14" fillId="0" borderId="0" xfId="0" applyNumberFormat="1" applyFont="1" applyAlignment="1">
      <alignment horizontal="left" wrapText="1"/>
    </xf>
    <xf numFmtId="0" fontId="33" fillId="0" borderId="0" xfId="0" applyFont="1"/>
    <xf numFmtId="4" fontId="17" fillId="0" borderId="0" xfId="0" applyNumberFormat="1" applyFont="1" applyAlignment="1">
      <alignment horizontal="right" vertical="top" wrapText="1" indent="1"/>
    </xf>
    <xf numFmtId="38" fontId="17" fillId="0" borderId="0" xfId="0" applyNumberFormat="1" applyFont="1" applyAlignment="1">
      <alignment horizontal="center" vertical="top"/>
    </xf>
    <xf numFmtId="38" fontId="17" fillId="0" borderId="0" xfId="0" applyNumberFormat="1" applyFont="1" applyAlignment="1">
      <alignment horizontal="left" vertical="top" wrapText="1"/>
    </xf>
    <xf numFmtId="38" fontId="18" fillId="0" borderId="0" xfId="0" applyNumberFormat="1" applyFont="1" applyAlignment="1">
      <alignment horizontal="center" vertical="top"/>
    </xf>
    <xf numFmtId="38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/>
    </xf>
    <xf numFmtId="38" fontId="17" fillId="0" borderId="3" xfId="0" applyNumberFormat="1" applyFont="1" applyBorder="1" applyAlignment="1">
      <alignment horizontal="center" vertical="top"/>
    </xf>
    <xf numFmtId="38" fontId="17" fillId="0" borderId="3" xfId="0" applyNumberFormat="1" applyFont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horizontal="left" vertical="top" wrapText="1"/>
    </xf>
    <xf numFmtId="4" fontId="12" fillId="0" borderId="5" xfId="0" applyNumberFormat="1" applyFont="1" applyBorder="1" applyAlignment="1">
      <alignment horizontal="right" vertical="top"/>
    </xf>
    <xf numFmtId="0" fontId="22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4" fontId="17" fillId="0" borderId="3" xfId="0" applyNumberFormat="1" applyFont="1" applyBorder="1" applyAlignment="1">
      <alignment horizontal="right" vertical="top" indent="1"/>
    </xf>
    <xf numFmtId="164" fontId="18" fillId="0" borderId="0" xfId="0" applyNumberFormat="1" applyFont="1" applyAlignment="1">
      <alignment horizontal="right" vertical="top" indent="1"/>
    </xf>
    <xf numFmtId="0" fontId="5" fillId="0" borderId="0" xfId="0" applyFont="1" applyAlignment="1">
      <alignment horizontal="center" vertical="top"/>
    </xf>
    <xf numFmtId="4" fontId="20" fillId="0" borderId="0" xfId="0" applyNumberFormat="1" applyFont="1" applyAlignment="1">
      <alignment horizontal="right" vertical="top"/>
    </xf>
    <xf numFmtId="4" fontId="18" fillId="0" borderId="3" xfId="0" applyNumberFormat="1" applyFont="1" applyBorder="1" applyAlignment="1">
      <alignment horizontal="right" vertical="top"/>
    </xf>
    <xf numFmtId="4" fontId="12" fillId="0" borderId="5" xfId="0" applyNumberFormat="1" applyFont="1" applyBorder="1" applyAlignment="1">
      <alignment horizontal="right" vertical="top" wrapText="1" indent="1"/>
    </xf>
    <xf numFmtId="0" fontId="21" fillId="0" borderId="0" xfId="0" applyFont="1" applyAlignment="1">
      <alignment horizontal="left" vertical="top" wrapText="1" indent="1"/>
    </xf>
    <xf numFmtId="4" fontId="30" fillId="0" borderId="0" xfId="0" applyNumberFormat="1" applyFont="1" applyAlignment="1">
      <alignment horizontal="right" vertical="top" indent="1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8" fillId="0" borderId="6" xfId="0" applyFont="1" applyBorder="1" applyAlignment="1">
      <alignment vertical="top" wrapText="1"/>
    </xf>
    <xf numFmtId="0" fontId="18" fillId="0" borderId="7" xfId="0" applyFont="1" applyBorder="1" applyAlignment="1">
      <alignment vertical="top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34" fillId="0" borderId="6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0" fillId="0" borderId="6" xfId="0" applyFont="1" applyBorder="1" applyAlignment="1">
      <alignment vertical="top" wrapText="1"/>
    </xf>
    <xf numFmtId="0" fontId="30" fillId="0" borderId="7" xfId="0" applyFont="1" applyBorder="1" applyAlignment="1">
      <alignment vertical="top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/>
    </xf>
  </cellXfs>
  <cellStyles count="6">
    <cellStyle name="Normal" xfId="0" builtinId="0"/>
    <cellStyle name="Normal 2" xfId="4" xr:uid="{00000000-0005-0000-0000-000000000000}"/>
    <cellStyle name="Normal 3" xfId="3" xr:uid="{00000000-0005-0000-0000-000001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113"/>
  <sheetViews>
    <sheetView tabSelected="1" zoomScale="99" zoomScaleNormal="99" workbookViewId="0">
      <selection sqref="A1:G1"/>
    </sheetView>
  </sheetViews>
  <sheetFormatPr defaultRowHeight="15.75" x14ac:dyDescent="0.25"/>
  <cols>
    <col min="1" max="1" width="29.25" style="24" customWidth="1"/>
    <col min="2" max="2" width="11.75" style="24" customWidth="1"/>
    <col min="3" max="3" width="10.625" style="25" customWidth="1"/>
    <col min="4" max="4" width="9" style="24" customWidth="1"/>
    <col min="5" max="5" width="8.75" style="24" customWidth="1"/>
    <col min="6" max="6" width="10.625" style="24" customWidth="1"/>
    <col min="7" max="7" width="10" style="24" customWidth="1"/>
    <col min="9" max="9" width="8.875" customWidth="1"/>
  </cols>
  <sheetData>
    <row r="1" spans="1:9" x14ac:dyDescent="0.25">
      <c r="A1" s="76" t="s">
        <v>331</v>
      </c>
      <c r="B1" s="76"/>
      <c r="C1" s="76"/>
      <c r="D1" s="76"/>
      <c r="E1" s="76"/>
      <c r="F1" s="76"/>
      <c r="G1" s="76"/>
    </row>
    <row r="2" spans="1:9" x14ac:dyDescent="0.25">
      <c r="A2" s="85"/>
      <c r="B2" s="85"/>
      <c r="C2" s="85"/>
      <c r="D2" s="85"/>
      <c r="E2" s="85"/>
      <c r="F2" s="85"/>
      <c r="G2" s="85"/>
    </row>
    <row r="3" spans="1:9" ht="54" customHeight="1" x14ac:dyDescent="0.25">
      <c r="A3" s="77"/>
      <c r="B3" s="79" t="s">
        <v>358</v>
      </c>
      <c r="C3" s="80"/>
      <c r="D3" s="81" t="s">
        <v>102</v>
      </c>
      <c r="E3" s="82"/>
      <c r="F3" s="83" t="s">
        <v>353</v>
      </c>
      <c r="G3" s="84"/>
    </row>
    <row r="4" spans="1:9" ht="37.5" x14ac:dyDescent="0.25">
      <c r="A4" s="78"/>
      <c r="B4" s="15" t="s">
        <v>94</v>
      </c>
      <c r="C4" s="14" t="s">
        <v>374</v>
      </c>
      <c r="D4" s="15" t="s">
        <v>359</v>
      </c>
      <c r="E4" s="15" t="s">
        <v>360</v>
      </c>
      <c r="F4" s="15" t="s">
        <v>362</v>
      </c>
      <c r="G4" s="13" t="s">
        <v>361</v>
      </c>
    </row>
    <row r="5" spans="1:9" s="26" customFormat="1" ht="15.75" customHeight="1" x14ac:dyDescent="0.2">
      <c r="A5" s="36" t="s">
        <v>95</v>
      </c>
      <c r="B5" s="63">
        <v>2346453.7023</v>
      </c>
      <c r="C5" s="43">
        <f>IF(2629613.24498="","-",2346453.7023/2629613.24498*100)</f>
        <v>89.231893959290062</v>
      </c>
      <c r="D5" s="43">
        <v>100</v>
      </c>
      <c r="E5" s="43">
        <v>100</v>
      </c>
      <c r="F5" s="43">
        <f>IF(1572223.23546="","-",(2629613.24498-1572223.23546)/1572223.23546*100)</f>
        <v>67.254444895074286</v>
      </c>
      <c r="G5" s="43">
        <f>IF(2629613.24498="","-",(2346453.7023-2629613.24498)/2629613.24498*100)</f>
        <v>-10.768106040709936</v>
      </c>
    </row>
    <row r="6" spans="1:9" ht="13.5" customHeight="1" x14ac:dyDescent="0.25">
      <c r="A6" s="30" t="s">
        <v>357</v>
      </c>
      <c r="B6" s="16"/>
      <c r="C6" s="16"/>
      <c r="D6" s="16"/>
      <c r="E6" s="16"/>
      <c r="F6" s="16"/>
      <c r="G6" s="16"/>
    </row>
    <row r="7" spans="1:9" x14ac:dyDescent="0.25">
      <c r="A7" s="17" t="s">
        <v>123</v>
      </c>
      <c r="B7" s="18">
        <v>1460859.75541</v>
      </c>
      <c r="C7" s="31">
        <f>IF(1587047.52396="","-",1460859.75541/1587047.52396*100)</f>
        <v>92.048897928706239</v>
      </c>
      <c r="D7" s="31">
        <f>IF(1587047.52396="","-",1587047.52396/2629613.24498*100)</f>
        <v>60.352887520235718</v>
      </c>
      <c r="E7" s="31">
        <f>IF(1460859.75541="","-",1460859.75541/2346453.7023*100)</f>
        <v>62.258196442489421</v>
      </c>
      <c r="F7" s="31">
        <f>IF(1572223.23546="","-",(1587047.52396-1009762.267)/1572223.23546*100)</f>
        <v>36.71776653212342</v>
      </c>
      <c r="G7" s="31">
        <f>IF(2629613.24498="","-",(1460859.75541-1587047.52396)/2629613.24498*100)</f>
        <v>-4.798719689707057</v>
      </c>
      <c r="I7" s="7"/>
    </row>
    <row r="8" spans="1:9" ht="15.75" customHeight="1" x14ac:dyDescent="0.25">
      <c r="A8" s="19" t="s">
        <v>1</v>
      </c>
      <c r="B8" s="20">
        <v>760070.11399999994</v>
      </c>
      <c r="C8" s="32">
        <f>IF(OR(749307.95325="",760070.114=""),"-",760070.114/749307.95325*100)</f>
        <v>101.43628006393376</v>
      </c>
      <c r="D8" s="32">
        <f>IF(749307.95325="","-",749307.95325/2629613.24498*100)</f>
        <v>28.494987035848268</v>
      </c>
      <c r="E8" s="32">
        <f>IF(760070.114="","-",760070.114/2346453.7023*100)</f>
        <v>32.392291109557256</v>
      </c>
      <c r="F8" s="32">
        <f>IF(OR(1572223.23546="",438720.7544="",749307.95325=""),"-",(749307.95325-438720.7544)/1572223.23546*100)</f>
        <v>19.754650093256547</v>
      </c>
      <c r="G8" s="32">
        <f>IF(OR(2629613.24498="",760070.114="",749307.95325=""),"-",(760070.114-749307.95325)/2629613.24498*100)</f>
        <v>0.409267818016401</v>
      </c>
    </row>
    <row r="9" spans="1:9" ht="15.75" customHeight="1" x14ac:dyDescent="0.25">
      <c r="A9" s="19" t="s">
        <v>2</v>
      </c>
      <c r="B9" s="20">
        <v>165353.33220999999</v>
      </c>
      <c r="C9" s="32">
        <f>IF(OR(216987.66991="",165353.33221=""),"-",165353.33221/216987.66991*100)</f>
        <v>76.204022227891386</v>
      </c>
      <c r="D9" s="32">
        <f>IF(216987.66991="","-",216987.66991/2629613.24498*100)</f>
        <v>8.2516951998258712</v>
      </c>
      <c r="E9" s="32">
        <f>IF(165353.33221="","-",165353.33221/2346453.7023*100)</f>
        <v>7.0469462938015885</v>
      </c>
      <c r="F9" s="32">
        <f>IF(OR(1572223.23546="",118873.60248="",216987.66991=""),"-",(216987.66991-118873.60248)/1572223.23546*100)</f>
        <v>6.2404666981844876</v>
      </c>
      <c r="G9" s="32">
        <f>IF(OR(2629613.24498="",165353.33221="",216987.66991=""),"-",(165353.33221-216987.66991)/2629613.24498*100)</f>
        <v>-1.9635715555727178</v>
      </c>
    </row>
    <row r="10" spans="1:9" ht="13.5" customHeight="1" x14ac:dyDescent="0.25">
      <c r="A10" s="19" t="s">
        <v>3</v>
      </c>
      <c r="B10" s="20">
        <v>125313.40433999999</v>
      </c>
      <c r="C10" s="32">
        <f>IF(OR(143484.11319="",125313.40434=""),"-",125313.40434/143484.11319*100)</f>
        <v>87.33608310633069</v>
      </c>
      <c r="D10" s="32">
        <f>IF(143484.11319="","-",143484.11319/2629613.24498*100)</f>
        <v>5.456472105314913</v>
      </c>
      <c r="E10" s="32">
        <f>IF(125313.40434="","-",125313.40434/2346453.7023*100)</f>
        <v>5.3405445083858876</v>
      </c>
      <c r="F10" s="32">
        <f>IF(OR(1572223.23546="",154977.80417="",143484.11319=""),"-",(143484.11319-154977.80417)/1572223.23546*100)</f>
        <v>-0.73104701169469533</v>
      </c>
      <c r="G10" s="32">
        <f>IF(OR(2629613.24498="",125313.40434="",143484.11319=""),"-",(125313.40434-143484.11319)/2629613.24498*100)</f>
        <v>-0.69100309274332894</v>
      </c>
    </row>
    <row r="11" spans="1:9" ht="15.75" customHeight="1" x14ac:dyDescent="0.25">
      <c r="A11" s="19" t="s">
        <v>280</v>
      </c>
      <c r="B11" s="20">
        <v>90797.725539999999</v>
      </c>
      <c r="C11" s="32">
        <f>IF(OR(57486.036="",90797.72554=""),"-",90797.72554/57486.036*100)</f>
        <v>157.94744577622296</v>
      </c>
      <c r="D11" s="32">
        <f>IF(57486.036="","-",57486.036/2629613.24498*100)</f>
        <v>2.1861023140852498</v>
      </c>
      <c r="E11" s="32">
        <f>IF(90797.72554="","-",90797.72554/2346453.7023*100)</f>
        <v>3.8695724297052965</v>
      </c>
      <c r="F11" s="32">
        <f>IF(OR(1572223.23546="",49898.47956="",57486.036=""),"-",(57486.036-49898.47956)/1572223.23546*100)</f>
        <v>0.48260045195045331</v>
      </c>
      <c r="G11" s="32">
        <f>IF(OR(2629613.24498="",90797.72554="",57486.036=""),"-",(90797.72554-57486.036)/2629613.24498*100)</f>
        <v>1.2667904530673049</v>
      </c>
    </row>
    <row r="12" spans="1:9" s="4" customFormat="1" x14ac:dyDescent="0.25">
      <c r="A12" s="19" t="s">
        <v>4</v>
      </c>
      <c r="B12" s="20">
        <v>66282.426550000004</v>
      </c>
      <c r="C12" s="32">
        <f>IF(OR(72903.90841="",66282.42655=""),"-",66282.42655/72903.90841*100)</f>
        <v>90.917521427298738</v>
      </c>
      <c r="D12" s="32">
        <f>IF(72903.90841="","-",72903.90841/2629613.24498*100)</f>
        <v>2.7724194251445704</v>
      </c>
      <c r="E12" s="32">
        <f>IF(66282.42655="","-",66282.42655/2346453.7023*100)</f>
        <v>2.8247915773931442</v>
      </c>
      <c r="F12" s="32">
        <f>IF(OR(1572223.23546="",60334.40485="",72903.90841=""),"-",(72903.90841-60334.40485)/1572223.23546*100)</f>
        <v>0.7994732094340552</v>
      </c>
      <c r="G12" s="32">
        <f>IF(OR(2629613.24498="",66282.42655="",72903.90841=""),"-",(66282.42655-72903.90841)/2629613.24498*100)</f>
        <v>-0.25180440023416301</v>
      </c>
    </row>
    <row r="13" spans="1:9" s="4" customFormat="1" x14ac:dyDescent="0.25">
      <c r="A13" s="19" t="s">
        <v>37</v>
      </c>
      <c r="B13" s="20">
        <v>41067.035530000001</v>
      </c>
      <c r="C13" s="32" t="s">
        <v>98</v>
      </c>
      <c r="D13" s="32">
        <f>IF(24062.43263="","-",24062.43263/2629613.24498*100)</f>
        <v>0.91505595645807647</v>
      </c>
      <c r="E13" s="32">
        <f>IF(41067.03553="","-",41067.03553/2346453.7023*100)</f>
        <v>1.7501745502051025</v>
      </c>
      <c r="F13" s="32">
        <f>IF(OR(1572223.23546="",19419.49218="",24062.43263=""),"-",(24062.43263-19419.49218)/1572223.23546*100)</f>
        <v>0.29531050968354183</v>
      </c>
      <c r="G13" s="32">
        <f>IF(OR(2629613.24498="",41067.03553="",24062.43263=""),"-",(41067.03553-24062.43263)/2629613.24498*100)</f>
        <v>0.64665794228342255</v>
      </c>
    </row>
    <row r="14" spans="1:9" s="4" customFormat="1" x14ac:dyDescent="0.25">
      <c r="A14" s="19" t="s">
        <v>5</v>
      </c>
      <c r="B14" s="20">
        <v>34223.168839999998</v>
      </c>
      <c r="C14" s="32">
        <f>IF(OR(119538.82488="",34223.16884=""),"-",34223.16884/119538.82488*100)</f>
        <v>28.629333502613228</v>
      </c>
      <c r="D14" s="32">
        <f>IF(119538.82488="","-",119538.82488/2629613.24498*100)</f>
        <v>4.545870960613799</v>
      </c>
      <c r="E14" s="32">
        <f>IF(34223.16884="","-",34223.16884/2346453.7023*100)</f>
        <v>1.4585060342956846</v>
      </c>
      <c r="F14" s="32">
        <f>IF(OR(1572223.23546="",21667.15476="",119538.82488=""),"-",(119538.82488-21667.15476)/1572223.23546*100)</f>
        <v>6.225049211371358</v>
      </c>
      <c r="G14" s="32">
        <f>IF(OR(2629613.24498="",34223.16884="",119538.82488=""),"-",(34223.16884-119538.82488)/2629613.24498*100)</f>
        <v>-3.2444184027012262</v>
      </c>
    </row>
    <row r="15" spans="1:9" s="4" customFormat="1" x14ac:dyDescent="0.25">
      <c r="A15" s="19" t="s">
        <v>39</v>
      </c>
      <c r="B15" s="20">
        <v>28846.483380000001</v>
      </c>
      <c r="C15" s="32">
        <f>IF(OR(31810.62451="",28846.48338=""),"-",28846.48338/31810.62451*100)</f>
        <v>90.681914688382832</v>
      </c>
      <c r="D15" s="32">
        <f>IF(31810.62451="","-",31810.62451/2629613.24498*100)</f>
        <v>1.2097073427329024</v>
      </c>
      <c r="E15" s="32">
        <f>IF(28846.48338="","-",28846.48338/2346453.7023*100)</f>
        <v>1.2293651202972642</v>
      </c>
      <c r="F15" s="32">
        <f>IF(OR(1572223.23546="",22908.64638="",31810.62451=""),"-",(31810.62451-22908.64638)/1572223.23546*100)</f>
        <v>0.56620319107518258</v>
      </c>
      <c r="G15" s="32">
        <f>IF(OR(2629613.24498="",28846.48338="",31810.62451=""),"-",(28846.48338-31810.62451)/2629613.24498*100)</f>
        <v>-0.11272156221674889</v>
      </c>
    </row>
    <row r="16" spans="1:9" s="4" customFormat="1" x14ac:dyDescent="0.25">
      <c r="A16" s="19" t="s">
        <v>276</v>
      </c>
      <c r="B16" s="20">
        <v>26689.881710000001</v>
      </c>
      <c r="C16" s="32">
        <f>IF(OR(26514.38229="",26689.88171=""),"-",26689.88171/26514.38229*100)</f>
        <v>100.66190272916971</v>
      </c>
      <c r="D16" s="32">
        <f>IF(26514.38229="","-",26514.38229/2629613.24498*100)</f>
        <v>1.0082996935240058</v>
      </c>
      <c r="E16" s="32">
        <f>IF(26689.88171="","-",26689.88171/2346453.7023*100)</f>
        <v>1.137456140039691</v>
      </c>
      <c r="F16" s="32">
        <f>IF(OR(1572223.23546="",20448.1662="",26514.38229=""),"-",(26514.38229-20448.1662)/1572223.23546*100)</f>
        <v>0.38583681713781259</v>
      </c>
      <c r="G16" s="32">
        <f>IF(OR(2629613.24498="",26689.88171="",26514.38229=""),"-",(26689.88171-26514.38229)/2629613.24498*100)</f>
        <v>6.6739631896452099E-3</v>
      </c>
    </row>
    <row r="17" spans="1:7" s="4" customFormat="1" x14ac:dyDescent="0.25">
      <c r="A17" s="19" t="s">
        <v>285</v>
      </c>
      <c r="B17" s="20">
        <v>25652.787899999999</v>
      </c>
      <c r="C17" s="32">
        <f>IF(OR(48344.98831="",25652.7879=""),"-",25652.7879/48344.98831*100)</f>
        <v>53.061938365788798</v>
      </c>
      <c r="D17" s="32">
        <f>IF(48344.98831="","-",48344.98831/2629613.24498*100)</f>
        <v>1.8384828416228829</v>
      </c>
      <c r="E17" s="32">
        <f>IF(25652.7879="","-",25652.7879/2346453.7023*100)</f>
        <v>1.0932577904629046</v>
      </c>
      <c r="F17" s="32">
        <f>IF(OR(1572223.23546="",21533.53654="",48344.98831=""),"-",(48344.98831-21533.53654)/1572223.23546*100)</f>
        <v>1.7053209216918563</v>
      </c>
      <c r="G17" s="32">
        <f>IF(OR(2629613.24498="",25652.7879="",48344.98831=""),"-",(25652.7879-48344.98831)/2629613.24498*100)</f>
        <v>-0.86294820933534633</v>
      </c>
    </row>
    <row r="18" spans="1:7" s="6" customFormat="1" x14ac:dyDescent="0.25">
      <c r="A18" s="19" t="s">
        <v>7</v>
      </c>
      <c r="B18" s="20">
        <v>22091.819670000001</v>
      </c>
      <c r="C18" s="32">
        <f>IF(OR(21524.98495="",22091.81967=""),"-",22091.81967/21524.98495*100)</f>
        <v>102.63338033135305</v>
      </c>
      <c r="D18" s="32">
        <f>IF(21524.98495="","-",21524.98495/2629613.24498*100)</f>
        <v>0.81856086597874245</v>
      </c>
      <c r="E18" s="32">
        <f>IF(22091.81967="","-",22091.81967/2346453.7023*100)</f>
        <v>0.94149821274315126</v>
      </c>
      <c r="F18" s="32">
        <f>IF(OR(1572223.23546="",15303.18103="",21524.98495=""),"-",(21524.98495-15303.18103)/1572223.23546*100)</f>
        <v>0.39573285648457079</v>
      </c>
      <c r="G18" s="32">
        <f>IF(OR(2629613.24498="",22091.81967="",21524.98495=""),"-",(22091.81967-21524.98495)/2629613.24498*100)</f>
        <v>2.1555820844837346E-2</v>
      </c>
    </row>
    <row r="19" spans="1:7" s="4" customFormat="1" x14ac:dyDescent="0.25">
      <c r="A19" s="19" t="s">
        <v>44</v>
      </c>
      <c r="B19" s="20">
        <v>21887.691940000001</v>
      </c>
      <c r="C19" s="32" t="s">
        <v>188</v>
      </c>
      <c r="D19" s="32">
        <f>IF(11892.43218="","-",11892.43218/2629613.24498*100)</f>
        <v>0.45225023880233961</v>
      </c>
      <c r="E19" s="32">
        <f>IF(21887.69194="","-",21887.69194/2346453.7023*100)</f>
        <v>0.93279879839715685</v>
      </c>
      <c r="F19" s="32">
        <f>IF(OR(1572223.23546="",4312.69382="",11892.43218=""),"-",(11892.43218-4312.69382)/1572223.23546*100)</f>
        <v>0.48210318923205098</v>
      </c>
      <c r="G19" s="32">
        <f>IF(OR(2629613.24498="",21887.69194="",11892.43218=""),"-",(21887.69194-11892.43218)/2629613.24498*100)</f>
        <v>0.38010379583694337</v>
      </c>
    </row>
    <row r="20" spans="1:7" s="4" customFormat="1" x14ac:dyDescent="0.25">
      <c r="A20" s="19" t="s">
        <v>40</v>
      </c>
      <c r="B20" s="20">
        <v>12167.154839999999</v>
      </c>
      <c r="C20" s="32" t="s">
        <v>188</v>
      </c>
      <c r="D20" s="32">
        <f>IF(6769.93518="","-",6769.93518/2629613.24498*100)</f>
        <v>0.2574498433533518</v>
      </c>
      <c r="E20" s="32">
        <f>IF(12167.15484="","-",12167.15484/2346453.7023*100)</f>
        <v>0.51853376983631605</v>
      </c>
      <c r="F20" s="32">
        <f>IF(OR(1572223.23546="",3997.63663="",6769.93518=""),"-",(6769.93518-3997.63663)/1572223.23546*100)</f>
        <v>0.17632982947163245</v>
      </c>
      <c r="G20" s="32">
        <f>IF(OR(2629613.24498="",12167.15484="",6769.93518=""),"-",(12167.15484-6769.93518)/2629613.24498*100)</f>
        <v>0.205247660290099</v>
      </c>
    </row>
    <row r="21" spans="1:7" s="4" customFormat="1" x14ac:dyDescent="0.25">
      <c r="A21" s="19" t="s">
        <v>38</v>
      </c>
      <c r="B21" s="20">
        <v>9019.9795300000005</v>
      </c>
      <c r="C21" s="32">
        <f>IF(OR(12118.17417="",9019.97953=""),"-",9019.97953/12118.17417*100)</f>
        <v>74.433486459784064</v>
      </c>
      <c r="D21" s="32">
        <f>IF(12118.17417="","-",12118.17417/2629613.24498*100)</f>
        <v>0.46083484684045878</v>
      </c>
      <c r="E21" s="32">
        <f>IF(9019.97953="","-",9019.97953/2346453.7023*100)</f>
        <v>0.38440901353214824</v>
      </c>
      <c r="F21" s="32">
        <f>IF(OR(1572223.23546="",13846.06054="",12118.17417=""),"-",(12118.17417-13846.06054)/1572223.23546*100)</f>
        <v>-0.10990082903172819</v>
      </c>
      <c r="G21" s="32">
        <f>IF(OR(2629613.24498="",9019.97953="",12118.17417=""),"-",(9019.97953-12118.17417)/2629613.24498*100)</f>
        <v>-0.11781940351549924</v>
      </c>
    </row>
    <row r="22" spans="1:7" s="4" customFormat="1" x14ac:dyDescent="0.25">
      <c r="A22" s="19" t="s">
        <v>6</v>
      </c>
      <c r="B22" s="20">
        <v>7843.38321</v>
      </c>
      <c r="C22" s="32">
        <f>IF(OR(12343.60716="",7843.38321=""),"-",7843.38321/12343.60716*100)</f>
        <v>63.542067633331911</v>
      </c>
      <c r="D22" s="32">
        <f>IF(12343.60716="","-",12343.60716/2629613.24498*100)</f>
        <v>0.46940770410113608</v>
      </c>
      <c r="E22" s="32">
        <f>IF(7843.38321="","-",7843.38321/2346453.7023*100)</f>
        <v>0.33426541518001807</v>
      </c>
      <c r="F22" s="32">
        <f>IF(OR(1572223.23546="",11660.5778="",12343.60716=""),"-",(12343.60716-11660.5778)/1572223.23546*100)</f>
        <v>4.344353553585284E-2</v>
      </c>
      <c r="G22" s="32">
        <f>IF(OR(2629613.24498="",7843.38321="",12343.60716=""),"-",(7843.38321-12343.60716)/2629613.24498*100)</f>
        <v>-0.17113634328512164</v>
      </c>
    </row>
    <row r="23" spans="1:7" s="4" customFormat="1" x14ac:dyDescent="0.25">
      <c r="A23" s="19" t="s">
        <v>41</v>
      </c>
      <c r="B23" s="20">
        <v>7279.5448900000001</v>
      </c>
      <c r="C23" s="32">
        <f>IF(OR(6942.30127="",7279.54489=""),"-",7279.54489/6942.30127*100)</f>
        <v>104.85780733050787</v>
      </c>
      <c r="D23" s="32">
        <f>IF(6942.30127="","-",6942.30127/2629613.24498*100)</f>
        <v>0.26400465099774784</v>
      </c>
      <c r="E23" s="32">
        <f>IF(7279.54489="","-",7279.54489/2346453.7023*100)</f>
        <v>0.31023603333253802</v>
      </c>
      <c r="F23" s="32">
        <f>IF(OR(1572223.23546="",7481.04368="",6942.30127=""),"-",(6942.30127-7481.04368)/1572223.23546*100)</f>
        <v>-3.4266279612791432E-2</v>
      </c>
      <c r="G23" s="32">
        <f>IF(OR(2629613.24498="",7279.54489="",6942.30127=""),"-",(7279.54489-6942.30127)/2629613.24498*100)</f>
        <v>1.2824837289050281E-2</v>
      </c>
    </row>
    <row r="24" spans="1:7" s="4" customFormat="1" x14ac:dyDescent="0.25">
      <c r="A24" s="19" t="s">
        <v>42</v>
      </c>
      <c r="B24" s="20">
        <v>5724.70741</v>
      </c>
      <c r="C24" s="32" t="s">
        <v>98</v>
      </c>
      <c r="D24" s="32">
        <f>IF(3396.14597="","-",3396.14597/2629613.24498*100)</f>
        <v>0.12915001764929998</v>
      </c>
      <c r="E24" s="32">
        <f>IF(5724.70741="","-",5724.70741/2346453.7023*100)</f>
        <v>0.24397274083816897</v>
      </c>
      <c r="F24" s="32">
        <f>IF(OR(1572223.23546="",3031.41889="",3396.14597=""),"-",(3396.14597-3031.41889)/1572223.23546*100)</f>
        <v>2.3198173883576301E-2</v>
      </c>
      <c r="G24" s="32">
        <f>IF(OR(2629613.24498="",5724.70741="",3396.14597=""),"-",(5724.70741-3396.14597)/2629613.24498*100)</f>
        <v>8.8551479744988518E-2</v>
      </c>
    </row>
    <row r="25" spans="1:7" s="2" customFormat="1" x14ac:dyDescent="0.25">
      <c r="A25" s="19" t="s">
        <v>277</v>
      </c>
      <c r="B25" s="20">
        <v>5459.3931000000002</v>
      </c>
      <c r="C25" s="32" t="s">
        <v>288</v>
      </c>
      <c r="D25" s="32">
        <f>IF(2090.91129="","-",2090.91129/2629613.24498*100)</f>
        <v>7.9514023364143149E-2</v>
      </c>
      <c r="E25" s="32">
        <f>IF(5459.3931="","-",5459.3931/2346453.7023*100)</f>
        <v>0.23266570717541493</v>
      </c>
      <c r="F25" s="32">
        <f>IF(OR(1572223.23546="",515.40973="",2090.91129=""),"-",(2090.91129-515.40973)/1572223.23546*100)</f>
        <v>0.10020851520738663</v>
      </c>
      <c r="G25" s="32">
        <f>IF(OR(2629613.24498="",5459.3931="",2090.91129=""),"-",(5459.3931-2090.91129)/2629613.24498*100)</f>
        <v>0.12809799374225544</v>
      </c>
    </row>
    <row r="26" spans="1:7" s="2" customFormat="1" x14ac:dyDescent="0.25">
      <c r="A26" s="19" t="s">
        <v>43</v>
      </c>
      <c r="B26" s="20">
        <v>2175.6418199999998</v>
      </c>
      <c r="C26" s="32">
        <f>IF(OR(1983.53217="",2175.64182=""),"-",2175.64182/1983.53217*100)</f>
        <v>109.68522985941792</v>
      </c>
      <c r="D26" s="32">
        <f>IF(1983.53217="","-",1983.53217/2629613.24498*100)</f>
        <v>7.5430566597069523E-2</v>
      </c>
      <c r="E26" s="32">
        <f>IF(2175.64182="","-",2175.64182/2346453.7023*100)</f>
        <v>9.2720423926005019E-2</v>
      </c>
      <c r="F26" s="32">
        <f>IF(OR(1572223.23546="",1526.34103="",1983.53217=""),"-",(1983.53217-1526.34103)/1572223.23546*100)</f>
        <v>2.9079276383180738E-2</v>
      </c>
      <c r="G26" s="32">
        <f>IF(OR(2629613.24498="",2175.64182="",1983.53217=""),"-",(2175.64182-1983.53217)/2629613.24498*100)</f>
        <v>7.3056237591874844E-3</v>
      </c>
    </row>
    <row r="27" spans="1:7" s="4" customFormat="1" x14ac:dyDescent="0.25">
      <c r="A27" s="19" t="s">
        <v>45</v>
      </c>
      <c r="B27" s="20">
        <v>1397.7288100000001</v>
      </c>
      <c r="C27" s="32">
        <f>IF(OR(1066.46576="",1397.72881=""),"-",1397.72881/1066.46576*100)</f>
        <v>131.06176142026351</v>
      </c>
      <c r="D27" s="32">
        <f>IF(1066.46576="","-",1066.46576/2629613.24498*100)</f>
        <v>4.0555992864574703E-2</v>
      </c>
      <c r="E27" s="32">
        <f>IF(1397.72881="","-",1397.72881/2346453.7023*100)</f>
        <v>5.9567713125127618E-2</v>
      </c>
      <c r="F27" s="32">
        <f>IF(OR(1572223.23546="",881.76406="",1066.46576=""),"-",(1066.46576-881.76406)/1572223.23546*100)</f>
        <v>1.1747803736405165E-2</v>
      </c>
      <c r="G27" s="32">
        <f>IF(OR(2629613.24498="",1397.72881="",1066.46576=""),"-",(1397.72881-1066.46576)/2629613.24498*100)</f>
        <v>1.2597405745213286E-2</v>
      </c>
    </row>
    <row r="28" spans="1:7" s="4" customFormat="1" x14ac:dyDescent="0.25">
      <c r="A28" s="19" t="s">
        <v>48</v>
      </c>
      <c r="B28" s="20">
        <v>479.90248000000003</v>
      </c>
      <c r="C28" s="32">
        <f>IF(OR(14646.19759="",479.90248=""),"-",479.90248/14646.19759*100)</f>
        <v>3.2766352976670445</v>
      </c>
      <c r="D28" s="32">
        <f>IF(14646.19759="","-",14646.19759/2629613.24498*100)</f>
        <v>0.55697154773463253</v>
      </c>
      <c r="E28" s="32">
        <f>IF(479.90248="","-",479.90248/2346453.7023*100)</f>
        <v>2.0452245852095798E-2</v>
      </c>
      <c r="F28" s="32">
        <f>IF(OR(1572223.23546="",16153.97635="",14646.19759=""),"-",(14646.19759-16153.97635)/1572223.23546*100)</f>
        <v>-9.5901060739561964E-2</v>
      </c>
      <c r="G28" s="32">
        <f>IF(OR(2629613.24498="",479.90248="",14646.19759=""),"-",(479.90248-14646.19759)/2629613.24498*100)</f>
        <v>-0.53872162140359703</v>
      </c>
    </row>
    <row r="29" spans="1:7" s="2" customFormat="1" x14ac:dyDescent="0.25">
      <c r="A29" s="19" t="s">
        <v>50</v>
      </c>
      <c r="B29" s="20">
        <v>444.94763</v>
      </c>
      <c r="C29" s="32">
        <f>IF(OR(557.37523="",444.94763=""),"-",444.94763/557.37523*100)</f>
        <v>79.829100048095071</v>
      </c>
      <c r="D29" s="32">
        <f>IF(557.37523="","-",557.37523/2629613.24498*100)</f>
        <v>2.1196091518935107E-2</v>
      </c>
      <c r="E29" s="32">
        <f>IF(444.94763="","-",444.94763/2346453.7023*100)</f>
        <v>1.896255739305068E-2</v>
      </c>
      <c r="F29" s="32">
        <f>IF(OR(1572223.23546="",386.05318="",557.37523=""),"-",(557.37523-386.05318)/1572223.23546*100)</f>
        <v>1.0896801811345492E-2</v>
      </c>
      <c r="G29" s="32">
        <f>IF(OR(2629613.24498="",444.94763="",557.37523=""),"-",(444.94763-557.37523)/2629613.24498*100)</f>
        <v>-4.2754424139986053E-3</v>
      </c>
    </row>
    <row r="30" spans="1:7" s="2" customFormat="1" x14ac:dyDescent="0.25">
      <c r="A30" s="19" t="s">
        <v>47</v>
      </c>
      <c r="B30" s="20">
        <v>349.37065999999999</v>
      </c>
      <c r="C30" s="32">
        <f>IF(OR(1001.43077="",349.37066=""),"-",349.37066/1001.43077*100)</f>
        <v>34.887150511662426</v>
      </c>
      <c r="D30" s="32">
        <f>IF(1001.43077="","-",1001.43077/2629613.24498*100)</f>
        <v>3.808281586319804E-2</v>
      </c>
      <c r="E30" s="32">
        <f>IF(349.37066="","-",349.37066/2346453.7023*100)</f>
        <v>1.4889305493543127E-2</v>
      </c>
      <c r="F30" s="32">
        <f>IF(OR(1572223.23546="",567.49263="",1001.43077=""),"-",(1001.43077-567.49263)/1572223.23546*100)</f>
        <v>2.7600287937039596E-2</v>
      </c>
      <c r="G30" s="32">
        <f>IF(OR(2629613.24498="",349.37066="",1001.43077=""),"-",(349.37066-1001.43077)/2629613.24498*100)</f>
        <v>-2.4796806573924884E-2</v>
      </c>
    </row>
    <row r="31" spans="1:7" s="2" customFormat="1" x14ac:dyDescent="0.25">
      <c r="A31" s="19" t="s">
        <v>46</v>
      </c>
      <c r="B31" s="20">
        <v>160.9367</v>
      </c>
      <c r="C31" s="32">
        <f>IF(OR(192.34358="",160.9367=""),"-",160.9367/192.34358*100)</f>
        <v>83.67146956503565</v>
      </c>
      <c r="D31" s="32">
        <f>IF(192.34358="","-",192.34358/2629613.24498*100)</f>
        <v>7.3145197441938994E-3</v>
      </c>
      <c r="E31" s="32">
        <f>IF(160.9367="","-",160.9367/2346453.7023*100)</f>
        <v>6.8587204530074228E-3</v>
      </c>
      <c r="F31" s="32">
        <f>IF(OR(1572223.23546="",1099.89005="",192.34358=""),"-",(192.34358-1099.89005)/1572223.23546*100)</f>
        <v>-5.7723766544797987E-2</v>
      </c>
      <c r="G31" s="32">
        <f>IF(OR(2629613.24498="",160.9367="",192.34358=""),"-",(160.9367-192.34358)/2629613.24498*100)</f>
        <v>-1.1943535826021774E-3</v>
      </c>
    </row>
    <row r="32" spans="1:7" s="2" customFormat="1" x14ac:dyDescent="0.25">
      <c r="A32" s="19" t="s">
        <v>49</v>
      </c>
      <c r="B32" s="20">
        <v>74.943039999999996</v>
      </c>
      <c r="C32" s="32">
        <f>IF(OR(49.14482="",74.94304=""),"-",74.94304/49.14482*100)</f>
        <v>152.49428118772229</v>
      </c>
      <c r="D32" s="32">
        <f>IF(49.14482="","-",49.14482/2629613.24498*100)</f>
        <v>1.8688991658305169E-3</v>
      </c>
      <c r="E32" s="32">
        <f>IF(74.94304="","-",74.94304/2346453.7023*100)</f>
        <v>3.1938853055801029E-3</v>
      </c>
      <c r="F32" s="32">
        <f>IF(OR(1572223.23546="",213.03992="",49.14482=""),"-",(49.14482-213.03992)/1572223.23546*100)</f>
        <v>-1.0424416603412406E-2</v>
      </c>
      <c r="G32" s="32">
        <f>IF(OR(2629613.24498="",74.94304="",49.14482=""),"-",(74.94304-49.14482)/2629613.24498*100)</f>
        <v>9.8106518322606815E-4</v>
      </c>
    </row>
    <row r="33" spans="1:7" s="2" customFormat="1" x14ac:dyDescent="0.25">
      <c r="A33" s="19" t="s">
        <v>51</v>
      </c>
      <c r="B33" s="20">
        <v>4.5320600000000004</v>
      </c>
      <c r="C33" s="32">
        <f>IF(OR(21.75936="",4.53206=""),"-",4.53206/21.75936*100)</f>
        <v>20.828094208653198</v>
      </c>
      <c r="D33" s="32">
        <f>IF(21.75936="","-",21.75936/2629613.24498*100)</f>
        <v>8.2747377552722567E-4</v>
      </c>
      <c r="E33" s="32">
        <f>IF(4.53206="","-",4.53206/2346453.7023*100)</f>
        <v>1.9314508509405762E-4</v>
      </c>
      <c r="F33" s="32">
        <f>IF(OR(1572223.23546="",3.64614="",21.75936=""),"-",(21.75936-3.64614)/1572223.23546*100)</f>
        <v>1.1520768547031712E-3</v>
      </c>
      <c r="G33" s="32">
        <f>IF(OR(2629613.24498="",4.53206="",21.75936=""),"-",(4.53206-21.75936)/2629613.24498*100)</f>
        <v>-6.5512675800851567E-4</v>
      </c>
    </row>
    <row r="34" spans="1:7" s="5" customFormat="1" ht="14.25" customHeight="1" x14ac:dyDescent="0.2">
      <c r="A34" s="19" t="s">
        <v>52</v>
      </c>
      <c r="B34" s="20">
        <v>1.7176199999999999</v>
      </c>
      <c r="C34" s="32">
        <f>IF(OR(9.84913="",1.71762=""),"-",1.71762/9.84913*100)</f>
        <v>17.439306822023873</v>
      </c>
      <c r="D34" s="32">
        <f>IF(9.84913="","-",9.84913/2629613.24498*100)</f>
        <v>3.7454671400070883E-4</v>
      </c>
      <c r="E34" s="32">
        <f>IF(1.71762="","-",1.71762/2346453.7023*100)</f>
        <v>7.3200677188575442E-5</v>
      </c>
      <c r="F34" s="32" t="str">
        <f>IF(OR(1572223.23546="",""="",9.84913=""),"-",(9.84913-"")/1572223.23546*100)</f>
        <v>-</v>
      </c>
      <c r="G34" s="32">
        <f>IF(OR(2629613.24498="",1.71762="",9.84913=""),"-",(1.71762-9.84913)/2629613.24498*100)</f>
        <v>-3.09228363354317E-4</v>
      </c>
    </row>
    <row r="35" spans="1:7" s="5" customFormat="1" ht="14.25" customHeight="1" x14ac:dyDescent="0.2">
      <c r="A35" s="17" t="s">
        <v>125</v>
      </c>
      <c r="B35" s="18">
        <v>585281.86774999998</v>
      </c>
      <c r="C35" s="31">
        <f>IF(517239.71785="","-",585281.86775/517239.71785*100)</f>
        <v>113.15485790279784</v>
      </c>
      <c r="D35" s="31">
        <f>IF(517239.71785="","-",517239.71785/2629613.24498*100)</f>
        <v>19.669801969450226</v>
      </c>
      <c r="E35" s="31">
        <f>IF(585281.86775="","-",585281.86775/2346453.7023*100)</f>
        <v>24.943252329091564</v>
      </c>
      <c r="F35" s="31">
        <f>IF(1572223.23546="","-",(517239.71785-243411.14254)/1572223.23546*100)</f>
        <v>17.416647275912023</v>
      </c>
      <c r="G35" s="31">
        <f>IF(2629613.24498="","-",(585281.86775-517239.71785)/2629613.24498*100)</f>
        <v>2.5875344988429076</v>
      </c>
    </row>
    <row r="36" spans="1:7" s="5" customFormat="1" ht="14.25" customHeight="1" x14ac:dyDescent="0.2">
      <c r="A36" s="19" t="s">
        <v>9</v>
      </c>
      <c r="B36" s="20">
        <v>396114.26156000001</v>
      </c>
      <c r="C36" s="32">
        <f>IF(OR(329235.51234="",396114.26156=""),"-",396114.26156/329235.51234*100)</f>
        <v>120.31334613470695</v>
      </c>
      <c r="D36" s="32">
        <f>IF(329235.51234="","-",329235.51234/2629613.24498*100)</f>
        <v>12.520301719977992</v>
      </c>
      <c r="E36" s="32">
        <f>IF(396114.26156="","-",396114.26156/2346453.7023*100)</f>
        <v>16.881401119132576</v>
      </c>
      <c r="F36" s="32">
        <f>IF(OR(1572223.23546="",43620.74939="",329235.51234=""),"-",(329235.51234-43620.74939)/1572223.23546*100)</f>
        <v>18.166298303461659</v>
      </c>
      <c r="G36" s="32">
        <f>IF(OR(2629613.24498="",396114.26156="",329235.51234=""),"-",(396114.26156-329235.51234)/2629613.24498*100)</f>
        <v>2.5432922254887966</v>
      </c>
    </row>
    <row r="37" spans="1:7" s="3" customFormat="1" ht="14.25" customHeight="1" x14ac:dyDescent="0.2">
      <c r="A37" s="19" t="s">
        <v>278</v>
      </c>
      <c r="B37" s="20">
        <v>92230.42254</v>
      </c>
      <c r="C37" s="32">
        <f>IF(OR(133773.31003="",92230.42254=""),"-",92230.42254/133773.31003*100)</f>
        <v>68.945309433784971</v>
      </c>
      <c r="D37" s="32">
        <f>IF(133773.31003="","-",133773.31003/2629613.24498*100)</f>
        <v>5.0871857405409981</v>
      </c>
      <c r="E37" s="32">
        <f>IF(92230.42254="","-",92230.42254/2346453.7023*100)</f>
        <v>3.9306303998069723</v>
      </c>
      <c r="F37" s="32">
        <f>IF(OR(1572223.23546="",149954.3786="",133773.31003=""),"-",(133773.31003-149954.3786)/1572223.23546*100)</f>
        <v>-1.0291839100867732</v>
      </c>
      <c r="G37" s="32">
        <f>IF(OR(2629613.24498="",92230.42254="",133773.31003=""),"-",(92230.42254-133773.31003)/2629613.24498*100)</f>
        <v>-1.5798097902536217</v>
      </c>
    </row>
    <row r="38" spans="1:7" s="5" customFormat="1" ht="14.25" customHeight="1" x14ac:dyDescent="0.2">
      <c r="A38" s="19" t="s">
        <v>8</v>
      </c>
      <c r="B38" s="20">
        <v>53807.47582</v>
      </c>
      <c r="C38" s="32">
        <f>IF(OR(38290.11991="",53807.47582=""),"-",53807.47582/38290.11991*100)</f>
        <v>140.52574383802704</v>
      </c>
      <c r="D38" s="32">
        <f>IF(38290.11991="","-",38290.11991/2629613.24498*100)</f>
        <v>1.4561122242252482</v>
      </c>
      <c r="E38" s="32">
        <f>IF(53807.47582="","-",53807.47582/2346453.7023*100)</f>
        <v>2.2931403149892868</v>
      </c>
      <c r="F38" s="32">
        <f>IF(OR(1572223.23546="",35091.34527="",38290.11991=""),"-",(38290.11991-35091.34527)/1572223.23546*100)</f>
        <v>0.20345549969334401</v>
      </c>
      <c r="G38" s="32">
        <f>IF(OR(2629613.24498="",53807.47582="",38290.11991=""),"-",(53807.47582-38290.11991)/2629613.24498*100)</f>
        <v>0.59010030998372232</v>
      </c>
    </row>
    <row r="39" spans="1:7" s="3" customFormat="1" ht="15.75" customHeight="1" x14ac:dyDescent="0.2">
      <c r="A39" s="19" t="s">
        <v>10</v>
      </c>
      <c r="B39" s="20">
        <v>24940.921989999999</v>
      </c>
      <c r="C39" s="32" t="s">
        <v>297</v>
      </c>
      <c r="D39" s="32">
        <f>IF(6823.28223="","-",6823.28223/2629613.24498*100)</f>
        <v>0.25947854662756292</v>
      </c>
      <c r="E39" s="32">
        <f>IF(24940.92199="","-",24940.92199/2346453.7023*100)</f>
        <v>1.0629198422092387</v>
      </c>
      <c r="F39" s="32">
        <f>IF(OR(1572223.23546="",7117.1987="",6823.28223=""),"-",(6823.28223-7117.1987)/1572223.23546*100)</f>
        <v>-1.8694321733135195E-2</v>
      </c>
      <c r="G39" s="32">
        <f>IF(OR(2629613.24498="",24940.92199="",6823.28223=""),"-",(24940.92199-6823.28223)/2629613.24498*100)</f>
        <v>0.6889849598448381</v>
      </c>
    </row>
    <row r="40" spans="1:7" s="3" customFormat="1" ht="15.75" customHeight="1" x14ac:dyDescent="0.2">
      <c r="A40" s="19" t="s">
        <v>281</v>
      </c>
      <c r="B40" s="20">
        <v>5727.2693399999998</v>
      </c>
      <c r="C40" s="32" t="s">
        <v>318</v>
      </c>
      <c r="D40" s="32">
        <f>IF(798.00992="","-",798.00992/2629613.24498*100)</f>
        <v>3.0347045198506725E-2</v>
      </c>
      <c r="E40" s="32">
        <f>IF(5727.26934="","-",5727.26934/2346453.7023*100)</f>
        <v>0.2440819239001441</v>
      </c>
      <c r="F40" s="32">
        <f>IF(OR(1572223.23546="",683.06661="",798.00992=""),"-",(798.00992-683.06661)/1572223.23546*100)</f>
        <v>7.3108771965432733E-3</v>
      </c>
      <c r="G40" s="32">
        <f>IF(OR(2629613.24498="",5727.26934="",798.00992=""),"-",(5727.26934-798.00992)/2629613.24498*100)</f>
        <v>0.18745187830986496</v>
      </c>
    </row>
    <row r="41" spans="1:7" s="3" customFormat="1" ht="14.25" customHeight="1" x14ac:dyDescent="0.2">
      <c r="A41" s="19" t="s">
        <v>12</v>
      </c>
      <c r="B41" s="20">
        <v>4878.3971899999997</v>
      </c>
      <c r="C41" s="32">
        <f>IF(OR(4677.49236="",4878.39719=""),"-",4878.39719/4677.49236*100)</f>
        <v>104.29513967180482</v>
      </c>
      <c r="D41" s="32">
        <f>IF(4677.49236="","-",4677.49236/2629613.24498*100)</f>
        <v>0.17787757834462747</v>
      </c>
      <c r="E41" s="32">
        <f>IF(4878.39719="","-",4878.39719/2346453.7023*100)</f>
        <v>0.20790511166779818</v>
      </c>
      <c r="F41" s="32">
        <f>IF(OR(1572223.23546="",3799.82808="",4677.49236=""),"-",(4677.49236-3799.82808)/1572223.23546*100)</f>
        <v>5.5823133776751077E-2</v>
      </c>
      <c r="G41" s="32">
        <f>IF(OR(2629613.24498="",4878.39719="",4677.49236=""),"-",(4878.39719-4677.49236)/2629613.24498*100)</f>
        <v>7.6400904347257931E-3</v>
      </c>
    </row>
    <row r="42" spans="1:7" s="3" customFormat="1" ht="14.25" customHeight="1" x14ac:dyDescent="0.2">
      <c r="A42" s="19" t="s">
        <v>11</v>
      </c>
      <c r="B42" s="20">
        <v>3389.1583300000002</v>
      </c>
      <c r="C42" s="32" t="s">
        <v>187</v>
      </c>
      <c r="D42" s="32">
        <f>IF(1541.93847="","-",1541.93847/2629613.24498*100)</f>
        <v>5.8637462103737145E-2</v>
      </c>
      <c r="E42" s="32">
        <f>IF(3389.15833="","-",3389.15833/2346453.7023*100)</f>
        <v>0.14443746862245518</v>
      </c>
      <c r="F42" s="32">
        <f>IF(OR(1572223.23546="",1945.49116="",1541.93847=""),"-",(1541.93847-1945.49116)/1572223.23546*100)</f>
        <v>-2.5667645719656903E-2</v>
      </c>
      <c r="G42" s="32">
        <f>IF(OR(2629613.24498="",3389.15833="",1541.93847=""),"-",(3389.15833-1541.93847)/2629613.24498*100)</f>
        <v>7.0246826734934917E-2</v>
      </c>
    </row>
    <row r="43" spans="1:7" s="2" customFormat="1" x14ac:dyDescent="0.25">
      <c r="A43" s="19" t="s">
        <v>14</v>
      </c>
      <c r="B43" s="20">
        <v>3164.6949800000002</v>
      </c>
      <c r="C43" s="32" t="s">
        <v>288</v>
      </c>
      <c r="D43" s="32">
        <f>IF(1199.0789="","-",1199.0789/2629613.24498*100)</f>
        <v>4.5599059188231303E-2</v>
      </c>
      <c r="E43" s="32">
        <f>IF(3164.69498="","-",3164.69498/2346453.7023*100)</f>
        <v>0.13487140091014616</v>
      </c>
      <c r="F43" s="32">
        <f>IF(OR(1572223.23546="",542.72152="",1199.0789=""),"-",(1199.0789-542.72152)/1572223.23546*100)</f>
        <v>4.1747085604415667E-2</v>
      </c>
      <c r="G43" s="32">
        <f>IF(OR(2629613.24498="",3164.69498="",1199.0789=""),"-",(3164.69498-1199.0789)/2629613.24498*100)</f>
        <v>7.4749246253319288E-2</v>
      </c>
    </row>
    <row r="44" spans="1:7" s="2" customFormat="1" x14ac:dyDescent="0.25">
      <c r="A44" s="19" t="s">
        <v>13</v>
      </c>
      <c r="B44" s="20">
        <v>916.99558000000002</v>
      </c>
      <c r="C44" s="32">
        <f>IF(OR(840.80737="",916.99558=""),"-",916.99558/840.80737*100)</f>
        <v>109.06131567329149</v>
      </c>
      <c r="D44" s="32">
        <f>IF(840.80737="","-",840.80737/2629613.24498*100)</f>
        <v>3.1974564001193834E-2</v>
      </c>
      <c r="E44" s="32">
        <f>IF(916.99558="","-",916.99558/2346453.7023*100)</f>
        <v>3.9080062781599249E-2</v>
      </c>
      <c r="F44" s="32">
        <f>IF(OR(1572223.23546="",448.08482="",840.80737=""),"-",(840.80737-448.08482)/1572223.23546*100)</f>
        <v>2.4978803336734651E-2</v>
      </c>
      <c r="G44" s="32">
        <f>IF(OR(2629613.24498="",916.99558="",840.80737=""),"-",(916.99558-840.80737)/2629613.24498*100)</f>
        <v>2.8973161793067973E-3</v>
      </c>
    </row>
    <row r="45" spans="1:7" s="4" customFormat="1" x14ac:dyDescent="0.25">
      <c r="A45" s="19" t="s">
        <v>15</v>
      </c>
      <c r="B45" s="20">
        <v>112.27042</v>
      </c>
      <c r="C45" s="32" t="s">
        <v>100</v>
      </c>
      <c r="D45" s="32">
        <f>IF(60.16632="","-",60.16632/2629613.24498*100)</f>
        <v>2.2880292421274904E-3</v>
      </c>
      <c r="E45" s="32">
        <f>IF(112.27042="","-",112.27042/2346453.7023*100)</f>
        <v>4.7846850713462721E-3</v>
      </c>
      <c r="F45" s="32">
        <f>IF(OR(1572223.23546="",208.27839="",60.16632=""),"-",(60.16632-208.27839)/1572223.23546*100)</f>
        <v>-9.4205496178578919E-3</v>
      </c>
      <c r="G45" s="32">
        <f>IF(OR(2629613.24498="",112.27042="",60.16632=""),"-",(112.27042-60.16632)/2629613.24498*100)</f>
        <v>1.9814358670221977E-3</v>
      </c>
    </row>
    <row r="46" spans="1:7" s="2" customFormat="1" x14ac:dyDescent="0.25">
      <c r="A46" s="17" t="s">
        <v>126</v>
      </c>
      <c r="B46" s="18">
        <v>300312.07913999999</v>
      </c>
      <c r="C46" s="31">
        <f>IF(525326.00317="","-",300312.07914/525326.00317*100)</f>
        <v>57.166802581218576</v>
      </c>
      <c r="D46" s="31">
        <f>IF(525326.00317="","-",525326.00317/2629613.24498*100)</f>
        <v>19.977310510314055</v>
      </c>
      <c r="E46" s="31">
        <f>IF(300312.07914="","-",300312.07914/2346453.7023*100)</f>
        <v>12.798551228419011</v>
      </c>
      <c r="F46" s="31">
        <f>IF(1572223.23546="","-",(525326.00317-319049.82592)/1572223.23546*100)</f>
        <v>13.120031087038853</v>
      </c>
      <c r="G46" s="31">
        <f>IF(2629613.24498="","-",(300312.07914-525326.00317)/2629613.24498*100)</f>
        <v>-8.55692084984579</v>
      </c>
    </row>
    <row r="47" spans="1:7" s="6" customFormat="1" x14ac:dyDescent="0.25">
      <c r="A47" s="73" t="s">
        <v>53</v>
      </c>
      <c r="B47" s="21">
        <v>86574.952600000004</v>
      </c>
      <c r="C47" s="32">
        <f>IF(OR(228158.75029="",86574.9526=""),"-",86574.9526/228158.75029*100)</f>
        <v>37.945050316921595</v>
      </c>
      <c r="D47" s="32">
        <f>IF(228158.75029="","-",228158.75029/2629613.24498*100)</f>
        <v>8.6765135795372572</v>
      </c>
      <c r="E47" s="32">
        <f>IF(86574.9526="","-",86574.9526/2346453.7023*100)</f>
        <v>3.6896083871221923</v>
      </c>
      <c r="F47" s="32">
        <f>IF(OR(1572223.23546="",135272.30965="",228158.75029=""),"-",(228158.75029-135272.30965)/1572223.23546*100)</f>
        <v>5.9079676820081684</v>
      </c>
      <c r="G47" s="32">
        <f>IF(OR(2629613.24498="",86574.9526="",228158.75029=""),"-",(86574.9526-228158.75029)/2629613.24498*100)</f>
        <v>-5.3842061360273084</v>
      </c>
    </row>
    <row r="48" spans="1:7" s="4" customFormat="1" x14ac:dyDescent="0.25">
      <c r="A48" s="73" t="s">
        <v>16</v>
      </c>
      <c r="B48" s="21">
        <v>30618.64905</v>
      </c>
      <c r="C48" s="32">
        <f>IF(OR(23782.92024="",30618.64905=""),"-",30618.64905/23782.92024*100)</f>
        <v>128.74217607013259</v>
      </c>
      <c r="D48" s="32">
        <f>IF(23782.92024="","-",23782.92024/2629613.24498*100)</f>
        <v>0.90442654582008253</v>
      </c>
      <c r="E48" s="32">
        <f>IF(30618.64905="","-",30618.64905/2346453.7023*100)</f>
        <v>1.3048903977942339</v>
      </c>
      <c r="F48" s="32">
        <f>IF(OR(1572223.23546="",13084.25894="",23782.92024=""),"-",(23782.92024-13084.25894)/1572223.23546*100)</f>
        <v>0.68047978548477517</v>
      </c>
      <c r="G48" s="32">
        <f>IF(OR(2629613.24498="",30618.64905="",23782.92024=""),"-",(30618.64905-23782.92024)/2629613.24498*100)</f>
        <v>0.25995187022462651</v>
      </c>
    </row>
    <row r="49" spans="1:7" s="2" customFormat="1" x14ac:dyDescent="0.25">
      <c r="A49" s="19" t="s">
        <v>57</v>
      </c>
      <c r="B49" s="20">
        <v>25270.0599</v>
      </c>
      <c r="C49" s="32" t="s">
        <v>99</v>
      </c>
      <c r="D49" s="32">
        <f>IF(15633.71304="","-",15633.71304/2629613.24498*100)</f>
        <v>0.5945251861597961</v>
      </c>
      <c r="E49" s="32">
        <f>IF(25270.0599="","-",25270.0599/2346453.7023*100)</f>
        <v>1.0769468783991016</v>
      </c>
      <c r="F49" s="32">
        <f>IF(OR(1572223.23546="",14508.85958="",15633.71304=""),"-",(15633.71304-14508.85958)/1572223.23546*100)</f>
        <v>7.1545403644342614E-2</v>
      </c>
      <c r="G49" s="32">
        <f>IF(OR(2629613.24498="",25270.0599="",15633.71304=""),"-",(25270.0599-15633.71304)/2629613.24498*100)</f>
        <v>0.36645491037117478</v>
      </c>
    </row>
    <row r="50" spans="1:7" s="6" customFormat="1" ht="24" x14ac:dyDescent="0.25">
      <c r="A50" s="19" t="s">
        <v>377</v>
      </c>
      <c r="B50" s="20">
        <v>24205.394789999998</v>
      </c>
      <c r="C50" s="32">
        <f>IF(OR(42825.42462="",24205.39479=""),"-",24205.39479/42825.42462*100)</f>
        <v>56.52108532438411</v>
      </c>
      <c r="D50" s="32">
        <f>IF(42825.42462="","-",42825.42462/2629613.24498*100)</f>
        <v>1.6285826328930633</v>
      </c>
      <c r="E50" s="32">
        <f>IF(24205.39479="","-",24205.39479/2346453.7023*100)</f>
        <v>1.0315735088347922</v>
      </c>
      <c r="F50" s="32">
        <f>IF(OR(1572223.23546="",33195.47839="",42825.42462=""),"-",(42825.42462-33195.47839)/1572223.23546*100)</f>
        <v>0.61250501918593492</v>
      </c>
      <c r="G50" s="32">
        <f>IF(OR(2629613.24498="",24205.39479="",42825.42462=""),"-",(24205.39479-42825.42462)/2629613.24498*100)</f>
        <v>-0.70809005337747366</v>
      </c>
    </row>
    <row r="51" spans="1:7" s="2" customFormat="1" x14ac:dyDescent="0.25">
      <c r="A51" s="19" t="s">
        <v>378</v>
      </c>
      <c r="B51" s="20">
        <v>18445.713599999999</v>
      </c>
      <c r="C51" s="32">
        <f>IF(OR(56304.08484="",18445.7136=""),"-",18445.7136/56304.08484*100)</f>
        <v>32.760879876508788</v>
      </c>
      <c r="D51" s="32">
        <f>IF(56304.08484="","-",56304.08484/2629613.24498*100)</f>
        <v>2.1411545955469293</v>
      </c>
      <c r="E51" s="32">
        <f>IF(18445.7136="","-",18445.7136/2346453.7023*100)</f>
        <v>0.78611027278822765</v>
      </c>
      <c r="F51" s="32">
        <f>IF(OR(1572223.23546="",27163.47238="",56304.08484=""),"-",(56304.08484-27163.47238)/1572223.23546*100)</f>
        <v>1.8534653224021373</v>
      </c>
      <c r="G51" s="32">
        <f>IF(OR(2629613.24498="",18445.7136="",56304.08484=""),"-",(18445.7136-56304.08484)/2629613.24498*100)</f>
        <v>-1.4396935105294522</v>
      </c>
    </row>
    <row r="52" spans="1:7" s="4" customFormat="1" x14ac:dyDescent="0.25">
      <c r="A52" s="19" t="s">
        <v>60</v>
      </c>
      <c r="B52" s="20">
        <v>18087.64878</v>
      </c>
      <c r="C52" s="32" t="s">
        <v>332</v>
      </c>
      <c r="D52" s="32">
        <f>IF(5250.82149="","-",5250.82149/2629613.24498*100)</f>
        <v>0.19968037124942062</v>
      </c>
      <c r="E52" s="32">
        <f>IF(18087.64878="","-",18087.64878/2346453.7023*100)</f>
        <v>0.77085044389626944</v>
      </c>
      <c r="F52" s="32">
        <f>IF(OR(1572223.23546="",2227.01524="",5250.82149=""),"-",(5250.82149-2227.01524)/1572223.23546*100)</f>
        <v>0.19232677534595122</v>
      </c>
      <c r="G52" s="32">
        <f>IF(OR(2629613.24498="",18087.64878="",5250.82149=""),"-",(18087.64878-5250.82149)/2629613.24498*100)</f>
        <v>0.48816407943281531</v>
      </c>
    </row>
    <row r="53" spans="1:7" s="4" customFormat="1" x14ac:dyDescent="0.25">
      <c r="A53" s="19" t="s">
        <v>55</v>
      </c>
      <c r="B53" s="20">
        <v>10890.94332</v>
      </c>
      <c r="C53" s="32">
        <f>IF(OR(8751.69299="",10890.94332=""),"-",10890.94332/8751.69299*100)</f>
        <v>124.44384569299203</v>
      </c>
      <c r="D53" s="32">
        <f>IF(8751.69299="","-",8751.69299/2629613.24498*100)</f>
        <v>0.33281293386802069</v>
      </c>
      <c r="E53" s="32">
        <f>IF(10890.94332="","-",10890.94332/2346453.7023*100)</f>
        <v>0.46414482030157544</v>
      </c>
      <c r="F53" s="32">
        <f>IF(OR(1572223.23546="",11958.27836="",8751.69299=""),"-",(8751.69299-11958.27836)/1572223.23546*100)</f>
        <v>-0.20395229492088124</v>
      </c>
      <c r="G53" s="32">
        <f>IF(OR(2629613.24498="",10890.94332="",8751.69299=""),"-",(10890.94332-8751.69299)/2629613.24498*100)</f>
        <v>8.1352280001018601E-2</v>
      </c>
    </row>
    <row r="54" spans="1:7" s="2" customFormat="1" x14ac:dyDescent="0.25">
      <c r="A54" s="73" t="s">
        <v>63</v>
      </c>
      <c r="B54" s="21">
        <v>8723.97127</v>
      </c>
      <c r="C54" s="32">
        <f>IF(OR(9903.83747="",8723.97127=""),"-",8723.97127/9903.83747*100)</f>
        <v>88.086777437796542</v>
      </c>
      <c r="D54" s="32">
        <f>IF(9903.83747="","-",9903.83747/2629613.24498*100)</f>
        <v>0.37662715187895723</v>
      </c>
      <c r="E54" s="32">
        <f>IF(8723.97127="","-",8723.97127/2346453.7023*100)</f>
        <v>0.37179388033306349</v>
      </c>
      <c r="F54" s="32">
        <f>IF(OR(1572223.23546="",5646.76573="",9903.83747=""),"-",(9903.83747-5646.76573)/1572223.23546*100)</f>
        <v>0.27076763935208403</v>
      </c>
      <c r="G54" s="32">
        <f>IF(OR(2629613.24498="",8723.97127="",9903.83747=""),"-",(8723.97127-9903.83747)/2629613.24498*100)</f>
        <v>-4.4868430833028231E-2</v>
      </c>
    </row>
    <row r="55" spans="1:7" s="4" customFormat="1" x14ac:dyDescent="0.25">
      <c r="A55" s="19" t="s">
        <v>71</v>
      </c>
      <c r="B55" s="20">
        <v>7735.6565300000002</v>
      </c>
      <c r="C55" s="32" t="s">
        <v>303</v>
      </c>
      <c r="D55" s="32">
        <f>IF(2026.9522="","-",2026.9522/2629613.24498*100)</f>
        <v>7.7081761124739717E-2</v>
      </c>
      <c r="E55" s="32">
        <f>IF(7735.65653="","-",7735.65653/2346453.7023*100)</f>
        <v>0.32967437296621238</v>
      </c>
      <c r="F55" s="32">
        <f>IF(OR(1572223.23546="",12245.58789="",2026.9522=""),"-",(2026.9522-12245.58789)/1572223.23546*100)</f>
        <v>-0.64994814092098308</v>
      </c>
      <c r="G55" s="32">
        <f>IF(OR(2629613.24498="",7735.65653="",2026.9522=""),"-",(7735.65653-2026.9522)/2629613.24498*100)</f>
        <v>0.21709292577142533</v>
      </c>
    </row>
    <row r="56" spans="1:7" s="2" customFormat="1" x14ac:dyDescent="0.25">
      <c r="A56" s="19" t="s">
        <v>65</v>
      </c>
      <c r="B56" s="20">
        <v>6466.9353799999999</v>
      </c>
      <c r="C56" s="32">
        <f>IF(OR(8580.76344="",6466.93538=""),"-",6466.93538/8580.76344*100)</f>
        <v>75.365501277587938</v>
      </c>
      <c r="D56" s="32">
        <f>IF(8580.76344="","-",8580.76344/2629613.24498*100)</f>
        <v>0.32631275554992356</v>
      </c>
      <c r="E56" s="32">
        <f>IF(6466.93538="","-",6466.93538/2346453.7023*100)</f>
        <v>0.27560464430476911</v>
      </c>
      <c r="F56" s="32">
        <f>IF(OR(1572223.23546="",4646.59179="",8580.76344=""),"-",(8580.76344-4646.59179)/1572223.23546*100)</f>
        <v>0.25022983767625995</v>
      </c>
      <c r="G56" s="32">
        <f>IF(OR(2629613.24498="",6466.93538="",8580.76344=""),"-",(6466.93538-8580.76344)/2629613.24498*100)</f>
        <v>-8.0385511597013501E-2</v>
      </c>
    </row>
    <row r="57" spans="1:7" s="2" customFormat="1" x14ac:dyDescent="0.25">
      <c r="A57" s="19" t="s">
        <v>59</v>
      </c>
      <c r="B57" s="20">
        <v>6047.3035600000003</v>
      </c>
      <c r="C57" s="32">
        <f>IF(OR(4762.52906="",6047.30356=""),"-",6047.30356/4762.52906*100)</f>
        <v>126.97672778084845</v>
      </c>
      <c r="D57" s="32">
        <f>IF(4762.52906="","-",4762.52906/2629613.24498*100)</f>
        <v>0.18111138849379435</v>
      </c>
      <c r="E57" s="32">
        <f>IF(6047.30356="","-",6047.30356/2346453.7023*100)</f>
        <v>0.25772098354518641</v>
      </c>
      <c r="F57" s="32">
        <f>IF(OR(1572223.23546="",7491.65294="",4762.52906=""),"-",(4762.52906-7491.65294)/1572223.23546*100)</f>
        <v>-0.17358373915657815</v>
      </c>
      <c r="G57" s="32">
        <f>IF(OR(2629613.24498="",6047.30356="",4762.52906=""),"-",(6047.30356-4762.52906)/2629613.24498*100)</f>
        <v>4.8857926254085783E-2</v>
      </c>
    </row>
    <row r="58" spans="1:7" s="4" customFormat="1" x14ac:dyDescent="0.25">
      <c r="A58" s="19" t="s">
        <v>34</v>
      </c>
      <c r="B58" s="20">
        <v>5960.6865100000005</v>
      </c>
      <c r="C58" s="32">
        <f>IF(OR(5031.00403="",5960.68651=""),"-",5960.68651/5031.00403*100)</f>
        <v>118.47906450593722</v>
      </c>
      <c r="D58" s="32">
        <f>IF(5031.00403="","-",5031.00403/2629613.24498*100)</f>
        <v>0.19132106364326834</v>
      </c>
      <c r="E58" s="32">
        <f>IF(5960.68651="","-",5960.68651/2346453.7023*100)</f>
        <v>0.25402958107195212</v>
      </c>
      <c r="F58" s="32">
        <f>IF(OR(1572223.23546="",2268.3681="",5031.00403=""),"-",(5031.00403-2268.3681)/1572223.23546*100)</f>
        <v>0.17571524626346777</v>
      </c>
      <c r="G58" s="32">
        <f>IF(OR(2629613.24498="",5960.68651="",5031.00403=""),"-",(5960.68651-5031.00403)/2629613.24498*100)</f>
        <v>3.535434276408473E-2</v>
      </c>
    </row>
    <row r="59" spans="1:7" s="6" customFormat="1" x14ac:dyDescent="0.25">
      <c r="A59" s="19" t="s">
        <v>56</v>
      </c>
      <c r="B59" s="20">
        <v>3716.2782299999999</v>
      </c>
      <c r="C59" s="32">
        <f>IF(OR(4646.74413="",3716.27823=""),"-",3716.27823/4646.74413*100)</f>
        <v>79.975960070777546</v>
      </c>
      <c r="D59" s="32">
        <f>IF(4646.74413="","-",4646.74413/2629613.24498*100)</f>
        <v>0.17670827217161136</v>
      </c>
      <c r="E59" s="32">
        <f>IF(3716.27823="","-",3716.27823/2346453.7023*100)</f>
        <v>0.15837850226310854</v>
      </c>
      <c r="F59" s="32">
        <f>IF(OR(1572223.23546="",7401.63254="",4646.74413=""),"-",(4646.74413-7401.63254)/1572223.23546*100)</f>
        <v>-0.17522247145736758</v>
      </c>
      <c r="G59" s="32">
        <f>IF(OR(2629613.24498="",3716.27823="",4646.74413=""),"-",(3716.27823-4646.74413)/2629613.24498*100)</f>
        <v>-3.5384134977882536E-2</v>
      </c>
    </row>
    <row r="60" spans="1:7" s="2" customFormat="1" x14ac:dyDescent="0.25">
      <c r="A60" s="19" t="s">
        <v>54</v>
      </c>
      <c r="B60" s="20">
        <v>3063.0013899999999</v>
      </c>
      <c r="C60" s="32">
        <f>IF(OR(5585.68824="",3063.00139=""),"-",3063.00139/5585.68824*100)</f>
        <v>54.836597718887361</v>
      </c>
      <c r="D60" s="32">
        <f>IF(5585.68824="","-",5585.68824/2629613.24498*100)</f>
        <v>0.21241481996119482</v>
      </c>
      <c r="E60" s="32">
        <f>IF(3063.00139="","-",3063.00139/2346453.7023*100)</f>
        <v>0.1305374739334357</v>
      </c>
      <c r="F60" s="32">
        <f>IF(OR(1572223.23546="",3607.04392="",5585.68824=""),"-",(5585.68824-3607.04392)/1572223.23546*100)</f>
        <v>0.1258500876576277</v>
      </c>
      <c r="G60" s="32">
        <f>IF(OR(2629613.24498="",3063.00139="",5585.68824=""),"-",(3063.00139-5585.68824)/2629613.24498*100)</f>
        <v>-9.5933759643775568E-2</v>
      </c>
    </row>
    <row r="61" spans="1:7" s="2" customFormat="1" x14ac:dyDescent="0.25">
      <c r="A61" s="73" t="s">
        <v>299</v>
      </c>
      <c r="B61" s="21">
        <v>3000.3</v>
      </c>
      <c r="C61" s="32" t="str">
        <f>IF(OR(""="",3000.3=""),"-",3000.3/""*100)</f>
        <v>-</v>
      </c>
      <c r="D61" s="32" t="str">
        <f>IF(""="","-",""/2629613.24498*100)</f>
        <v>-</v>
      </c>
      <c r="E61" s="32">
        <f>IF(3000.3="","-",3000.3/2346453.7023*100)</f>
        <v>0.12786529719546985</v>
      </c>
      <c r="F61" s="32" t="str">
        <f>IF(OR(1572223.23546="",""="",""=""),"-",(""-"")/1572223.23546*100)</f>
        <v>-</v>
      </c>
      <c r="G61" s="32" t="str">
        <f>IF(OR(2629613.24498="",3000.3="",""=""),"-",(3000.3-"")/2629613.24498*100)</f>
        <v>-</v>
      </c>
    </row>
    <row r="62" spans="1:7" s="2" customFormat="1" x14ac:dyDescent="0.25">
      <c r="A62" s="19" t="s">
        <v>62</v>
      </c>
      <c r="B62" s="20">
        <v>2097.6673300000002</v>
      </c>
      <c r="C62" s="32" t="s">
        <v>379</v>
      </c>
      <c r="D62" s="32">
        <f>IF(264.05837="","-",264.05837/2629613.24498*100)</f>
        <v>1.0041718891707529E-2</v>
      </c>
      <c r="E62" s="32">
        <f>IF(2097.66733="","-",2097.66733/2346453.7023*100)</f>
        <v>8.9397345787980448E-2</v>
      </c>
      <c r="F62" s="32">
        <f>IF(OR(1572223.23546="",1550.77618="",264.05837=""),"-",(264.05837-1550.77618)/1572223.23546*100)</f>
        <v>-8.184065602004241E-2</v>
      </c>
      <c r="G62" s="32">
        <f>IF(OR(2629613.24498="",2097.66733="",264.05837=""),"-",(2097.66733-264.05837)/2629613.24498*100)</f>
        <v>6.9729225904243047E-2</v>
      </c>
    </row>
    <row r="63" spans="1:7" s="2" customFormat="1" x14ac:dyDescent="0.25">
      <c r="A63" s="19" t="s">
        <v>81</v>
      </c>
      <c r="B63" s="20">
        <v>1998.0482500000001</v>
      </c>
      <c r="C63" s="32" t="s">
        <v>341</v>
      </c>
      <c r="D63" s="32">
        <f>IF(300.26248="","-",300.26248/2629613.24498*100)</f>
        <v>1.1418503484237039E-2</v>
      </c>
      <c r="E63" s="32">
        <f>IF(1998.04825="","-",1998.04825/2346453.7023*100)</f>
        <v>8.5151829249454525E-2</v>
      </c>
      <c r="F63" s="32">
        <f>IF(OR(1572223.23546="",102.18825="",300.26248=""),"-",(300.26248-102.18825)/1572223.23546*100)</f>
        <v>1.2598352799565867E-2</v>
      </c>
      <c r="G63" s="32">
        <f>IF(OR(2629613.24498="",1998.04825="",300.26248=""),"-",(1998.04825-300.26248)/2629613.24498*100)</f>
        <v>6.4564086496031958E-2</v>
      </c>
    </row>
    <row r="64" spans="1:7" s="2" customFormat="1" x14ac:dyDescent="0.25">
      <c r="A64" s="19" t="s">
        <v>116</v>
      </c>
      <c r="B64" s="20">
        <v>1958.57519</v>
      </c>
      <c r="C64" s="32">
        <f>IF(OR(1843.74282="",1958.57519=""),"-",1958.57519/1843.74282*100)</f>
        <v>106.22822059315193</v>
      </c>
      <c r="D64" s="32">
        <f>IF(1843.74282="","-",1843.74282/2629613.24498*100)</f>
        <v>7.0114600446272962E-2</v>
      </c>
      <c r="E64" s="32">
        <f>IF(1958.57519="","-",1958.57519/2346453.7023*100)</f>
        <v>8.3469585957745493E-2</v>
      </c>
      <c r="F64" s="32">
        <f>IF(OR(1572223.23546="",1487.66448="",1843.74282=""),"-",(1843.74282-1487.66448)/1572223.23546*100)</f>
        <v>2.2648077700990015E-2</v>
      </c>
      <c r="G64" s="32">
        <f>IF(OR(2629613.24498="",1958.57519="",1843.74282=""),"-",(1958.57519-1843.74282)/2629613.24498*100)</f>
        <v>4.3668919838009664E-3</v>
      </c>
    </row>
    <row r="65" spans="1:7" s="2" customFormat="1" x14ac:dyDescent="0.25">
      <c r="A65" s="19" t="s">
        <v>72</v>
      </c>
      <c r="B65" s="20">
        <v>1947.2448099999999</v>
      </c>
      <c r="C65" s="32">
        <f>IF(OR(2324.13529="",1947.24481=""),"-",1947.24481/2324.13529*100)</f>
        <v>83.783625608128858</v>
      </c>
      <c r="D65" s="32">
        <f>IF(2324.13529="","-",2324.13529/2629613.24498*100)</f>
        <v>8.8383160315945133E-2</v>
      </c>
      <c r="E65" s="32">
        <f>IF(1947.24481="","-",1947.24481/2346453.7023*100)</f>
        <v>8.2986713442984431E-2</v>
      </c>
      <c r="F65" s="32">
        <f>IF(OR(1572223.23546="",1875.26399="",2324.13529=""),"-",(2324.13529-1875.26399)/1572223.23546*100)</f>
        <v>2.8550099621741678E-2</v>
      </c>
      <c r="G65" s="32">
        <f>IF(OR(2629613.24498="",1947.24481="",2324.13529=""),"-",(1947.24481-2324.13529)/2629613.24498*100)</f>
        <v>-1.4332544176201348E-2</v>
      </c>
    </row>
    <row r="66" spans="1:7" s="2" customFormat="1" x14ac:dyDescent="0.25">
      <c r="A66" s="19" t="s">
        <v>35</v>
      </c>
      <c r="B66" s="20">
        <v>1825.34961</v>
      </c>
      <c r="C66" s="32" t="s">
        <v>380</v>
      </c>
      <c r="D66" s="32">
        <f>IF(388.17367="","-",388.17367/2629613.24498*100)</f>
        <v>1.4761625906054194E-2</v>
      </c>
      <c r="E66" s="32">
        <f>IF(1825.34961="","-",1825.34961/2346453.7023*100)</f>
        <v>7.7791844271667812E-2</v>
      </c>
      <c r="F66" s="32">
        <f>IF(OR(1572223.23546="",562.95087="",388.17367=""),"-",(388.17367-562.95087)/1572223.23546*100)</f>
        <v>-1.1116563860529881E-2</v>
      </c>
      <c r="G66" s="32">
        <f>IF(OR(2629613.24498="",1825.34961="",388.17367=""),"-",(1825.34961-388.17367)/2629613.24498*100)</f>
        <v>5.4653510083416505E-2</v>
      </c>
    </row>
    <row r="67" spans="1:7" s="2" customFormat="1" x14ac:dyDescent="0.25">
      <c r="A67" s="19" t="s">
        <v>312</v>
      </c>
      <c r="B67" s="20">
        <v>1634.3365799999999</v>
      </c>
      <c r="C67" s="32" t="s">
        <v>381</v>
      </c>
      <c r="D67" s="32">
        <f>IF(48.74235="","-",48.74235/2629613.24498*100)</f>
        <v>1.8535938732834728E-3</v>
      </c>
      <c r="E67" s="32">
        <f>IF(1634.33658="","-",1634.33658/2346453.7023*100)</f>
        <v>6.9651345705138729E-2</v>
      </c>
      <c r="F67" s="32">
        <f>IF(OR(1572223.23546="",2085.50385="",48.74235=""),"-",(48.74235-2085.50385)/1572223.23546*100)</f>
        <v>-0.1295465843566474</v>
      </c>
      <c r="G67" s="32">
        <f>IF(OR(2629613.24498="",1634.33658="",48.74235=""),"-",(1634.33658-48.74235)/2629613.24498*100)</f>
        <v>6.0297621067544459E-2</v>
      </c>
    </row>
    <row r="68" spans="1:7" s="2" customFormat="1" x14ac:dyDescent="0.25">
      <c r="A68" s="19" t="s">
        <v>387</v>
      </c>
      <c r="B68" s="20">
        <v>1382.37166</v>
      </c>
      <c r="C68" s="32">
        <f>IF(OR(890.87203="",1382.37166=""),"-",1382.37166/890.87203*100)</f>
        <v>155.17062085785767</v>
      </c>
      <c r="D68" s="32">
        <f>IF(890.87203="","-",890.87203/2629613.24498*100)</f>
        <v>3.3878443215963332E-2</v>
      </c>
      <c r="E68" s="32">
        <f>IF(1382.37166="","-",1382.37166/2346453.7023*100)</f>
        <v>5.8913229723859269E-2</v>
      </c>
      <c r="F68" s="32">
        <f>IF(OR(1572223.23546="",831.21191="",890.87203=""),"-",(890.87203-831.21191)/1572223.23546*100)</f>
        <v>3.7946341622756064E-3</v>
      </c>
      <c r="G68" s="32">
        <f>IF(OR(2629613.24498="",1382.37166="",890.87203=""),"-",(1382.37166-890.87203)/2629613.24498*100)</f>
        <v>1.8690947459223731E-2</v>
      </c>
    </row>
    <row r="69" spans="1:7" x14ac:dyDescent="0.25">
      <c r="A69" s="73" t="s">
        <v>68</v>
      </c>
      <c r="B69" s="21">
        <v>1148.4405999999999</v>
      </c>
      <c r="C69" s="32">
        <f>IF(OR(1044.76299="",1148.4406=""),"-",1148.4406/1044.76299*100)</f>
        <v>109.92355309217071</v>
      </c>
      <c r="D69" s="32">
        <f>IF(1044.76299="","-",1044.76299/2629613.24498*100)</f>
        <v>3.9730671116540793E-2</v>
      </c>
      <c r="E69" s="32">
        <f>IF(1148.4406="","-",1148.4406/2346453.7023*100)</f>
        <v>4.8943671842930268E-2</v>
      </c>
      <c r="F69" s="32">
        <f>IF(OR(1572223.23546="",460.17578="",1044.76299=""),"-",(1044.76299-460.17578)/1572223.23546*100)</f>
        <v>3.7182201408501751E-2</v>
      </c>
      <c r="G69" s="32">
        <f>IF(OR(2629613.24498="",1148.4406="",1044.76299=""),"-",(1148.4406-1044.76299)/2629613.24498*100)</f>
        <v>3.9426942421256521E-3</v>
      </c>
    </row>
    <row r="70" spans="1:7" x14ac:dyDescent="0.25">
      <c r="A70" s="19" t="s">
        <v>73</v>
      </c>
      <c r="B70" s="20">
        <v>1098.37329</v>
      </c>
      <c r="C70" s="32">
        <f>IF(OR(1144.46381="",1098.37329=""),"-",1098.37329/1144.46381*100)</f>
        <v>95.972741156402321</v>
      </c>
      <c r="D70" s="32">
        <f>IF(1144.46381="","-",1144.46381/2629613.24498*100)</f>
        <v>4.3522134374125589E-2</v>
      </c>
      <c r="E70" s="32">
        <f>IF(1098.37329="","-",1098.37329/2346453.7023*100)</f>
        <v>4.6809928059666023E-2</v>
      </c>
      <c r="F70" s="32">
        <f>IF(OR(1572223.23546="",1652.35113="",1144.46381=""),"-",(1144.46381-1652.35113)/1572223.23546*100)</f>
        <v>-3.2303766319253177E-2</v>
      </c>
      <c r="G70" s="32">
        <f>IF(OR(2629613.24498="",1098.37329="",1144.46381=""),"-",(1098.37329-1144.46381)/2629613.24498*100)</f>
        <v>-1.7527490055044396E-3</v>
      </c>
    </row>
    <row r="71" spans="1:7" x14ac:dyDescent="0.25">
      <c r="A71" s="19" t="s">
        <v>58</v>
      </c>
      <c r="B71" s="20">
        <v>1064.0140799999999</v>
      </c>
      <c r="C71" s="32" t="s">
        <v>382</v>
      </c>
      <c r="D71" s="32">
        <f>IF(144.99583="","-",144.99583/2629613.24498*100)</f>
        <v>5.5139602858633617E-3</v>
      </c>
      <c r="E71" s="32">
        <f>IF(1064.01408="","-",1064.01408/2346453.7023*100)</f>
        <v>4.5345624290692402E-2</v>
      </c>
      <c r="F71" s="32">
        <f>IF(OR(1572223.23546="",824.19585="",144.99583=""),"-",(144.99583-824.19585)/1572223.23546*100)</f>
        <v>-4.3199973431335283E-2</v>
      </c>
      <c r="G71" s="32">
        <f>IF(OR(2629613.24498="",1064.01408="",144.99583=""),"-",(1064.01408-144.99583)/2629613.24498*100)</f>
        <v>3.4948799096385354E-2</v>
      </c>
    </row>
    <row r="72" spans="1:7" x14ac:dyDescent="0.25">
      <c r="A72" s="73" t="s">
        <v>82</v>
      </c>
      <c r="B72" s="21">
        <v>1028.06881</v>
      </c>
      <c r="C72" s="32" t="s">
        <v>383</v>
      </c>
      <c r="D72" s="32">
        <f>IF(195.09679="","-",195.09679/2629613.24498*100)</f>
        <v>7.4192199317692376E-3</v>
      </c>
      <c r="E72" s="32">
        <f>IF(1028.06881="","-",1028.06881/2346453.7023*100)</f>
        <v>4.3813726603353996E-2</v>
      </c>
      <c r="F72" s="32">
        <f>IF(OR(1572223.23546="",164.12449="",195.09679=""),"-",(195.09679-164.12449)/1572223.23546*100)</f>
        <v>1.9699683417373063E-3</v>
      </c>
      <c r="G72" s="32">
        <f>IF(OR(2629613.24498="",1028.06881="",195.09679=""),"-",(1028.06881-195.09679)/2629613.24498*100)</f>
        <v>3.1676598130548864E-2</v>
      </c>
    </row>
    <row r="73" spans="1:7" x14ac:dyDescent="0.25">
      <c r="A73" s="19" t="s">
        <v>74</v>
      </c>
      <c r="B73" s="20">
        <v>865.82650000000001</v>
      </c>
      <c r="C73" s="32">
        <f>IF(OR(1090.07651="",865.8265=""),"-",865.8265/1090.07651*100)</f>
        <v>79.428048587158344</v>
      </c>
      <c r="D73" s="32">
        <f>IF(1090.07651="","-",1090.07651/2629613.24498*100)</f>
        <v>4.1453872050613697E-2</v>
      </c>
      <c r="E73" s="32">
        <f>IF(865.8265="","-",865.8265/2346453.7023*100)</f>
        <v>3.689936431097339E-2</v>
      </c>
      <c r="F73" s="32">
        <f>IF(OR(1572223.23546="",191.82117="",1090.07651=""),"-",(1090.07651-191.82117)/1572223.23546*100)</f>
        <v>5.7132811660628405E-2</v>
      </c>
      <c r="G73" s="32">
        <f>IF(OR(2629613.24498="",865.8265="",1090.07651=""),"-",(865.8265-1090.07651)/2629613.24498*100)</f>
        <v>-8.5278704169937988E-3</v>
      </c>
    </row>
    <row r="74" spans="1:7" x14ac:dyDescent="0.25">
      <c r="A74" s="19" t="s">
        <v>129</v>
      </c>
      <c r="B74" s="20">
        <v>714.31079</v>
      </c>
      <c r="C74" s="32">
        <f>IF(OR(559.4758="",714.31079=""),"-",714.31079/559.4758*100)</f>
        <v>127.67501114436048</v>
      </c>
      <c r="D74" s="32">
        <f>IF(559.4758="","-",559.4758/2629613.24498*100)</f>
        <v>2.1275972847644188E-2</v>
      </c>
      <c r="E74" s="32">
        <f>IF(714.31079="","-",714.31079/2346453.7023*100)</f>
        <v>3.0442142936799935E-2</v>
      </c>
      <c r="F74" s="32">
        <f>IF(OR(1572223.23546="",534.65498="",559.4758=""),"-",(559.4758-534.65498)/1572223.23546*100)</f>
        <v>1.5787083818754254E-3</v>
      </c>
      <c r="G74" s="32">
        <f>IF(OR(2629613.24498="",714.31079="",559.4758=""),"-",(714.31079-559.4758)/2629613.24498*100)</f>
        <v>5.8881278566566379E-3</v>
      </c>
    </row>
    <row r="75" spans="1:7" x14ac:dyDescent="0.25">
      <c r="A75" s="19" t="s">
        <v>127</v>
      </c>
      <c r="B75" s="20">
        <v>651.26964999999996</v>
      </c>
      <c r="C75" s="32" t="s">
        <v>99</v>
      </c>
      <c r="D75" s="32">
        <f>IF(405.6008="","-",405.6008/2629613.24498*100)</f>
        <v>1.5424351880425857E-2</v>
      </c>
      <c r="E75" s="32">
        <f>IF(651.26965="","-",651.26965/2346453.7023*100)</f>
        <v>2.7755486901856356E-2</v>
      </c>
      <c r="F75" s="32">
        <f>IF(OR(1572223.23546="",299.4="",405.6008=""),"-",(405.6008-299.4)/1572223.23546*100)</f>
        <v>6.7548168481893637E-3</v>
      </c>
      <c r="G75" s="32">
        <f>IF(OR(2629613.24498="",651.26965="",405.6008=""),"-",(651.26965-405.6008)/2629613.24498*100)</f>
        <v>9.3423947597232482E-3</v>
      </c>
    </row>
    <row r="76" spans="1:7" x14ac:dyDescent="0.25">
      <c r="A76" s="19" t="s">
        <v>88</v>
      </c>
      <c r="B76" s="20">
        <v>643.30025999999998</v>
      </c>
      <c r="C76" s="32" t="s">
        <v>98</v>
      </c>
      <c r="D76" s="32">
        <f>IF(383.74909="","-",383.74909/2629613.24498*100)</f>
        <v>1.459336618160815E-2</v>
      </c>
      <c r="E76" s="32">
        <f>IF(643.30026="","-",643.30026/2346453.7023*100)</f>
        <v>2.7415851391801825E-2</v>
      </c>
      <c r="F76" s="32">
        <f>IF(OR(1572223.23546="",331.85469="",383.74909=""),"-",(383.74909-331.85469)/1572223.23546*100)</f>
        <v>3.3007017597483086E-3</v>
      </c>
      <c r="G76" s="32">
        <f>IF(OR(2629613.24498="",643.30026="",383.74909=""),"-",(643.30026-383.74909)/2629613.24498*100)</f>
        <v>9.8703172603610018E-3</v>
      </c>
    </row>
    <row r="77" spans="1:7" x14ac:dyDescent="0.25">
      <c r="A77" s="19" t="s">
        <v>117</v>
      </c>
      <c r="B77" s="20">
        <v>610.51811999999995</v>
      </c>
      <c r="C77" s="32" t="s">
        <v>90</v>
      </c>
      <c r="D77" s="32">
        <f>IF(295.30431="","-",295.30431/2629613.24498*100)</f>
        <v>1.1229952182654372E-2</v>
      </c>
      <c r="E77" s="32">
        <f>IF(610.51812="","-",610.51812/2346453.7023*100)</f>
        <v>2.6018758409832185E-2</v>
      </c>
      <c r="F77" s="32">
        <f>IF(OR(1572223.23546="",336.93794="",295.30431=""),"-",(295.30431-336.93794)/1572223.23546*100)</f>
        <v>-2.6480736997770483E-3</v>
      </c>
      <c r="G77" s="32">
        <f>IF(OR(2629613.24498="",610.51812="",295.30431=""),"-",(610.51812-295.30431)/2629613.24498*100)</f>
        <v>1.1987078731130949E-2</v>
      </c>
    </row>
    <row r="78" spans="1:7" x14ac:dyDescent="0.25">
      <c r="A78" s="19" t="s">
        <v>64</v>
      </c>
      <c r="B78" s="20">
        <v>510.20247000000001</v>
      </c>
      <c r="C78" s="32">
        <f>IF(OR(3628.96099="",510.20247=""),"-",510.20247/3628.96099*100)</f>
        <v>14.059188605386469</v>
      </c>
      <c r="D78" s="32">
        <f>IF(3628.96099="","-",3628.96099/2629613.24498*100)</f>
        <v>0.1380036017436321</v>
      </c>
      <c r="E78" s="32">
        <f>IF(510.20247="","-",510.20247/2346453.7023*100)</f>
        <v>2.1743555796557939E-2</v>
      </c>
      <c r="F78" s="32">
        <f>IF(OR(1572223.23546="",764.88569="",3628.96099=""),"-",(3628.96099-764.88569)/1572223.23546*100)</f>
        <v>0.18216721616902137</v>
      </c>
      <c r="G78" s="32">
        <f>IF(OR(2629613.24498="",510.20247="",3628.96099=""),"-",(510.20247-3628.96099)/2629613.24498*100)</f>
        <v>-0.11860141509226844</v>
      </c>
    </row>
    <row r="79" spans="1:7" x14ac:dyDescent="0.25">
      <c r="A79" s="19" t="s">
        <v>92</v>
      </c>
      <c r="B79" s="20">
        <v>462.51195999999999</v>
      </c>
      <c r="C79" s="32" t="s">
        <v>350</v>
      </c>
      <c r="D79" s="32">
        <f>IF(74.70979="","-",74.70979/2629613.24498*100)</f>
        <v>2.841094223366228E-3</v>
      </c>
      <c r="E79" s="32">
        <f>IF(462.51196="","-",462.51196/2346453.7023*100)</f>
        <v>1.9711105296756744E-2</v>
      </c>
      <c r="F79" s="32">
        <f>IF(OR(1572223.23546="",28.60973="",74.70979=""),"-",(74.70979-28.60973)/1572223.23546*100)</f>
        <v>2.9321574036216347E-3</v>
      </c>
      <c r="G79" s="32">
        <f>IF(OR(2629613.24498="",462.51196="",74.70979=""),"-",(462.51196-74.70979)/2629613.24498*100)</f>
        <v>1.4747498353239756E-2</v>
      </c>
    </row>
    <row r="80" spans="1:7" x14ac:dyDescent="0.25">
      <c r="A80" s="19" t="s">
        <v>83</v>
      </c>
      <c r="B80" s="20">
        <v>443.81004000000001</v>
      </c>
      <c r="C80" s="32">
        <f>IF(OR(449.41926="",443.81004=""),"-",443.81004/449.41926*100)</f>
        <v>98.751895946782525</v>
      </c>
      <c r="D80" s="32">
        <f>IF(449.41926="","-",449.41926/2629613.24498*100)</f>
        <v>1.7090698065882998E-2</v>
      </c>
      <c r="E80" s="32">
        <f>IF(443.81004="","-",443.81004/2346453.7023*100)</f>
        <v>1.8914076146696449E-2</v>
      </c>
      <c r="F80" s="32">
        <f>IF(OR(1572223.23546="",27.5959="",449.41926=""),"-",(449.41926-27.5959)/1572223.23546*100)</f>
        <v>2.6829737055538625E-2</v>
      </c>
      <c r="G80" s="32">
        <f>IF(OR(2629613.24498="",443.81004="",449.41926=""),"-",(443.81004-449.41926)/2629613.24498*100)</f>
        <v>-2.1330969528344672E-4</v>
      </c>
    </row>
    <row r="81" spans="1:7" x14ac:dyDescent="0.25">
      <c r="A81" s="19" t="s">
        <v>300</v>
      </c>
      <c r="B81" s="20">
        <v>430.84858000000003</v>
      </c>
      <c r="C81" s="32" t="s">
        <v>384</v>
      </c>
      <c r="D81" s="32">
        <f>IF(20.2905="","-",20.2905/2629613.24498*100)</f>
        <v>7.7161537114764291E-4</v>
      </c>
      <c r="E81" s="32">
        <f>IF(430.84858="","-",430.84858/2346453.7023*100)</f>
        <v>1.8361691073541367E-2</v>
      </c>
      <c r="F81" s="32">
        <f>IF(OR(1572223.23546="",88.39442="",20.2905=""),"-",(20.2905-88.39442)/1572223.23546*100)</f>
        <v>-4.331695300258947E-3</v>
      </c>
      <c r="G81" s="32">
        <f>IF(OR(2629613.24498="",430.84858="",20.2905=""),"-",(430.84858-20.2905)/2629613.24498*100)</f>
        <v>1.5612869336727219E-2</v>
      </c>
    </row>
    <row r="82" spans="1:7" x14ac:dyDescent="0.25">
      <c r="A82" s="19" t="s">
        <v>67</v>
      </c>
      <c r="B82" s="20">
        <v>400.20361000000003</v>
      </c>
      <c r="C82" s="32" t="s">
        <v>319</v>
      </c>
      <c r="D82" s="32">
        <f>IF(39.67116="","-",39.67116/2629613.24498*100)</f>
        <v>1.5086309774159099E-3</v>
      </c>
      <c r="E82" s="32">
        <f>IF(400.20361="","-",400.20361/2346453.7023*100)</f>
        <v>1.7055678942555712E-2</v>
      </c>
      <c r="F82" s="32" t="str">
        <f>IF(OR(1572223.23546="",""="",39.67116=""),"-",(39.67116-"")/1572223.23546*100)</f>
        <v>-</v>
      </c>
      <c r="G82" s="32">
        <f>IF(OR(2629613.24498="",400.20361="",39.67116=""),"-",(400.20361-39.67116)/2629613.24498*100)</f>
        <v>1.3710474370642368E-2</v>
      </c>
    </row>
    <row r="83" spans="1:7" x14ac:dyDescent="0.25">
      <c r="A83" s="19" t="s">
        <v>33</v>
      </c>
      <c r="B83" s="20">
        <v>387.64580000000001</v>
      </c>
      <c r="C83" s="32">
        <f>IF(OR(1920.18139="",387.6458=""),"-",387.6458/1920.18139*100)</f>
        <v>20.187978178457403</v>
      </c>
      <c r="D83" s="32">
        <f>IF(1920.18139="","-",1920.18139/2629613.24498*100)</f>
        <v>7.3021437417296109E-2</v>
      </c>
      <c r="E83" s="32">
        <f>IF(387.6458="","-",387.6458/2346453.7023*100)</f>
        <v>1.6520496424882732E-2</v>
      </c>
      <c r="F83" s="32">
        <f>IF(OR(1572223.23546="",624.49878="",1920.18139=""),"-",(1920.18139-624.49878)/1572223.23546*100)</f>
        <v>8.2410854945856968E-2</v>
      </c>
      <c r="G83" s="32">
        <f>IF(OR(2629613.24498="",387.6458="",1920.18139=""),"-",(387.6458-1920.18139)/2629613.24498*100)</f>
        <v>-5.8279885565896437E-2</v>
      </c>
    </row>
    <row r="84" spans="1:7" x14ac:dyDescent="0.25">
      <c r="A84" s="19" t="s">
        <v>97</v>
      </c>
      <c r="B84" s="20">
        <v>306.99659000000003</v>
      </c>
      <c r="C84" s="32">
        <f>IF(OR(1465.32775="",306.99659=""),"-",306.99659/1465.32775*100)</f>
        <v>20.950711538766672</v>
      </c>
      <c r="D84" s="32">
        <f>IF(1465.32775="","-",1465.32775/2629613.24498*100)</f>
        <v>5.5724078542627849E-2</v>
      </c>
      <c r="E84" s="32">
        <f>IF(306.99659="","-",306.99659/2346453.7023*100)</f>
        <v>1.3083428396608941E-2</v>
      </c>
      <c r="F84" s="32">
        <f>IF(OR(1572223.23546="",341.76294="",1465.32775=""),"-",(1465.32775-341.76294)/1572223.23546*100)</f>
        <v>7.1463440092924713E-2</v>
      </c>
      <c r="G84" s="32">
        <f>IF(OR(2629613.24498="",306.99659="",1465.32775=""),"-",(306.99659-1465.32775)/2629613.24498*100)</f>
        <v>-4.4049487589526107E-2</v>
      </c>
    </row>
    <row r="85" spans="1:7" x14ac:dyDescent="0.25">
      <c r="A85" s="19" t="s">
        <v>284</v>
      </c>
      <c r="B85" s="20">
        <v>300.54252000000002</v>
      </c>
      <c r="C85" s="32">
        <f>IF(OR(322.09022="",300.54252=""),"-",300.54252/322.09022*100)</f>
        <v>93.310042136641101</v>
      </c>
      <c r="D85" s="32">
        <f>IF(322.09022="","-",322.09022/2629613.24498*100)</f>
        <v>1.2248577642163866E-2</v>
      </c>
      <c r="E85" s="32">
        <f>IF(300.54252="","-",300.54252/2346453.7023*100)</f>
        <v>1.2808372042687543E-2</v>
      </c>
      <c r="F85" s="32">
        <f>IF(OR(1572223.23546="",446.12179="",322.09022=""),"-",(322.09022-446.12179)/1572223.23546*100)</f>
        <v>-7.8889286968024542E-3</v>
      </c>
      <c r="G85" s="32">
        <f>IF(OR(2629613.24498="",300.54252="",322.09022=""),"-",(300.54252-322.09022)/2629613.24498*100)</f>
        <v>-8.1942468312156107E-4</v>
      </c>
    </row>
    <row r="86" spans="1:7" x14ac:dyDescent="0.25">
      <c r="A86" s="19" t="s">
        <v>36</v>
      </c>
      <c r="B86" s="20">
        <v>291.93711999999999</v>
      </c>
      <c r="C86" s="32">
        <f>IF(OR(1007.20889="",291.93712=""),"-",291.93712/1007.20889*100)</f>
        <v>28.984764024471627</v>
      </c>
      <c r="D86" s="32">
        <f>IF(1007.20889="","-",1007.20889/2629613.24498*100)</f>
        <v>3.8302548556248261E-2</v>
      </c>
      <c r="E86" s="32">
        <f>IF(291.93712="","-",291.93712/2346453.7023*100)</f>
        <v>1.2441631373925788E-2</v>
      </c>
      <c r="F86" s="32">
        <f>IF(OR(1572223.23546="",520.55085="",1007.20889=""),"-",(1007.20889-520.55085)/1572223.23546*100)</f>
        <v>3.0953494963303598E-2</v>
      </c>
      <c r="G86" s="32">
        <f>IF(OR(2629613.24498="",291.93712="",1007.20889=""),"-",(291.93712-1007.20889)/2629613.24498*100)</f>
        <v>-2.7200645241861044E-2</v>
      </c>
    </row>
    <row r="87" spans="1:7" x14ac:dyDescent="0.25">
      <c r="A87" s="73" t="s">
        <v>293</v>
      </c>
      <c r="B87" s="21">
        <v>280.44384000000002</v>
      </c>
      <c r="C87" s="32" t="str">
        <f>IF(OR(""="",280.44384=""),"-",280.44384/""*100)</f>
        <v>-</v>
      </c>
      <c r="D87" s="32" t="str">
        <f>IF(""="","-",""/2629613.24498*100)</f>
        <v>-</v>
      </c>
      <c r="E87" s="32">
        <f>IF(280.44384="","-",280.44384/2346453.7023*100)</f>
        <v>1.1951816467766154E-2</v>
      </c>
      <c r="F87" s="32" t="str">
        <f>IF(OR(1572223.23546="",""="",""=""),"-",(""-"")/1572223.23546*100)</f>
        <v>-</v>
      </c>
      <c r="G87" s="32" t="str">
        <f>IF(OR(2629613.24498="",280.44384="",""=""),"-",(280.44384-"")/2629613.24498*100)</f>
        <v>-</v>
      </c>
    </row>
    <row r="88" spans="1:7" x14ac:dyDescent="0.25">
      <c r="A88" s="19" t="s">
        <v>79</v>
      </c>
      <c r="B88" s="20">
        <v>276.72251999999997</v>
      </c>
      <c r="C88" s="32">
        <f>IF(OR(227.87202="",276.72252=""),"-",276.72252/227.87202*100)</f>
        <v>121.43769120930247</v>
      </c>
      <c r="D88" s="32">
        <f>IF(227.87202="","-",227.87202/2629613.24498*100)</f>
        <v>8.665609683667877E-3</v>
      </c>
      <c r="E88" s="32">
        <f>IF(276.72252="","-",276.72252/2346453.7023*100)</f>
        <v>1.1793223097849996E-2</v>
      </c>
      <c r="F88" s="32">
        <f>IF(OR(1572223.23546="",378.75375="",227.87202=""),"-",(227.87202-378.75375)/1572223.23546*100)</f>
        <v>-9.5967116244694839E-3</v>
      </c>
      <c r="G88" s="32">
        <f>IF(OR(2629613.24498="",276.72252="",227.87202=""),"-",(276.72252-227.87202)/2629613.24498*100)</f>
        <v>1.8577066453881329E-3</v>
      </c>
    </row>
    <row r="89" spans="1:7" x14ac:dyDescent="0.25">
      <c r="A89" s="19" t="s">
        <v>66</v>
      </c>
      <c r="B89" s="20">
        <v>252.12608</v>
      </c>
      <c r="C89" s="32" t="s">
        <v>385</v>
      </c>
      <c r="D89" s="32">
        <f>IF(15.38301="","-",15.38301/2629613.24498*100)</f>
        <v>5.84991349179069E-4</v>
      </c>
      <c r="E89" s="32">
        <f>IF(252.12608="","-",252.12608/2346453.7023*100)</f>
        <v>1.0744984218221112E-2</v>
      </c>
      <c r="F89" s="32">
        <f>IF(OR(1572223.23546="",190.19476="",15.38301=""),"-",(15.38301-190.19476)/1572223.23546*100)</f>
        <v>-1.1118761385615425E-2</v>
      </c>
      <c r="G89" s="32">
        <f>IF(OR(2629613.24498="",252.12608="",15.38301=""),"-",(252.12608-15.38301)/2629613.24498*100)</f>
        <v>9.0029615743664453E-3</v>
      </c>
    </row>
    <row r="90" spans="1:7" x14ac:dyDescent="0.25">
      <c r="A90" s="19" t="s">
        <v>193</v>
      </c>
      <c r="B90" s="20">
        <v>248.91123999999999</v>
      </c>
      <c r="C90" s="32">
        <f>IF(OR(421.91856="",248.91124=""),"-",248.91124/421.91856*100)</f>
        <v>58.995091374980035</v>
      </c>
      <c r="D90" s="32">
        <f>IF(421.91856="","-",421.91856/2629613.24498*100)</f>
        <v>1.6044890282076785E-2</v>
      </c>
      <c r="E90" s="32">
        <f>IF(248.91124="","-",248.91124/2346453.7023*100)</f>
        <v>1.0607975761721468E-2</v>
      </c>
      <c r="F90" s="32">
        <f>IF(OR(1572223.23546="",381.39219="",421.91856=""),"-",(421.91856-381.39219)/1572223.23546*100)</f>
        <v>2.5776473140687816E-3</v>
      </c>
      <c r="G90" s="32">
        <f>IF(OR(2629613.24498="",248.91124="",421.91856=""),"-",(248.91124-421.91856)/2629613.24498*100)</f>
        <v>-6.5791925991502929E-3</v>
      </c>
    </row>
    <row r="91" spans="1:7" x14ac:dyDescent="0.25">
      <c r="A91" s="19" t="s">
        <v>122</v>
      </c>
      <c r="B91" s="20">
        <v>246.1285</v>
      </c>
      <c r="C91" s="32">
        <f>IF(OR(243.38135="",246.1285=""),"-",246.1285/243.38135*100)</f>
        <v>101.12874301995613</v>
      </c>
      <c r="D91" s="32">
        <f>IF(243.38135="","-",243.38135/2629613.24498*100)</f>
        <v>9.2554047810879149E-3</v>
      </c>
      <c r="E91" s="32">
        <f>IF(246.1285="","-",246.1285/2346453.7023*100)</f>
        <v>1.0489382328692197E-2</v>
      </c>
      <c r="F91" s="32">
        <f>IF(OR(1572223.23546="",324.97647="",243.38135=""),"-",(243.38135-324.97647)/1572223.23546*100)</f>
        <v>-5.1897922737496605E-3</v>
      </c>
      <c r="G91" s="32">
        <f>IF(OR(2629613.24498="",246.1285="",243.38135=""),"-",(246.1285-243.38135)/2629613.24498*100)</f>
        <v>1.0446973543521601E-4</v>
      </c>
    </row>
    <row r="92" spans="1:7" x14ac:dyDescent="0.25">
      <c r="A92" s="19" t="s">
        <v>87</v>
      </c>
      <c r="B92" s="20">
        <v>243.54893999999999</v>
      </c>
      <c r="C92" s="32" t="s">
        <v>333</v>
      </c>
      <c r="D92" s="32">
        <f>IF(4.61762="","-",4.61762/2629613.24498*100)</f>
        <v>1.7560072793271621E-4</v>
      </c>
      <c r="E92" s="32">
        <f>IF(243.54894="","-",243.54894/2346453.7023*100)</f>
        <v>1.0379447920121871E-2</v>
      </c>
      <c r="F92" s="32">
        <f>IF(OR(1572223.23546="",0.73254="",4.61762=""),"-",(4.61762-0.73254)/1572223.23546*100)</f>
        <v>2.4710740258607775E-4</v>
      </c>
      <c r="G92" s="32">
        <f>IF(OR(2629613.24498="",243.54894="",4.61762=""),"-",(243.54894-4.61762)/2629613.24498*100)</f>
        <v>9.0861772337101701E-3</v>
      </c>
    </row>
    <row r="93" spans="1:7" x14ac:dyDescent="0.25">
      <c r="A93" s="73" t="s">
        <v>326</v>
      </c>
      <c r="B93" s="21">
        <v>215.64302000000001</v>
      </c>
      <c r="C93" s="32">
        <f>IF(OR(176.90536="",215.64302=""),"-",215.64302/176.90536*100)</f>
        <v>121.89739191622007</v>
      </c>
      <c r="D93" s="32">
        <f>IF(176.90536="","-",176.90536/2629613.24498*100)</f>
        <v>6.727428846721735E-3</v>
      </c>
      <c r="E93" s="32">
        <f>IF(215.64302="","-",215.64302/2346453.7023*100)</f>
        <v>9.1901672634165411E-3</v>
      </c>
      <c r="F93" s="32">
        <f>IF(OR(1572223.23546="",211.45377="",176.90536=""),"-",(176.90536-211.45377)/1572223.23546*100)</f>
        <v>-2.1974239548680783E-3</v>
      </c>
      <c r="G93" s="32">
        <f>IF(OR(2629613.24498="",215.64302="",176.90536=""),"-",(215.64302-176.90536)/2629613.24498*100)</f>
        <v>1.4731314604515019E-3</v>
      </c>
    </row>
    <row r="94" spans="1:7" x14ac:dyDescent="0.25">
      <c r="A94" s="19" t="s">
        <v>91</v>
      </c>
      <c r="B94" s="20">
        <v>207.12123</v>
      </c>
      <c r="C94" s="32">
        <f>IF(OR(757.70305="",207.12123=""),"-",207.12123/757.70305*100)</f>
        <v>27.335409300516872</v>
      </c>
      <c r="D94" s="32">
        <f>IF(757.70305="","-",757.70305/2629613.24498*100)</f>
        <v>2.8814239183137472E-2</v>
      </c>
      <c r="E94" s="32">
        <f>IF(207.12123="","-",207.12123/2346453.7023*100)</f>
        <v>8.8269898441626707E-3</v>
      </c>
      <c r="F94" s="32">
        <f>IF(OR(1572223.23546="",231.46488="",757.70305=""),"-",(757.70305-231.46488)/1572223.23546*100)</f>
        <v>3.3470957439834144E-2</v>
      </c>
      <c r="G94" s="32">
        <f>IF(OR(2629613.24498="",207.12123="",757.70305=""),"-",(207.12123-757.70305)/2629613.24498*100)</f>
        <v>-2.0937748965596938E-2</v>
      </c>
    </row>
    <row r="95" spans="1:7" x14ac:dyDescent="0.25">
      <c r="A95" s="19" t="s">
        <v>96</v>
      </c>
      <c r="B95" s="20">
        <v>204.33663000000001</v>
      </c>
      <c r="C95" s="32" t="s">
        <v>90</v>
      </c>
      <c r="D95" s="32">
        <f>IF(97.9432="","-",97.9432/2629613.24498*100)</f>
        <v>3.7246237706999737E-3</v>
      </c>
      <c r="E95" s="32">
        <f>IF(204.33663="","-",204.33663/2346453.7023*100)</f>
        <v>8.7083171425759963E-3</v>
      </c>
      <c r="F95" s="32">
        <f>IF(OR(1572223.23546="",275.38569="",97.9432=""),"-",(97.9432-275.38569)/1572223.23546*100)</f>
        <v>-1.1286087496861347E-2</v>
      </c>
      <c r="G95" s="32">
        <f>IF(OR(2629613.24498="",204.33663="",97.9432=""),"-",(204.33663-97.9432)/2629613.24498*100)</f>
        <v>4.0459725476021165E-3</v>
      </c>
    </row>
    <row r="96" spans="1:7" x14ac:dyDescent="0.25">
      <c r="A96" s="19" t="s">
        <v>315</v>
      </c>
      <c r="B96" s="20">
        <v>188.77838</v>
      </c>
      <c r="C96" s="32" t="s">
        <v>344</v>
      </c>
      <c r="D96" s="32">
        <f>IF(39.44747="","-",39.44747/2629613.24498*100)</f>
        <v>1.5001244032865383E-3</v>
      </c>
      <c r="E96" s="32">
        <f>IF(188.77838="","-",188.77838/2346453.7023*100)</f>
        <v>8.0452633612569883E-3</v>
      </c>
      <c r="F96" s="32">
        <f>IF(OR(1572223.23546="",20.75161="",39.44747=""),"-",(39.44747-20.75161)/1572223.23546*100)</f>
        <v>1.1891352053787693E-3</v>
      </c>
      <c r="G96" s="32">
        <f>IF(OR(2629613.24498="",188.77838="",39.44747=""),"-",(188.77838-39.44747)/2629613.24498*100)</f>
        <v>5.6788164679759112E-3</v>
      </c>
    </row>
    <row r="97" spans="1:7" x14ac:dyDescent="0.25">
      <c r="A97" s="19" t="s">
        <v>296</v>
      </c>
      <c r="B97" s="20">
        <v>175.10164</v>
      </c>
      <c r="C97" s="32" t="str">
        <f>IF(OR(""="",175.10164=""),"-",175.10164/""*100)</f>
        <v>-</v>
      </c>
      <c r="D97" s="32" t="str">
        <f>IF(""="","-",""/2629613.24498*100)</f>
        <v>-</v>
      </c>
      <c r="E97" s="32">
        <f>IF(175.10164="","-",175.10164/2346453.7023*100)</f>
        <v>7.4623948398540715E-3</v>
      </c>
      <c r="F97" s="32" t="str">
        <f>IF(OR(1572223.23546="",""="",""=""),"-",(""-"")/1572223.23546*100)</f>
        <v>-</v>
      </c>
      <c r="G97" s="32" t="str">
        <f>IF(OR(2629613.24498="",175.10164="",""=""),"-",(175.10164-"")/2629613.24498*100)</f>
        <v>-</v>
      </c>
    </row>
    <row r="98" spans="1:7" x14ac:dyDescent="0.25">
      <c r="A98" s="19" t="s">
        <v>113</v>
      </c>
      <c r="B98" s="20">
        <v>173.79048</v>
      </c>
      <c r="C98" s="32">
        <f>IF(OR(220.46897="",173.79048=""),"-",173.79048/220.46897*100)</f>
        <v>78.827637286099716</v>
      </c>
      <c r="D98" s="32">
        <f>IF(220.46897="","-",220.46897/2629613.24498*100)</f>
        <v>8.384083492919768E-3</v>
      </c>
      <c r="E98" s="32">
        <f>IF(173.79048="","-",173.79048/2346453.7023*100)</f>
        <v>7.4065164733337855E-3</v>
      </c>
      <c r="F98" s="32">
        <f>IF(OR(1572223.23546="",312.1341="",220.46897=""),"-",(220.46897-312.1341)/1572223.23546*100)</f>
        <v>-5.8302871966639429E-3</v>
      </c>
      <c r="G98" s="32">
        <f>IF(OR(2629613.24498="",173.79048="",220.46897=""),"-",(173.79048-220.46897)/2629613.24498*100)</f>
        <v>-1.7751085673572136E-3</v>
      </c>
    </row>
    <row r="99" spans="1:7" x14ac:dyDescent="0.25">
      <c r="A99" s="19" t="s">
        <v>101</v>
      </c>
      <c r="B99" s="20">
        <v>171.25586999999999</v>
      </c>
      <c r="C99" s="32">
        <f>IF(OR(379.47044="",171.25587=""),"-",171.25587/379.47044*100)</f>
        <v>45.130226744407281</v>
      </c>
      <c r="D99" s="32">
        <f>IF(379.47044="","-",379.47044/2629613.24498*100)</f>
        <v>1.4430655942443965E-2</v>
      </c>
      <c r="E99" s="32">
        <f>IF(171.25587="","-",171.25587/2346453.7023*100)</f>
        <v>7.298497721567424E-3</v>
      </c>
      <c r="F99" s="32">
        <f>IF(OR(1572223.23546="",100.60856="",379.47044=""),"-",(379.47044-100.60856)/1572223.23546*100)</f>
        <v>1.7736786590513066E-2</v>
      </c>
      <c r="G99" s="32">
        <f>IF(OR(2629613.24498="",171.25587="",379.47044=""),"-",(171.25587-379.47044)/2629613.24498*100)</f>
        <v>-7.9180681949137209E-3</v>
      </c>
    </row>
    <row r="100" spans="1:7" x14ac:dyDescent="0.25">
      <c r="A100" s="73" t="s">
        <v>314</v>
      </c>
      <c r="B100" s="21">
        <v>164.60524000000001</v>
      </c>
      <c r="C100" s="32" t="s">
        <v>298</v>
      </c>
      <c r="D100" s="32">
        <f>IF(39.53341="","-",39.53341/2629613.24498*100)</f>
        <v>1.5033925644948097E-3</v>
      </c>
      <c r="E100" s="32">
        <f>IF(164.60524="","-",164.60524/2346453.7023*100)</f>
        <v>7.0150644710634405E-3</v>
      </c>
      <c r="F100" s="32" t="str">
        <f>IF(OR(1572223.23546="",""="",39.53341=""),"-",(39.53341-"")/1572223.23546*100)</f>
        <v>-</v>
      </c>
      <c r="G100" s="32">
        <f>IF(OR(2629613.24498="",164.60524="",39.53341=""),"-",(164.60524-39.53341)/2629613.24498*100)</f>
        <v>4.7562823255003521E-3</v>
      </c>
    </row>
    <row r="101" spans="1:7" x14ac:dyDescent="0.25">
      <c r="A101" s="19" t="s">
        <v>327</v>
      </c>
      <c r="B101" s="20">
        <v>163.33998</v>
      </c>
      <c r="C101" s="32" t="str">
        <f>IF(OR(""="",163.33998=""),"-",163.33998/""*100)</f>
        <v>-</v>
      </c>
      <c r="D101" s="32" t="str">
        <f>IF(""="","-",""/2629613.24498*100)</f>
        <v>-</v>
      </c>
      <c r="E101" s="32">
        <f>IF(163.33998="","-",163.33998/2346453.7023*100)</f>
        <v>6.961142247975902E-3</v>
      </c>
      <c r="F101" s="32" t="str">
        <f>IF(OR(1572223.23546="",""="",""=""),"-",(""-"")/1572223.23546*100)</f>
        <v>-</v>
      </c>
      <c r="G101" s="32" t="str">
        <f>IF(OR(2629613.24498="",163.33998="",""=""),"-",(163.33998-"")/2629613.24498*100)</f>
        <v>-</v>
      </c>
    </row>
    <row r="102" spans="1:7" x14ac:dyDescent="0.25">
      <c r="A102" s="19" t="s">
        <v>93</v>
      </c>
      <c r="B102" s="20">
        <v>158.86600999999999</v>
      </c>
      <c r="C102" s="32">
        <f>IF(OR(117.22409="",158.86601=""),"-",158.86601/117.22409*100)</f>
        <v>135.52334677965936</v>
      </c>
      <c r="D102" s="32">
        <f>IF(117.22409="","-",117.22409/2629613.24498*100)</f>
        <v>4.4578452829055308E-3</v>
      </c>
      <c r="E102" s="32">
        <f>IF(158.86601="","-",158.86601/2346453.7023*100)</f>
        <v>6.7704728136881252E-3</v>
      </c>
      <c r="F102" s="32">
        <f>IF(OR(1572223.23546="",102.5224="",117.22409=""),"-",(117.22409-102.5224)/1572223.23546*100)</f>
        <v>9.3508922069190687E-4</v>
      </c>
      <c r="G102" s="32">
        <f>IF(OR(2629613.24498="",158.86601="",117.22409=""),"-",(158.86601-117.22409)/2629613.24498*100)</f>
        <v>1.5835758387472186E-3</v>
      </c>
    </row>
    <row r="103" spans="1:7" x14ac:dyDescent="0.25">
      <c r="A103" s="73" t="s">
        <v>282</v>
      </c>
      <c r="B103" s="21">
        <v>153.45167000000001</v>
      </c>
      <c r="C103" s="32">
        <f>IF(OR(224.11318="",153.45167=""),"-",153.45167/224.11318*100)</f>
        <v>68.470613821105928</v>
      </c>
      <c r="D103" s="32">
        <f>IF(224.11318="","-",224.11318/2629613.24498*100)</f>
        <v>8.5226669902061791E-3</v>
      </c>
      <c r="E103" s="32">
        <f>IF(153.45167="","-",153.45167/2346453.7023*100)</f>
        <v>6.539727157181336E-3</v>
      </c>
      <c r="F103" s="32">
        <f>IF(OR(1572223.23546="",341.76138="",224.11318=""),"-",(224.11318-341.76138)/1572223.23546*100)</f>
        <v>-7.4829195591667071E-3</v>
      </c>
      <c r="G103" s="32">
        <f>IF(OR(2629613.24498="",153.45167="",224.11318=""),"-",(153.45167-224.11318)/2629613.24498*100)</f>
        <v>-2.6871445880832347E-3</v>
      </c>
    </row>
    <row r="104" spans="1:7" x14ac:dyDescent="0.25">
      <c r="A104" s="73" t="s">
        <v>328</v>
      </c>
      <c r="B104" s="21">
        <v>147.19999999999999</v>
      </c>
      <c r="C104" s="32" t="s">
        <v>350</v>
      </c>
      <c r="D104" s="32">
        <f>IF(23.58668="","-",23.58668/2629613.24498*100)</f>
        <v>8.9696384230751743E-4</v>
      </c>
      <c r="E104" s="32">
        <f>IF(147.2="","-",147.2/2346453.7023*100)</f>
        <v>6.2732965860657795E-3</v>
      </c>
      <c r="F104" s="32">
        <f>IF(OR(1572223.23546="",60.504="",23.58668=""),"-",(23.58668-60.504)/1572223.23546*100)</f>
        <v>-2.3480965786133257E-3</v>
      </c>
      <c r="G104" s="32">
        <f>IF(OR(2629613.24498="",147.2="",23.58668=""),"-",(147.2-23.58668)/2629613.24498*100)</f>
        <v>4.7008175151224624E-3</v>
      </c>
    </row>
    <row r="105" spans="1:7" x14ac:dyDescent="0.25">
      <c r="A105" s="73" t="s">
        <v>306</v>
      </c>
      <c r="B105" s="21">
        <v>142.07771</v>
      </c>
      <c r="C105" s="32" t="s">
        <v>297</v>
      </c>
      <c r="D105" s="32">
        <f>IF(38.47538="","-",38.47538/2629613.24498*100)</f>
        <v>1.4631573701361028E-3</v>
      </c>
      <c r="E105" s="32">
        <f>IF(142.07771="","-",142.07771/2346453.7023*100)</f>
        <v>6.0549973715967658E-3</v>
      </c>
      <c r="F105" s="32">
        <f>IF(OR(1572223.23546="",79.75893="",38.47538=""),"-",(38.47538-79.75893)/1572223.23546*100)</f>
        <v>-2.6258071416888386E-3</v>
      </c>
      <c r="G105" s="32">
        <f>IF(OR(2629613.24498="",142.07771="",38.47538=""),"-",(142.07771-38.47538)/2629613.24498*100)</f>
        <v>3.9398314637249235E-3</v>
      </c>
    </row>
    <row r="106" spans="1:7" x14ac:dyDescent="0.25">
      <c r="A106" s="19" t="s">
        <v>292</v>
      </c>
      <c r="B106" s="20">
        <v>116.55495999999999</v>
      </c>
      <c r="C106" s="32" t="s">
        <v>288</v>
      </c>
      <c r="D106" s="32">
        <f>IF(44.76309="","-",44.76309/2629613.24498*100)</f>
        <v>1.7022689585798939E-3</v>
      </c>
      <c r="E106" s="32">
        <f>IF(116.55496="","-",116.55496/2346453.7023*100)</f>
        <v>4.9672814718548473E-3</v>
      </c>
      <c r="F106" s="32">
        <f>IF(OR(1572223.23546="",83.75028="",44.76309=""),"-",(44.76309-83.75028)/1572223.23546*100)</f>
        <v>-2.479749002602239E-3</v>
      </c>
      <c r="G106" s="32">
        <f>IF(OR(2629613.24498="",116.55496="",44.76309=""),"-",(116.55496-44.76309)/2629613.24498*100)</f>
        <v>2.730130377045086E-3</v>
      </c>
    </row>
    <row r="107" spans="1:7" x14ac:dyDescent="0.25">
      <c r="A107" s="19" t="s">
        <v>305</v>
      </c>
      <c r="B107" s="20">
        <v>92.894900000000007</v>
      </c>
      <c r="C107" s="32">
        <f>IF(OR(117.96092="",92.8949=""),"-",92.8949/117.96092*100)</f>
        <v>78.750572647280137</v>
      </c>
      <c r="D107" s="32">
        <f>IF(117.96092="","-",117.96092/2629613.24498*100)</f>
        <v>4.4858657532696293E-3</v>
      </c>
      <c r="E107" s="32">
        <f>IF(92.8949="","-",92.8949/2346453.7023*100)</f>
        <v>3.9589487706040904E-3</v>
      </c>
      <c r="F107" s="32">
        <f>IF(OR(1572223.23546="",1.47513="",117.96092=""),"-",(117.96092-1.47513)/1572223.23546*100)</f>
        <v>7.4089854018674819E-3</v>
      </c>
      <c r="G107" s="32">
        <f>IF(OR(2629613.24498="",92.8949="",117.96092=""),"-",(92.8949-117.96092)/2629613.24498*100)</f>
        <v>-9.5322078438156931E-4</v>
      </c>
    </row>
    <row r="108" spans="1:7" x14ac:dyDescent="0.25">
      <c r="A108" s="19" t="s">
        <v>304</v>
      </c>
      <c r="B108" s="20">
        <v>79.2239</v>
      </c>
      <c r="C108" s="32" t="s">
        <v>386</v>
      </c>
      <c r="D108" s="32">
        <f>IF(0.6="","-",0.6/2629613.24498*100)</f>
        <v>2.2817043576480896E-5</v>
      </c>
      <c r="E108" s="32">
        <f>IF(79.2239="","-",79.2239/2346453.7023*100)</f>
        <v>3.3763248736740263E-3</v>
      </c>
      <c r="F108" s="32" t="str">
        <f>IF(OR(1572223.23546="",""="",0.6=""),"-",(0.6-"")/1572223.23546*100)</f>
        <v>-</v>
      </c>
      <c r="G108" s="32">
        <f>IF(OR(2629613.24498="",79.2239="",0.6=""),"-",(79.2239-0.6)/2629613.24498*100)</f>
        <v>2.9899415874214612E-3</v>
      </c>
    </row>
    <row r="109" spans="1:7" x14ac:dyDescent="0.25">
      <c r="A109" s="73" t="s">
        <v>388</v>
      </c>
      <c r="B109" s="21">
        <v>64.380799999999994</v>
      </c>
      <c r="C109" s="32" t="s">
        <v>188</v>
      </c>
      <c r="D109" s="32">
        <f>IF(35.35="","-",35.35/2629613.24498*100)</f>
        <v>1.3443041507143331E-3</v>
      </c>
      <c r="E109" s="32">
        <f>IF(64.3808="","-",64.3808/2346453.7023*100)</f>
        <v>2.7437490003273351E-3</v>
      </c>
      <c r="F109" s="32" t="str">
        <f>IF(OR(1572223.23546="",""="",35.35=""),"-",(35.35-"")/1572223.23546*100)</f>
        <v>-</v>
      </c>
      <c r="G109" s="32">
        <f>IF(OR(2629613.24498="",64.3808="",35.35=""),"-",(64.3808-35.35)/2629613.24498*100)</f>
        <v>1.1039950477668358E-3</v>
      </c>
    </row>
    <row r="110" spans="1:7" x14ac:dyDescent="0.25">
      <c r="A110" s="73" t="s">
        <v>86</v>
      </c>
      <c r="B110" s="21">
        <v>51.875329999999998</v>
      </c>
      <c r="C110" s="32">
        <f>IF(OR(1591.76102="",51.87533=""),"-",51.87533/1591.76102*100)</f>
        <v>3.2589898450962189</v>
      </c>
      <c r="D110" s="32">
        <f>IF(1591.76102="","-",1591.76102/2629613.24498*100)</f>
        <v>6.0532134261139466E-2</v>
      </c>
      <c r="E110" s="32">
        <f>IF(51.87533="","-",51.87533/2346453.7023*100)</f>
        <v>2.2107970828127428E-3</v>
      </c>
      <c r="F110" s="32">
        <f>IF(OR(1572223.23546="",233.5663="",1591.76102=""),"-",(1591.76102-233.5663)/1572223.23546*100)</f>
        <v>8.6386887648471897E-2</v>
      </c>
      <c r="G110" s="32">
        <f>IF(OR(2629613.24498="",51.87533="",1591.76102=""),"-",(51.87533-1591.76102)/2629613.24498*100)</f>
        <v>-5.8559398152548917E-2</v>
      </c>
    </row>
    <row r="111" spans="1:7" x14ac:dyDescent="0.25">
      <c r="A111" s="33" t="s">
        <v>307</v>
      </c>
      <c r="B111" s="71">
        <v>50.55</v>
      </c>
      <c r="C111" s="35" t="str">
        <f>IF(OR(""="",50.55=""),"-",50.55/""*100)</f>
        <v>-</v>
      </c>
      <c r="D111" s="35" t="str">
        <f>IF(""="","-",""/2629613.24498*100)</f>
        <v>-</v>
      </c>
      <c r="E111" s="35">
        <f>IF(50.55="","-",50.55/2346453.7023*100)</f>
        <v>2.1543148262610405E-3</v>
      </c>
      <c r="F111" s="35" t="str">
        <f>IF(OR(1572223.23546="",""="",""=""),"-",(""-"")/1572223.23546*100)</f>
        <v>-</v>
      </c>
      <c r="G111" s="35" t="str">
        <f>IF(OR(2629613.24498="",50.55="",""=""),"-",(50.55-"")/2629613.24498*100)</f>
        <v>-</v>
      </c>
    </row>
    <row r="112" spans="1:7" s="28" customFormat="1" ht="11.25" x14ac:dyDescent="0.2">
      <c r="A112" s="10" t="s">
        <v>269</v>
      </c>
      <c r="B112" s="11"/>
      <c r="C112" s="12"/>
      <c r="D112" s="11"/>
      <c r="E112" s="11"/>
      <c r="F112" s="27"/>
      <c r="G112" s="27"/>
    </row>
    <row r="113" spans="1:7" s="28" customFormat="1" ht="11.25" x14ac:dyDescent="0.2">
      <c r="A113" s="75" t="s">
        <v>329</v>
      </c>
      <c r="B113" s="75"/>
      <c r="C113" s="75"/>
      <c r="D113" s="75"/>
      <c r="E113" s="75"/>
      <c r="F113" s="27"/>
      <c r="G113" s="27"/>
    </row>
  </sheetData>
  <mergeCells count="7">
    <mergeCell ref="A113:E113"/>
    <mergeCell ref="A1:G1"/>
    <mergeCell ref="A3:A4"/>
    <mergeCell ref="B3:C3"/>
    <mergeCell ref="D3:E3"/>
    <mergeCell ref="F3:G3"/>
    <mergeCell ref="A2:G2"/>
  </mergeCells>
  <phoneticPr fontId="3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N127"/>
  <sheetViews>
    <sheetView zoomScaleNormal="100" workbookViewId="0">
      <selection sqref="A1:G1"/>
    </sheetView>
  </sheetViews>
  <sheetFormatPr defaultRowHeight="15.75" x14ac:dyDescent="0.25"/>
  <cols>
    <col min="1" max="1" width="29" customWidth="1"/>
    <col min="2" max="2" width="11.75" customWidth="1"/>
    <col min="3" max="3" width="11.125" customWidth="1"/>
    <col min="4" max="5" width="8.375" customWidth="1"/>
    <col min="6" max="6" width="10.625" customWidth="1"/>
    <col min="7" max="7" width="10.25" customWidth="1"/>
    <col min="9" max="9" width="10.25" bestFit="1" customWidth="1"/>
  </cols>
  <sheetData>
    <row r="1" spans="1:14" x14ac:dyDescent="0.25">
      <c r="A1" s="86" t="s">
        <v>336</v>
      </c>
      <c r="B1" s="86"/>
      <c r="C1" s="86"/>
      <c r="D1" s="86"/>
      <c r="E1" s="86"/>
      <c r="F1" s="86"/>
      <c r="G1" s="86"/>
    </row>
    <row r="2" spans="1:14" x14ac:dyDescent="0.25">
      <c r="A2" s="87"/>
      <c r="B2" s="87"/>
      <c r="C2" s="87"/>
      <c r="D2" s="87"/>
      <c r="E2" s="87"/>
      <c r="F2" s="87"/>
      <c r="G2" s="87"/>
    </row>
    <row r="3" spans="1:14" ht="54" customHeight="1" x14ac:dyDescent="0.25">
      <c r="A3" s="77"/>
      <c r="B3" s="79" t="s">
        <v>358</v>
      </c>
      <c r="C3" s="80"/>
      <c r="D3" s="81" t="s">
        <v>102</v>
      </c>
      <c r="E3" s="82"/>
      <c r="F3" s="83" t="s">
        <v>352</v>
      </c>
      <c r="G3" s="84"/>
    </row>
    <row r="4" spans="1:14" ht="37.5" x14ac:dyDescent="0.25">
      <c r="A4" s="78"/>
      <c r="B4" s="15" t="s">
        <v>94</v>
      </c>
      <c r="C4" s="14" t="s">
        <v>374</v>
      </c>
      <c r="D4" s="15" t="s">
        <v>359</v>
      </c>
      <c r="E4" s="15" t="s">
        <v>360</v>
      </c>
      <c r="F4" s="15" t="s">
        <v>363</v>
      </c>
      <c r="G4" s="13" t="s">
        <v>364</v>
      </c>
    </row>
    <row r="5" spans="1:14" s="26" customFormat="1" ht="12.75" x14ac:dyDescent="0.2">
      <c r="A5" s="36" t="s">
        <v>111</v>
      </c>
      <c r="B5" s="63">
        <v>5010773.7227100004</v>
      </c>
      <c r="C5" s="43">
        <f>IF(5111634.66749="","-",5010773.72271/5111634.66749*100)</f>
        <v>98.026835810049661</v>
      </c>
      <c r="D5" s="43">
        <v>100</v>
      </c>
      <c r="E5" s="43">
        <v>100</v>
      </c>
      <c r="F5" s="43">
        <f>IF(3828107.2484="","-",(5111634.66749-3828107.2484)/3828107.2484*100)</f>
        <v>33.529034998339313</v>
      </c>
      <c r="G5" s="43">
        <f>IF(5111634.66749="","-",(5010773.72271-5111634.66749)/5111634.66749*100)</f>
        <v>-1.9731641899503347</v>
      </c>
      <c r="I5" s="37"/>
      <c r="J5" s="37"/>
      <c r="K5" s="37"/>
      <c r="L5" s="37"/>
      <c r="M5" s="37"/>
      <c r="N5" s="37"/>
    </row>
    <row r="6" spans="1:14" s="1" customFormat="1" ht="15" x14ac:dyDescent="0.25">
      <c r="A6" s="30" t="s">
        <v>114</v>
      </c>
      <c r="B6" s="70"/>
      <c r="C6" s="16"/>
      <c r="D6" s="16"/>
      <c r="E6" s="16"/>
      <c r="F6" s="16"/>
      <c r="G6" s="16"/>
    </row>
    <row r="7" spans="1:14" ht="16.5" customHeight="1" x14ac:dyDescent="0.25">
      <c r="A7" s="17" t="s">
        <v>123</v>
      </c>
      <c r="B7" s="18">
        <v>2451125.7525800001</v>
      </c>
      <c r="C7" s="31">
        <f>IF(2362948.0132="","-",2451125.75258/2362948.0132*100)</f>
        <v>103.73168342627169</v>
      </c>
      <c r="D7" s="31">
        <f>IF(2362948.0132="","-",2362948.0132/5111634.66749*100)</f>
        <v>46.22685631718462</v>
      </c>
      <c r="E7" s="31">
        <f>IF(2451125.75258="","-",2451125.75258/5010773.72271*100)</f>
        <v>48.917111173288944</v>
      </c>
      <c r="F7" s="31">
        <f>IF(3828107.2484="","-",(2362948.0132-1807649.41432)/3828107.2484*100)</f>
        <v>14.505826583413858</v>
      </c>
      <c r="G7" s="31">
        <f>IF(5111634.66749="","-",(2451125.75258-2362948.0132)/5111634.66749*100)</f>
        <v>1.7250399356747979</v>
      </c>
    </row>
    <row r="8" spans="1:14" x14ac:dyDescent="0.25">
      <c r="A8" s="19" t="s">
        <v>1</v>
      </c>
      <c r="B8" s="21">
        <v>780796.48820999998</v>
      </c>
      <c r="C8" s="32">
        <f>IF(OR(849882.02282="",780796.48821=""),"-",780796.48821/849882.02282*100)</f>
        <v>91.871161790107436</v>
      </c>
      <c r="D8" s="32">
        <f>IF(849882.02282="","-",849882.02282/5111634.66749*100)</f>
        <v>16.626423406689259</v>
      </c>
      <c r="E8" s="32">
        <f>IF(780796.48821="","-",780796.48821/5010773.72271*100)</f>
        <v>15.582353772457283</v>
      </c>
      <c r="F8" s="32">
        <f>IF(OR(3828107.2484="",482162.54002="",849882.02282=""),"-",(849882.02282-482162.54002)/3828107.2484*100)</f>
        <v>9.6057779717037022</v>
      </c>
      <c r="G8" s="32">
        <f>IF(OR(5111634.66749="",780796.48821="",849882.02282=""),"-",(780796.48821-849882.02282)/5111634.66749*100)</f>
        <v>-1.351535058821477</v>
      </c>
    </row>
    <row r="9" spans="1:14" s="2" customFormat="1" x14ac:dyDescent="0.25">
      <c r="A9" s="19" t="s">
        <v>3</v>
      </c>
      <c r="B9" s="21">
        <v>354352.29519999999</v>
      </c>
      <c r="C9" s="32">
        <f>IF(OR(334203.61579="",354352.2952=""),"-",354352.2952/334203.61579*100)</f>
        <v>106.0288633808979</v>
      </c>
      <c r="D9" s="32">
        <f>IF(334203.61579="","-",334203.61579/5111634.66749*100)</f>
        <v>6.5380966663274132</v>
      </c>
      <c r="E9" s="32">
        <f>IF(354352.2952="","-",354352.2952/5010773.72271*100)</f>
        <v>7.0718079643866654</v>
      </c>
      <c r="F9" s="32">
        <f>IF(OR(3828107.2484="",317476.95548="",334203.61579=""),"-",(334203.61579-317476.95548)/3828107.2484*100)</f>
        <v>0.43694335671998474</v>
      </c>
      <c r="G9" s="32">
        <f>IF(OR(5111634.66749="",354352.2952="",334203.61579=""),"-",(354352.2952-334203.61579)/5111634.66749*100)</f>
        <v>0.39417291572391894</v>
      </c>
    </row>
    <row r="10" spans="1:14" s="2" customFormat="1" x14ac:dyDescent="0.25">
      <c r="A10" s="19" t="s">
        <v>2</v>
      </c>
      <c r="B10" s="20">
        <v>277771.35015999997</v>
      </c>
      <c r="C10" s="32">
        <f>IF(OR(264036.42092="",277771.35016=""),"-",277771.35016/264036.42092*100)</f>
        <v>105.20190706726838</v>
      </c>
      <c r="D10" s="32">
        <f>IF(264036.42092="","-",264036.42092/5111634.66749*100)</f>
        <v>5.1654008569757899</v>
      </c>
      <c r="E10" s="32">
        <f>IF(277771.35016="","-",277771.35016/5010773.72271*100)</f>
        <v>5.5434822151532233</v>
      </c>
      <c r="F10" s="32">
        <f>IF(OR(3828107.2484="",259861.46776="",264036.42092=""),"-",(264036.42092-259861.46776)/3828107.2484*100)</f>
        <v>0.10906050664450356</v>
      </c>
      <c r="G10" s="32">
        <f>IF(OR(5111634.66749="",277771.35016="",264036.42092=""),"-",(277771.35016-264036.42092)/5111634.66749*100)</f>
        <v>0.26869935223176511</v>
      </c>
    </row>
    <row r="11" spans="1:14" s="2" customFormat="1" x14ac:dyDescent="0.25">
      <c r="A11" s="19" t="s">
        <v>4</v>
      </c>
      <c r="B11" s="20">
        <v>177352.27632999999</v>
      </c>
      <c r="C11" s="32">
        <f>IF(OR(171739.14154="",177352.27633=""),"-",177352.27633/171739.14154*100)</f>
        <v>103.26840738789451</v>
      </c>
      <c r="D11" s="32">
        <f>IF(171739.14154="","-",171739.14154/5111634.66749*100)</f>
        <v>3.3597694810284677</v>
      </c>
      <c r="E11" s="32">
        <f>IF(177352.27633="","-",177352.27633/5010773.72271*100)</f>
        <v>3.5394189828648206</v>
      </c>
      <c r="F11" s="32">
        <f>IF(OR(3828107.2484="",146648.40981="",171739.14154=""),"-",(171739.14154-146648.40981)/3828107.2484*100)</f>
        <v>0.65543439882691246</v>
      </c>
      <c r="G11" s="32">
        <f>IF(OR(5111634.66749="",177352.27633="",171739.14154=""),"-",(177352.27633-171739.14154)/5111634.66749*100)</f>
        <v>0.10981095393415971</v>
      </c>
    </row>
    <row r="12" spans="1:14" s="2" customFormat="1" x14ac:dyDescent="0.25">
      <c r="A12" s="19" t="s">
        <v>276</v>
      </c>
      <c r="B12" s="20">
        <v>127140.09286</v>
      </c>
      <c r="C12" s="32">
        <f>IF(OR(113983.24665="",127140.09286=""),"-",127140.09286/113983.24665*100)</f>
        <v>111.5427894858968</v>
      </c>
      <c r="D12" s="32">
        <f>IF(113983.24665="","-",113983.24665/5111634.66749*100)</f>
        <v>2.2298785821868989</v>
      </c>
      <c r="E12" s="32">
        <f>IF(127140.09286="","-",127140.09286/5010773.72271*100)</f>
        <v>2.5373345494283912</v>
      </c>
      <c r="F12" s="32">
        <f>IF(OR(3828107.2484="",98748.24532="",113983.24665=""),"-",(113983.24665-98748.24532)/3828107.2484*100)</f>
        <v>0.39797739042885066</v>
      </c>
      <c r="G12" s="32">
        <f>IF(OR(5111634.66749="",127140.09286="",113983.24665=""),"-",(127140.09286-113983.24665)/5111634.66749*100)</f>
        <v>0.25739019053293372</v>
      </c>
    </row>
    <row r="13" spans="1:14" s="2" customFormat="1" x14ac:dyDescent="0.25">
      <c r="A13" s="73" t="s">
        <v>39</v>
      </c>
      <c r="B13" s="21">
        <v>110258.02885</v>
      </c>
      <c r="C13" s="32">
        <f>IF(OR(106156.81911="",110258.02885=""),"-",110258.02885/106156.81911*100)</f>
        <v>103.86335025331752</v>
      </c>
      <c r="D13" s="32">
        <f>IF(106156.81911="","-",106156.81911/5111634.66749*100)</f>
        <v>2.0767685097911524</v>
      </c>
      <c r="E13" s="32">
        <f>IF(110258.02885="","-",110258.02885/5010773.72271*100)</f>
        <v>2.2004192356618457</v>
      </c>
      <c r="F13" s="32">
        <f>IF(OR(3828107.2484="",72900.42126="",106156.81911=""),"-",(106156.81911-72900.42126)/3828107.2484*100)</f>
        <v>0.86874258457361342</v>
      </c>
      <c r="G13" s="32">
        <f>IF(OR(5111634.66749="",110258.02885="",106156.81911=""),"-",(110258.02885-106156.81911)/5111634.66749*100)</f>
        <v>8.0232841483834957E-2</v>
      </c>
    </row>
    <row r="14" spans="1:14" s="2" customFormat="1" x14ac:dyDescent="0.25">
      <c r="A14" s="19" t="s">
        <v>280</v>
      </c>
      <c r="B14" s="20">
        <v>88334.775290000005</v>
      </c>
      <c r="C14" s="32">
        <f>IF(OR(76532.2213="",88334.77529=""),"-",88334.77529/76532.2213*100)</f>
        <v>115.42167963965785</v>
      </c>
      <c r="D14" s="32">
        <f>IF(76532.2213="","-",76532.2213/5111634.66749*100)</f>
        <v>1.4972161799188228</v>
      </c>
      <c r="E14" s="32">
        <f>IF(88334.77529="","-",88334.77529/5010773.72271*100)</f>
        <v>1.7628969132979626</v>
      </c>
      <c r="F14" s="32">
        <f>IF(OR(3828107.2484="",67335.55503="",76532.2213=""),"-",(76532.2213-67335.55503)/3828107.2484*100)</f>
        <v>0.24024055945255585</v>
      </c>
      <c r="G14" s="32">
        <f>IF(OR(5111634.66749="",88334.77529="",76532.2213=""),"-",(88334.77529-76532.2213)/5111634.66749*100)</f>
        <v>0.23089588278020437</v>
      </c>
    </row>
    <row r="15" spans="1:14" s="2" customFormat="1" x14ac:dyDescent="0.25">
      <c r="A15" s="19" t="s">
        <v>5</v>
      </c>
      <c r="B15" s="20">
        <v>85263.378190000003</v>
      </c>
      <c r="C15" s="32">
        <f>IF(OR(75451.7853="",85263.37819=""),"-",85263.37819/75451.7853*100)</f>
        <v>113.00379156170874</v>
      </c>
      <c r="D15" s="32">
        <f>IF(75451.7853="","-",75451.7853/5111634.66749*100)</f>
        <v>1.4760793798483567</v>
      </c>
      <c r="E15" s="32">
        <f>IF(85263.37819="","-",85263.37819/5010773.72271*100)</f>
        <v>1.7016010482286676</v>
      </c>
      <c r="F15" s="32">
        <f>IF(OR(3828107.2484="",45885.3969="",75451.7853=""),"-",(75451.7853-45885.3969)/3828107.2484*100)</f>
        <v>0.77235005399489798</v>
      </c>
      <c r="G15" s="32">
        <f>IF(OR(5111634.66749="",85263.37819="",75451.7853=""),"-",(85263.37819-75451.7853)/5111634.66749*100)</f>
        <v>0.19194628584084339</v>
      </c>
    </row>
    <row r="16" spans="1:14" s="2" customFormat="1" x14ac:dyDescent="0.25">
      <c r="A16" s="19" t="s">
        <v>7</v>
      </c>
      <c r="B16" s="21">
        <v>79950.946110000004</v>
      </c>
      <c r="C16" s="32" t="s">
        <v>187</v>
      </c>
      <c r="D16" s="32">
        <f>IF(36158.05437="","-",36158.05437/5111634.66749*100)</f>
        <v>0.70736773502154304</v>
      </c>
      <c r="E16" s="32">
        <f>IF(79950.94611="","-",79950.94611/5010773.72271*100)</f>
        <v>1.5955808530655373</v>
      </c>
      <c r="F16" s="32">
        <f>IF(OR(3828107.2484="",17255.95393="",36158.05437=""),"-",(36158.05437-17255.95393)/3828107.2484*100)</f>
        <v>0.49377144404458218</v>
      </c>
      <c r="G16" s="32">
        <f>IF(OR(5111634.66749="",79950.94611="",36158.05437=""),"-",(79950.94611-36158.05437)/5111634.66749*100)</f>
        <v>0.85672968802960103</v>
      </c>
    </row>
    <row r="17" spans="1:7" s="2" customFormat="1" x14ac:dyDescent="0.25">
      <c r="A17" s="73" t="s">
        <v>37</v>
      </c>
      <c r="B17" s="21">
        <v>66783.324210000006</v>
      </c>
      <c r="C17" s="32">
        <f>IF(OR(62080.84716="",66783.32421=""),"-",66783.32421/62080.84716*100)</f>
        <v>107.57476301488025</v>
      </c>
      <c r="D17" s="32">
        <f>IF(62080.84716="","-",62080.84716/5111634.66749*100)</f>
        <v>1.2145008631941994</v>
      </c>
      <c r="E17" s="32">
        <f>IF(66783.32421="","-",66783.32421/5010773.72271*100)</f>
        <v>1.3327946521975707</v>
      </c>
      <c r="F17" s="32">
        <f>IF(OR(3828107.2484="",53368.39781="",62080.84716=""),"-",(62080.84716-53368.39781)/3828107.2484*100)</f>
        <v>0.227591569009501</v>
      </c>
      <c r="G17" s="32">
        <f>IF(OR(5111634.66749="",66783.32421="",62080.84716=""),"-",(66783.32421-62080.84716)/5111634.66749*100)</f>
        <v>9.1995562200635456E-2</v>
      </c>
    </row>
    <row r="18" spans="1:7" s="2" customFormat="1" x14ac:dyDescent="0.25">
      <c r="A18" s="19" t="s">
        <v>6</v>
      </c>
      <c r="B18" s="21">
        <v>53670.36879</v>
      </c>
      <c r="C18" s="32">
        <f>IF(OR(47867.31673="",53670.36879=""),"-",53670.36879/47867.31673*100)</f>
        <v>112.12320317166022</v>
      </c>
      <c r="D18" s="32">
        <f>IF(47867.31673="","-",47867.31673/5111634.66749*100)</f>
        <v>0.93643853373239216</v>
      </c>
      <c r="E18" s="32">
        <f>IF(53670.36879="","-",53670.36879/5010773.72271*100)</f>
        <v>1.0710994301489472</v>
      </c>
      <c r="F18" s="32">
        <f>IF(OR(3828107.2484="",59050.65555="",47867.31673=""),"-",(47867.31673-59050.65555)/3828107.2484*100)</f>
        <v>-0.29213755243336526</v>
      </c>
      <c r="G18" s="32">
        <f>IF(OR(5111634.66749="",53670.36879="",47867.31673=""),"-",(53670.36879-47867.31673)/5111634.66749*100)</f>
        <v>0.1135263460220938</v>
      </c>
    </row>
    <row r="19" spans="1:7" s="2" customFormat="1" ht="15.75" customHeight="1" x14ac:dyDescent="0.25">
      <c r="A19" s="19" t="s">
        <v>285</v>
      </c>
      <c r="B19" s="20">
        <v>48348.404699999999</v>
      </c>
      <c r="C19" s="32">
        <f>IF(OR(51277.80104="",48348.4047=""),"-",48348.4047/51277.80104*100)</f>
        <v>94.287203662039104</v>
      </c>
      <c r="D19" s="32">
        <f>IF(51277.80104="","-",51277.80104/5111634.66749*100)</f>
        <v>1.0031585662044051</v>
      </c>
      <c r="E19" s="32">
        <f>IF(48348.4047="","-",48348.4047/5010773.72271*100)</f>
        <v>0.96488900468352234</v>
      </c>
      <c r="F19" s="32">
        <f>IF(OR(3828107.2484="",40395.62798="",51277.80104=""),"-",(51277.80104-40395.62798)/3828107.2484*100)</f>
        <v>0.28427032875184799</v>
      </c>
      <c r="G19" s="32">
        <f>IF(OR(5111634.66749="",48348.4047="",51277.80104=""),"-",(48348.4047-51277.80104)/5111634.66749*100)</f>
        <v>-5.7308405834066399E-2</v>
      </c>
    </row>
    <row r="20" spans="1:7" s="2" customFormat="1" x14ac:dyDescent="0.25">
      <c r="A20" s="19" t="s">
        <v>41</v>
      </c>
      <c r="B20" s="20">
        <v>48129.8508</v>
      </c>
      <c r="C20" s="32" t="s">
        <v>99</v>
      </c>
      <c r="D20" s="32">
        <f>IF(29179.6277="","-",29179.6277/5111634.66749*100)</f>
        <v>0.57084728463836532</v>
      </c>
      <c r="E20" s="32">
        <f>IF(48129.8508="","-",48129.8508/5010773.72271*100)</f>
        <v>0.96052732498903803</v>
      </c>
      <c r="F20" s="32">
        <f>IF(OR(3828107.2484="",22168.56212="",29179.6277=""),"-",(29179.6277-22168.56212)/3828107.2484*100)</f>
        <v>0.18314705218696145</v>
      </c>
      <c r="G20" s="32">
        <f>IF(OR(5111634.66749="",48129.8508="",29179.6277=""),"-",(48129.8508-29179.6277)/5111634.66749*100)</f>
        <v>0.37072725913930105</v>
      </c>
    </row>
    <row r="21" spans="1:7" s="2" customFormat="1" x14ac:dyDescent="0.25">
      <c r="A21" s="19" t="s">
        <v>38</v>
      </c>
      <c r="B21" s="20">
        <v>33132.045050000001</v>
      </c>
      <c r="C21" s="32">
        <f>IF(OR(30902.70605="",33132.04505=""),"-",33132.04505/30902.70605*100)</f>
        <v>107.21405755338374</v>
      </c>
      <c r="D21" s="32">
        <f>IF(30902.70605="","-",30902.70605/5111634.66749*100)</f>
        <v>0.60455623416401871</v>
      </c>
      <c r="E21" s="32">
        <f>IF(33132.04505="","-",33132.04505/5010773.72271*100)</f>
        <v>0.66121614911161952</v>
      </c>
      <c r="F21" s="32">
        <f>IF(OR(3828107.2484="",26844.74228="",30902.70605=""),"-",(30902.70605-26844.74228)/3828107.2484*100)</f>
        <v>0.10600444310164177</v>
      </c>
      <c r="G21" s="32">
        <f>IF(OR(5111634.66749="",33132.04505="",30902.70605=""),"-",(33132.04505-30902.70605)/5111634.66749*100)</f>
        <v>4.3613034675161699E-2</v>
      </c>
    </row>
    <row r="22" spans="1:7" s="2" customFormat="1" x14ac:dyDescent="0.25">
      <c r="A22" s="19" t="s">
        <v>47</v>
      </c>
      <c r="B22" s="20">
        <v>25649.539349999999</v>
      </c>
      <c r="C22" s="32">
        <f>IF(OR(19487.95516="",25649.53935=""),"-",25649.53935/19487.95516*100)</f>
        <v>131.6173972046434</v>
      </c>
      <c r="D22" s="32">
        <f>IF(19487.95516="","-",19487.95516/5111634.66749*100)</f>
        <v>0.38124702619972844</v>
      </c>
      <c r="E22" s="32">
        <f>IF(25649.53935="","-",25649.53935/5010773.72271*100)</f>
        <v>0.5118877995577864</v>
      </c>
      <c r="F22" s="32">
        <f>IF(OR(3828107.2484="",15614.20842="",19487.95516=""),"-",(19487.95516-15614.20842)/3828107.2484*100)</f>
        <v>0.10119222081928546</v>
      </c>
      <c r="G22" s="32">
        <f>IF(OR(5111634.66749="",25649.53935="",19487.95516=""),"-",(25649.53935-19487.95516)/5111634.66749*100)</f>
        <v>0.12054038660445898</v>
      </c>
    </row>
    <row r="23" spans="1:7" s="2" customFormat="1" x14ac:dyDescent="0.25">
      <c r="A23" s="19" t="s">
        <v>48</v>
      </c>
      <c r="B23" s="20">
        <v>19199.328150000001</v>
      </c>
      <c r="C23" s="32">
        <f>IF(OR(16115.3316="",19199.32815=""),"-",19199.32815/16115.3316*100)</f>
        <v>119.13703438780001</v>
      </c>
      <c r="D23" s="32">
        <f>IF(16115.3316="","-",16115.3316/5111634.66749*100)</f>
        <v>0.31526767166076086</v>
      </c>
      <c r="E23" s="32">
        <f>IF(19199.32815="","-",19199.32815/5010773.72271*100)</f>
        <v>0.38316094903635639</v>
      </c>
      <c r="F23" s="32">
        <f>IF(OR(3828107.2484="",15950.25036="",16115.3316=""),"-",(16115.3316-15950.25036)/3828107.2484*100)</f>
        <v>4.3123462663956728E-3</v>
      </c>
      <c r="G23" s="32">
        <f>IF(OR(5111634.66749="",19199.32815="",16115.3316=""),"-",(19199.32815-16115.3316)/5111634.66749*100)</f>
        <v>6.0332882739336249E-2</v>
      </c>
    </row>
    <row r="24" spans="1:7" s="2" customFormat="1" x14ac:dyDescent="0.25">
      <c r="A24" s="19" t="s">
        <v>49</v>
      </c>
      <c r="B24" s="20">
        <v>18326.864969999999</v>
      </c>
      <c r="C24" s="32">
        <f>IF(OR(17299.35432="",18326.86497=""),"-",18326.86497/17299.35432*100)</f>
        <v>105.93958959966547</v>
      </c>
      <c r="D24" s="32">
        <f>IF(17299.35432="","-",17299.35432/5111634.66749*100)</f>
        <v>0.3384309608435811</v>
      </c>
      <c r="E24" s="32">
        <f>IF(18326.86497="","-",18326.86497/5010773.72271*100)</f>
        <v>0.36574920330044747</v>
      </c>
      <c r="F24" s="32">
        <f>IF(OR(3828107.2484="",17571.71146="",17299.35432=""),"-",(17299.35432-17571.71146)/3828107.2484*100)</f>
        <v>-7.1146684856813972E-3</v>
      </c>
      <c r="G24" s="32">
        <f>IF(OR(5111634.66749="",18326.86497="",17299.35432=""),"-",(18326.86497-17299.35432)/5111634.66749*100)</f>
        <v>2.0101410152313284E-2</v>
      </c>
    </row>
    <row r="25" spans="1:7" s="2" customFormat="1" x14ac:dyDescent="0.25">
      <c r="A25" s="19" t="s">
        <v>42</v>
      </c>
      <c r="B25" s="20">
        <v>11269.00765</v>
      </c>
      <c r="C25" s="32">
        <f>IF(OR(10506.52123="",11269.00765=""),"-",11269.00765/10506.52123*100)</f>
        <v>107.25726816049084</v>
      </c>
      <c r="D25" s="32">
        <f>IF(10506.52123="","-",10506.52123/5111634.66749*100)</f>
        <v>0.20554131727804184</v>
      </c>
      <c r="E25" s="32">
        <f>IF(11269.00765="","-",11269.00765/5010773.72271*100)</f>
        <v>0.22489556051845278</v>
      </c>
      <c r="F25" s="32">
        <f>IF(OR(3828107.2484="",8729.27277999999="",10506.52123=""),"-",(10506.52123-8729.27277999999)/3828107.2484*100)</f>
        <v>4.6426297245011378E-2</v>
      </c>
      <c r="G25" s="32">
        <f>IF(OR(5111634.66749="",11269.00765="",10506.52123=""),"-",(11269.00765-10506.52123)/5111634.66749*100)</f>
        <v>1.4916684575472763E-2</v>
      </c>
    </row>
    <row r="26" spans="1:7" s="2" customFormat="1" x14ac:dyDescent="0.25">
      <c r="A26" s="19" t="s">
        <v>46</v>
      </c>
      <c r="B26" s="20">
        <v>11198.269539999999</v>
      </c>
      <c r="C26" s="32">
        <f>IF(OR(12218.65655="",11198.26954=""),"-",11198.26954/12218.65655*100)</f>
        <v>91.648942698205232</v>
      </c>
      <c r="D26" s="32">
        <f>IF(12218.65655="","-",12218.65655/5111634.66749*100)</f>
        <v>0.23903618597218351</v>
      </c>
      <c r="E26" s="32">
        <f>IF(11198.26954="","-",11198.26954/5010773.72271*100)</f>
        <v>0.22348384021507137</v>
      </c>
      <c r="F26" s="32">
        <f>IF(OR(3828107.2484="",7938.75978="",12218.65655=""),"-",(12218.65655-7938.75978)/3828107.2484*100)</f>
        <v>0.1118019034547381</v>
      </c>
      <c r="G26" s="32">
        <f>IF(OR(5111634.66749="",11198.26954="",12218.65655=""),"-",(11198.26954-12218.65655)/5111634.66749*100)</f>
        <v>-1.9962048862561765E-2</v>
      </c>
    </row>
    <row r="27" spans="1:7" s="2" customFormat="1" x14ac:dyDescent="0.25">
      <c r="A27" s="19" t="s">
        <v>45</v>
      </c>
      <c r="B27" s="20">
        <v>10699.7287</v>
      </c>
      <c r="C27" s="32">
        <f>IF(OR(11853.17592="",10699.7287=""),"-",10699.7287/11853.17592*100)</f>
        <v>90.268876225368629</v>
      </c>
      <c r="D27" s="32">
        <f>IF(11853.17592="","-",11853.17592/5111634.66749*100)</f>
        <v>0.23188621040126767</v>
      </c>
      <c r="E27" s="32">
        <f>IF(10699.7287="","-",10699.7287/5010773.72271*100)</f>
        <v>0.21353446178394211</v>
      </c>
      <c r="F27" s="32">
        <f>IF(OR(3828107.2484="",9615.08619="",11853.17592=""),"-",(11853.17592-9615.08619)/3828107.2484*100)</f>
        <v>5.8464655893207651E-2</v>
      </c>
      <c r="G27" s="32">
        <f>IF(OR(5111634.66749="",10699.7287="",11853.17592=""),"-",(10699.7287-11853.17592)/5111634.66749*100)</f>
        <v>-2.2565134150449466E-2</v>
      </c>
    </row>
    <row r="28" spans="1:7" s="2" customFormat="1" x14ac:dyDescent="0.25">
      <c r="A28" s="19" t="s">
        <v>40</v>
      </c>
      <c r="B28" s="20">
        <v>9252.6707900000001</v>
      </c>
      <c r="C28" s="32">
        <f>IF(OR(9408.91702="",9252.67079=""),"-",9252.67079/9408.91702*100)</f>
        <v>98.33938135847221</v>
      </c>
      <c r="D28" s="32">
        <f>IF(9408.91702="","-",9408.91702/5111634.66749*100)</f>
        <v>0.184068651851055</v>
      </c>
      <c r="E28" s="32">
        <f>IF(9252.67079="","-",9252.67079/5010773.72271*100)</f>
        <v>0.18465553030392748</v>
      </c>
      <c r="F28" s="32">
        <f>IF(OR(3828107.2484="",7487.43242="",9408.91702=""),"-",(9408.91702-7487.43242)/3828107.2484*100)</f>
        <v>5.0194116186350488E-2</v>
      </c>
      <c r="G28" s="32">
        <f>IF(OR(5111634.66749="",9252.67079="",9408.91702=""),"-",(9252.67079-9408.91702)/5111634.66749*100)</f>
        <v>-3.0566783458474992E-3</v>
      </c>
    </row>
    <row r="29" spans="1:7" s="2" customFormat="1" x14ac:dyDescent="0.25">
      <c r="A29" s="19" t="s">
        <v>277</v>
      </c>
      <c r="B29" s="20">
        <v>4526.9525000000003</v>
      </c>
      <c r="C29" s="32">
        <f>IF(OR(5952.90743="",4526.9525=""),"-",4526.9525/5952.90743*100)</f>
        <v>76.046075858431422</v>
      </c>
      <c r="D29" s="32">
        <f>IF(5952.90743="","-",5952.90743/5111634.66749*100)</f>
        <v>0.11645799860973038</v>
      </c>
      <c r="E29" s="32">
        <f>IF(4526.9525="","-",4526.9525/5010773.72271*100)</f>
        <v>9.0344380938272892E-2</v>
      </c>
      <c r="F29" s="32">
        <f>IF(OR(3828107.2484="",4898.92326="",5952.90743=""),"-",(5952.90743-4898.92326)/3828107.2484*100)</f>
        <v>2.7532775379804864E-2</v>
      </c>
      <c r="G29" s="32">
        <f>IF(OR(5111634.66749="",4526.9525="",5952.90743=""),"-",(4526.9525-5952.90743)/5111634.66749*100)</f>
        <v>-2.7896260643763805E-2</v>
      </c>
    </row>
    <row r="30" spans="1:7" s="2" customFormat="1" x14ac:dyDescent="0.25">
      <c r="A30" s="19" t="s">
        <v>50</v>
      </c>
      <c r="B30" s="20">
        <v>4235.1237199999996</v>
      </c>
      <c r="C30" s="32">
        <f>IF(OR(5168.87773="",4235.12372=""),"-",4235.12372/5168.87773*100)</f>
        <v>81.935072586830174</v>
      </c>
      <c r="D30" s="32">
        <f>IF(5168.87773="","-",5168.87773/5111634.66749*100)</f>
        <v>0.10111985824953545</v>
      </c>
      <c r="E30" s="32">
        <f>IF(4235.12372="","-",4235.12372/5010773.72271*100)</f>
        <v>8.4520354627179162E-2</v>
      </c>
      <c r="F30" s="32">
        <f>IF(OR(3828107.2484="",3949.98497="",5168.87773=""),"-",(5168.87773-3949.98497)/3828107.2484*100)</f>
        <v>3.1840611584470366E-2</v>
      </c>
      <c r="G30" s="32">
        <f>IF(OR(5111634.66749="",4235.12372="",5168.87773=""),"-",(4235.12372-5168.87773)/5111634.66749*100)</f>
        <v>-1.8267228993078803E-2</v>
      </c>
    </row>
    <row r="31" spans="1:7" s="2" customFormat="1" x14ac:dyDescent="0.25">
      <c r="A31" s="19" t="s">
        <v>43</v>
      </c>
      <c r="B31" s="20">
        <v>3865.79243</v>
      </c>
      <c r="C31" s="32">
        <f>IF(OR(3262.30517="",3865.79243=""),"-",3865.79243/3262.30517*100)</f>
        <v>118.49879850449429</v>
      </c>
      <c r="D31" s="32">
        <f>IF(3262.30517="","-",3262.30517/5111634.66749*100)</f>
        <v>6.3821172329631914E-2</v>
      </c>
      <c r="E31" s="32">
        <f>IF(3865.79243="","-",3865.79243/5010773.72271*100)</f>
        <v>7.7149610897002258E-2</v>
      </c>
      <c r="F31" s="32">
        <f>IF(OR(3828107.2484="",3666.52365="",3262.30517=""),"-",(3262.30517-3666.52365)/3828107.2484*100)</f>
        <v>-1.05592255851491E-2</v>
      </c>
      <c r="G31" s="32">
        <f>IF(OR(5111634.66749="",3865.79243="",3262.30517=""),"-",(3865.79243-3262.30517)/5111634.66749*100)</f>
        <v>1.1806150072464671E-2</v>
      </c>
    </row>
    <row r="32" spans="1:7" s="2" customFormat="1" x14ac:dyDescent="0.25">
      <c r="A32" s="19" t="s">
        <v>51</v>
      </c>
      <c r="B32" s="20">
        <v>1107.9210599999999</v>
      </c>
      <c r="C32" s="32">
        <f>IF(OR(1687.77785="",1107.92106=""),"-",1107.92106/1687.77785*100)</f>
        <v>65.64377296455217</v>
      </c>
      <c r="D32" s="32">
        <f>IF(1687.77785="","-",1687.77785/5111634.66749*100)</f>
        <v>3.3018358309803875E-2</v>
      </c>
      <c r="E32" s="32">
        <f>IF(1107.92106="","-",1107.92106/5010773.72271*100)</f>
        <v>2.2110778121523272E-2</v>
      </c>
      <c r="F32" s="32">
        <f>IF(OR(3828107.2484="",1437.17903="",1687.77785=""),"-",(1687.77785-1437.17903)/3828107.2484*100)</f>
        <v>6.5462852459199127E-3</v>
      </c>
      <c r="G32" s="32">
        <f>IF(OR(5111634.66749="",1107.92106="",1687.77785=""),"-",(1107.92106-1687.77785)/5111634.66749*100)</f>
        <v>-1.1343862144293873E-2</v>
      </c>
    </row>
    <row r="33" spans="1:7" s="2" customFormat="1" x14ac:dyDescent="0.25">
      <c r="A33" s="19" t="s">
        <v>44</v>
      </c>
      <c r="B33" s="20">
        <v>484.81954999999999</v>
      </c>
      <c r="C33" s="32">
        <f>IF(OR(417.88087="",484.81955=""),"-",484.81955/417.88087*100)</f>
        <v>116.01860357953213</v>
      </c>
      <c r="D33" s="32">
        <f>IF(417.88087="","-",417.88087/5111634.66749*100)</f>
        <v>8.1750926500620755E-3</v>
      </c>
      <c r="E33" s="32">
        <f>IF(484.81955="","-",484.81955/5010773.72271*100)</f>
        <v>9.6755426772253596E-3</v>
      </c>
      <c r="F33" s="32">
        <f>IF(OR(3828107.2484="",587.97601="",417.88087=""),"-",(417.88087-587.97601)/3828107.2484*100)</f>
        <v>-4.4433222206899537E-3</v>
      </c>
      <c r="G33" s="32">
        <f>IF(OR(5111634.66749="",484.81955="",417.88087=""),"-",(484.81955-417.88087)/5111634.66749*100)</f>
        <v>1.3095356838729111E-3</v>
      </c>
    </row>
    <row r="34" spans="1:7" s="2" customFormat="1" x14ac:dyDescent="0.25">
      <c r="A34" s="19" t="s">
        <v>52</v>
      </c>
      <c r="B34" s="20">
        <v>23.33633</v>
      </c>
      <c r="C34" s="32">
        <f>IF(OR(41.14133="",23.33633=""),"-",23.33633/41.14133*100)</f>
        <v>56.722351951188742</v>
      </c>
      <c r="D34" s="32">
        <f>IF(41.14133="","-",41.14133/5111634.66749*100)</f>
        <v>8.048566197748617E-4</v>
      </c>
      <c r="E34" s="32">
        <f>IF(23.33633="","-",23.33633/5010773.72271*100)</f>
        <v>4.6572308572295507E-4</v>
      </c>
      <c r="F34" s="32">
        <f>IF(OR(3828107.2484="",68.14103="",41.14133=""),"-",(41.14133-68.14103)/3828107.2484*100)</f>
        <v>-7.0530155630526875E-4</v>
      </c>
      <c r="G34" s="32">
        <f>IF(OR(5111634.66749="",23.33633="",41.14133=""),"-",(23.33633-41.14133)/5111634.66749*100)</f>
        <v>-3.4832301520372369E-4</v>
      </c>
    </row>
    <row r="35" spans="1:7" s="2" customFormat="1" ht="28.5" customHeight="1" x14ac:dyDescent="0.25">
      <c r="A35" s="19" t="s">
        <v>405</v>
      </c>
      <c r="B35" s="20">
        <v>2.7730899999999998</v>
      </c>
      <c r="C35" s="32">
        <f>IF(OR(75.58454="",2.77309=""),"-",2.77309/75.58454*100)</f>
        <v>3.6688587375143111</v>
      </c>
      <c r="D35" s="32">
        <f>IF(75.58454="","-",75.58454/5111634.66749*100)</f>
        <v>1.478676488378908E-3</v>
      </c>
      <c r="E35" s="32">
        <f>IF(2.77309="","-",2.77309/5010773.72271*100)</f>
        <v>5.5342550940420767E-5</v>
      </c>
      <c r="F35" s="32">
        <f>IF(OR(3828107.2484="",31.03371="",75.58454=""),"-",(75.58454-31.03371)/3828107.2484*100)</f>
        <v>1.1637821803090946E-3</v>
      </c>
      <c r="G35" s="32">
        <f>IF(OR(5111634.66749="",2.77309="",75.58454=""),"-",(2.77309-75.58454)/5111634.66749*100)</f>
        <v>-1.4244259368354488E-3</v>
      </c>
    </row>
    <row r="36" spans="1:7" s="2" customFormat="1" ht="13.5" customHeight="1" x14ac:dyDescent="0.25">
      <c r="A36" s="17" t="s">
        <v>189</v>
      </c>
      <c r="B36" s="18">
        <v>972271.86387</v>
      </c>
      <c r="C36" s="31">
        <f>IF(1321638.12262="","-",972271.86387/1321638.12262*100)</f>
        <v>73.565664248741527</v>
      </c>
      <c r="D36" s="31">
        <f>IF(1321638.12262="","-",1321638.12262/5111634.66749*100)</f>
        <v>25.855488676168886</v>
      </c>
      <c r="E36" s="31">
        <f>IF(972271.86387="","-",972271.86387/5010773.72271*100)</f>
        <v>19.403627417127943</v>
      </c>
      <c r="F36" s="31">
        <f>IF(3828107.2484="","-",(1321638.12262-885672.91932)/3828107.2484*100)</f>
        <v>11.388531590441113</v>
      </c>
      <c r="G36" s="31">
        <f>IF(5111634.66749="","-",(972271.86387-1321638.12262)/5111634.66749*100)</f>
        <v>-6.8347266867870999</v>
      </c>
    </row>
    <row r="37" spans="1:7" s="2" customFormat="1" x14ac:dyDescent="0.25">
      <c r="A37" s="19" t="s">
        <v>9</v>
      </c>
      <c r="B37" s="20">
        <v>626354.20178999996</v>
      </c>
      <c r="C37" s="32">
        <f>IF(OR(481399.06853="",626354.20179=""),"-",626354.20179/481399.06853*100)</f>
        <v>130.11122013647324</v>
      </c>
      <c r="D37" s="32">
        <f>IF(481399.06853="","-",481399.06853/5111634.66749*100)</f>
        <v>9.4177127248881547</v>
      </c>
      <c r="E37" s="32">
        <f>IF(626354.20179="","-",626354.20179/5010773.72271*100)</f>
        <v>12.500149407090886</v>
      </c>
      <c r="F37" s="32">
        <f>IF(OR(3828107.2484="",351603.79858="",481399.06853=""),"-",(481399.06853-351603.79858)/3828107.2484*100)</f>
        <v>3.3905860397262741</v>
      </c>
      <c r="G37" s="32">
        <f>IF(OR(5111634.66749="",626354.20179="",481399.06853=""),"-",(626354.20179-481399.06853)/5111634.66749*100)</f>
        <v>2.8357882104117245</v>
      </c>
    </row>
    <row r="38" spans="1:7" s="2" customFormat="1" x14ac:dyDescent="0.25">
      <c r="A38" s="19" t="s">
        <v>278</v>
      </c>
      <c r="B38" s="20">
        <v>213096.93333999999</v>
      </c>
      <c r="C38" s="32">
        <f>IF(OR(728877.4569="",213096.93334=""),"-",213096.93334/728877.4569*100)</f>
        <v>29.236318303261271</v>
      </c>
      <c r="D38" s="32">
        <f>IF(728877.4569="","-",728877.4569/5111634.66749*100)</f>
        <v>14.259185257030616</v>
      </c>
      <c r="E38" s="32">
        <f>IF(213096.93334="","-",213096.93334/5010773.72271*100)</f>
        <v>4.2527750230307699</v>
      </c>
      <c r="F38" s="32">
        <f>IF(OR(3828107.2484="",445278.03983="",728877.4569=""),"-",(728877.4569-445278.03983)/3828107.2484*100)</f>
        <v>7.4083456566827772</v>
      </c>
      <c r="G38" s="32">
        <f>IF(OR(5111634.66749="",213096.93334="",728877.4569=""),"-",(213096.93334-728877.4569)/5111634.66749*100)</f>
        <v>-10.09032446783344</v>
      </c>
    </row>
    <row r="39" spans="1:7" s="2" customFormat="1" x14ac:dyDescent="0.25">
      <c r="A39" s="19" t="s">
        <v>8</v>
      </c>
      <c r="B39" s="20">
        <v>48956.074090000002</v>
      </c>
      <c r="C39" s="32">
        <f>IF(OR(63247.35883="",48956.07409=""),"-",48956.07409/63247.35883*100)</f>
        <v>77.404139865487579</v>
      </c>
      <c r="D39" s="32">
        <f>IF(63247.35883="","-",63247.35883/5111634.66749*100)</f>
        <v>1.2373215799684052</v>
      </c>
      <c r="E39" s="32">
        <f>IF(48956.07409="","-",48956.07409/5010773.72271*100)</f>
        <v>0.97701626134342501</v>
      </c>
      <c r="F39" s="32">
        <f>IF(OR(3828107.2484="",69898.73435="",63247.35883=""),"-",(63247.35883-69898.73435)/3828107.2484*100)</f>
        <v>-0.17375102337532519</v>
      </c>
      <c r="G39" s="32">
        <f>IF(OR(5111634.66749="",48956.07409="",63247.35883=""),"-",(48956.07409-63247.35883)/5111634.66749*100)</f>
        <v>-0.27958345362380016</v>
      </c>
    </row>
    <row r="40" spans="1:7" s="2" customFormat="1" x14ac:dyDescent="0.25">
      <c r="A40" s="19" t="s">
        <v>10</v>
      </c>
      <c r="B40" s="20">
        <v>48725.470930000003</v>
      </c>
      <c r="C40" s="32" t="s">
        <v>389</v>
      </c>
      <c r="D40" s="32">
        <f>IF(11935.69402="","-",11935.69402/5111634.66749*100)</f>
        <v>0.23350052960378845</v>
      </c>
      <c r="E40" s="32">
        <f>IF(48725.47093="","-",48725.47093/5010773.72271*100)</f>
        <v>0.97241411459401472</v>
      </c>
      <c r="F40" s="32">
        <f>IF(OR(3828107.2484="",7715.8108="",11935.69402=""),"-",(11935.69402-7715.8108)/3828107.2484*100)</f>
        <v>0.11023419528707686</v>
      </c>
      <c r="G40" s="32">
        <f>IF(OR(5111634.66749="",48725.47093="",11935.69402=""),"-",(48725.47093-11935.69402)/5111634.66749*100)</f>
        <v>0.71972625790303457</v>
      </c>
    </row>
    <row r="41" spans="1:7" s="2" customFormat="1" x14ac:dyDescent="0.25">
      <c r="A41" s="19" t="s">
        <v>11</v>
      </c>
      <c r="B41" s="20">
        <v>14179.37039</v>
      </c>
      <c r="C41" s="32" t="s">
        <v>99</v>
      </c>
      <c r="D41" s="32">
        <f>IF(8787.65481="","-",8787.65481/5111634.66749*100)</f>
        <v>0.1719147666379503</v>
      </c>
      <c r="E41" s="32">
        <f>IF(14179.37039="","-",14179.37039/5010773.72271*100)</f>
        <v>0.28297766322465878</v>
      </c>
      <c r="F41" s="32">
        <f>IF(OR(3828107.2484="",971.18269="",8787.65481=""),"-",(8787.65481-971.18269)/3828107.2484*100)</f>
        <v>0.20418634099833494</v>
      </c>
      <c r="G41" s="32">
        <f>IF(OR(5111634.66749="",14179.37039="",8787.65481=""),"-",(14179.37039-8787.65481)/5111634.66749*100)</f>
        <v>0.1054792826704012</v>
      </c>
    </row>
    <row r="42" spans="1:7" s="2" customFormat="1" x14ac:dyDescent="0.25">
      <c r="A42" s="19" t="s">
        <v>13</v>
      </c>
      <c r="B42" s="20">
        <v>10612.188340000001</v>
      </c>
      <c r="C42" s="32">
        <f>IF(OR(12762.88544="",10612.18834=""),"-",10612.18834/12762.88544*100)</f>
        <v>83.148817639156064</v>
      </c>
      <c r="D42" s="32">
        <f>IF(12762.88544="","-",12762.88544/5111634.66749*100)</f>
        <v>0.24968305190454942</v>
      </c>
      <c r="E42" s="32">
        <f>IF(10612.18834="","-",10612.18834/5010773.72271*100)</f>
        <v>0.21178741901481357</v>
      </c>
      <c r="F42" s="32">
        <f>IF(OR(3828107.2484="",3436.12121="",12762.88544=""),"-",(12762.88544-3436.12121)/3828107.2484*100)</f>
        <v>0.24363905253433601</v>
      </c>
      <c r="G42" s="32">
        <f>IF(OR(5111634.66749="",10612.18834="",12762.88544=""),"-",(10612.18834-12762.88544)/5111634.66749*100)</f>
        <v>-4.2074546400556252E-2</v>
      </c>
    </row>
    <row r="43" spans="1:7" s="2" customFormat="1" x14ac:dyDescent="0.25">
      <c r="A43" s="19" t="s">
        <v>12</v>
      </c>
      <c r="B43" s="20">
        <v>5369.0759600000001</v>
      </c>
      <c r="C43" s="32">
        <f>IF(OR(10278.38711="",5369.07596=""),"-",5369.07596/10278.38711*100)</f>
        <v>52.236561072664259</v>
      </c>
      <c r="D43" s="32">
        <f>IF(10278.38711="","-",10278.38711/5111634.66749*100)</f>
        <v>0.2010782807967586</v>
      </c>
      <c r="E43" s="32">
        <f>IF(5369.07596="","-",5369.07596/5010773.72271*100)</f>
        <v>0.10715063694986045</v>
      </c>
      <c r="F43" s="32">
        <f>IF(OR(3828107.2484="",6144.2822="",10278.38711=""),"-",(10278.38711-6144.2822)/3828107.2484*100)</f>
        <v>0.10799344536984681</v>
      </c>
      <c r="G43" s="32">
        <f>IF(OR(5111634.66749="",5369.07596="",10278.38711=""),"-",(5369.07596-10278.38711)/5111634.66749*100)</f>
        <v>-9.6041901844496472E-2</v>
      </c>
    </row>
    <row r="44" spans="1:7" s="2" customFormat="1" x14ac:dyDescent="0.25">
      <c r="A44" s="19" t="s">
        <v>281</v>
      </c>
      <c r="B44" s="20">
        <v>2501.8696399999999</v>
      </c>
      <c r="C44" s="32">
        <f>IF(OR(3035.86719="",2501.86964=""),"-",2501.86964/3035.86719*100)</f>
        <v>82.410378432924787</v>
      </c>
      <c r="D44" s="32">
        <f>IF(3035.86719="","-",3035.86719/5111634.66749*100)</f>
        <v>5.93913177971837E-2</v>
      </c>
      <c r="E44" s="32">
        <f>IF(2501.86964="","-",2501.86964/5010773.72271*100)</f>
        <v>4.9929806821268748E-2</v>
      </c>
      <c r="F44" s="32">
        <f>IF(OR(3828107.2484="",140.31686="",3035.86719=""),"-",(3035.86719-140.31686)/3828107.2484*100)</f>
        <v>7.563921651385884E-2</v>
      </c>
      <c r="G44" s="32">
        <f>IF(OR(5111634.66749="",2501.86964="",3035.86719=""),"-",(2501.86964-3035.86719)/5111634.66749*100)</f>
        <v>-1.0446708044223599E-2</v>
      </c>
    </row>
    <row r="45" spans="1:7" s="2" customFormat="1" x14ac:dyDescent="0.25">
      <c r="A45" s="19" t="s">
        <v>14</v>
      </c>
      <c r="B45" s="20">
        <v>2476.6793899999998</v>
      </c>
      <c r="C45" s="32" t="s">
        <v>100</v>
      </c>
      <c r="D45" s="32">
        <f>IF(1312.13704="","-",1312.13704/5111634.66749*100)</f>
        <v>2.5669616969013698E-2</v>
      </c>
      <c r="E45" s="32">
        <f>IF(2476.67939="","-",2476.67939/5010773.72271*100)</f>
        <v>4.9427085058243773E-2</v>
      </c>
      <c r="F45" s="32">
        <f>IF(OR(3828107.2484="",470.56293="",1312.13704=""),"-",(1312.13704-470.56293)/3828107.2484*100)</f>
        <v>2.1984078694549252E-2</v>
      </c>
      <c r="G45" s="32">
        <f>IF(OR(5111634.66749="",2476.67939="",1312.13704=""),"-",(2476.67939-1312.13704)/5111634.66749*100)</f>
        <v>2.278219054672451E-2</v>
      </c>
    </row>
    <row r="46" spans="1:7" s="2" customFormat="1" x14ac:dyDescent="0.25">
      <c r="A46" s="19" t="s">
        <v>15</v>
      </c>
      <c r="B46" s="20" t="s">
        <v>294</v>
      </c>
      <c r="C46" s="32" t="str">
        <f>IF(OR(1.61275="",""=""),"-",""/1.61275*100)</f>
        <v>-</v>
      </c>
      <c r="D46" s="32">
        <f>IF(1.61275="","-",1.61275/5111634.66749*100)</f>
        <v>3.1550572466711894E-5</v>
      </c>
      <c r="E46" s="32" t="str">
        <f>IF(""="","-",""/5010773.72271*100)</f>
        <v>-</v>
      </c>
      <c r="F46" s="32">
        <f>IF(OR(3828107.2484="",14.06987="",1.61275=""),"-",(1.61275-14.06987)/3828107.2484*100)</f>
        <v>-3.2541199061772869E-4</v>
      </c>
      <c r="G46" s="32" t="str">
        <f>IF(OR(5111634.66749="",""="",1.61275=""),"-",(""-1.61275)/5111634.66749*100)</f>
        <v>-</v>
      </c>
    </row>
    <row r="47" spans="1:7" s="2" customFormat="1" x14ac:dyDescent="0.25">
      <c r="A47" s="17" t="s">
        <v>124</v>
      </c>
      <c r="B47" s="18">
        <v>1587376.10626</v>
      </c>
      <c r="C47" s="31">
        <f>IF(1427048.53167="","-",1587376.10626/1427048.53167*100)</f>
        <v>111.23490694478184</v>
      </c>
      <c r="D47" s="31">
        <f>IF(1427048.53167="","-",1427048.53167/5111634.66749*100)</f>
        <v>27.917655006646498</v>
      </c>
      <c r="E47" s="31">
        <f>IF(1587376.10626="","-",1587376.10626/5010773.72271*100)</f>
        <v>31.679261409583109</v>
      </c>
      <c r="F47" s="31">
        <f>IF(3828107.2484="","-",(1427048.53167-1134784.91476)/3828107.2484*100)</f>
        <v>7.6346768244843375</v>
      </c>
      <c r="G47" s="31">
        <f>IF(5111634.66749="","-",(1587376.10626-1427048.53167)/5111634.66749*100)</f>
        <v>3.136522561161962</v>
      </c>
    </row>
    <row r="48" spans="1:7" s="2" customFormat="1" x14ac:dyDescent="0.25">
      <c r="A48" s="19" t="s">
        <v>56</v>
      </c>
      <c r="B48" s="20">
        <v>545755.25881999999</v>
      </c>
      <c r="C48" s="32">
        <f>IF(OR(492179.87209="",545755.25882=""),"-",545755.25882/492179.87209*100)</f>
        <v>110.88532663932327</v>
      </c>
      <c r="D48" s="32">
        <f>IF(492179.87209="","-",492179.87209/5111634.66749*100)</f>
        <v>9.6286198859293357</v>
      </c>
      <c r="E48" s="32">
        <f>IF(545755.25882="","-",545755.25882/5010773.72271*100)</f>
        <v>10.891636482136667</v>
      </c>
      <c r="F48" s="32">
        <f>IF(OR(3828107.2484="",446139.83242="",492179.87209=""),"-",(492179.87209-446139.83242)/3828107.2484*100)</f>
        <v>1.2026841643280233</v>
      </c>
      <c r="G48" s="32">
        <f>IF(OR(5111634.66749="",545755.25882="",492179.87209=""),"-",(545755.25882-492179.87209)/5111634.66749*100)</f>
        <v>1.0481067254422438</v>
      </c>
    </row>
    <row r="49" spans="1:7" s="2" customFormat="1" x14ac:dyDescent="0.25">
      <c r="A49" s="19" t="s">
        <v>53</v>
      </c>
      <c r="B49" s="21">
        <v>436305.58201000001</v>
      </c>
      <c r="C49" s="32">
        <f>IF(OR(355108.94261="",436305.58201=""),"-",436305.58201/355108.94261*100)</f>
        <v>122.86527587934459</v>
      </c>
      <c r="D49" s="32">
        <f>IF(355108.94261="","-",355108.94261/5111634.66749*100)</f>
        <v>6.9470720368279277</v>
      </c>
      <c r="E49" s="32">
        <f>IF(436305.58201="","-",436305.58201/5010773.72271*100)</f>
        <v>8.7073495263328464</v>
      </c>
      <c r="F49" s="32">
        <f>IF(OR(3828107.2484="",271082.9274="",355108.94261=""),"-",(355108.94261-271082.9274)/3828107.2484*100)</f>
        <v>2.194975473717975</v>
      </c>
      <c r="G49" s="32">
        <f>IF(OR(5111634.66749="",436305.58201="",355108.94261=""),"-",(436305.58201-355108.94261)/5111634.66749*100)</f>
        <v>1.5884671867575098</v>
      </c>
    </row>
    <row r="50" spans="1:7" s="2" customFormat="1" x14ac:dyDescent="0.25">
      <c r="A50" s="19" t="s">
        <v>66</v>
      </c>
      <c r="B50" s="21">
        <v>117911.16644</v>
      </c>
      <c r="C50" s="32">
        <f>IF(OR(143648.96407="",117911.16644=""),"-",117911.16644/143648.96407*100)</f>
        <v>82.082851904551163</v>
      </c>
      <c r="D50" s="32">
        <f>IF(143648.96407="","-",143648.96407/5111634.66749*100)</f>
        <v>2.8102353437660073</v>
      </c>
      <c r="E50" s="32">
        <f>IF(117911.16644="","-",117911.16644/5010773.72271*100)</f>
        <v>2.3531528854635555</v>
      </c>
      <c r="F50" s="32">
        <f>IF(OR(3828107.2484="",26117.99526="",143648.96407=""),"-",(143648.96407-26117.99526)/3828107.2484*100)</f>
        <v>3.0702109732981846</v>
      </c>
      <c r="G50" s="32">
        <f>IF(OR(5111634.66749="",117911.16644="",143648.96407=""),"-",(117911.16644-143648.96407)/5111634.66749*100)</f>
        <v>-0.50351402837320125</v>
      </c>
    </row>
    <row r="51" spans="1:7" s="2" customFormat="1" x14ac:dyDescent="0.25">
      <c r="A51" s="19" t="s">
        <v>16</v>
      </c>
      <c r="B51" s="21">
        <v>66149.561360000007</v>
      </c>
      <c r="C51" s="32">
        <f>IF(OR(80433.26385="",66149.56136=""),"-",66149.56136/80433.26385*100)</f>
        <v>82.241548078121411</v>
      </c>
      <c r="D51" s="32">
        <f>IF(80433.26385="","-",80433.26385/5111634.66749*100)</f>
        <v>1.573533107942076</v>
      </c>
      <c r="E51" s="32">
        <f>IF(66149.56136="","-",66149.56136/5010773.72271*100)</f>
        <v>1.3201466484146889</v>
      </c>
      <c r="F51" s="32">
        <f>IF(OR(3828107.2484="",61593.8489="",80433.26385=""),"-",(80433.26385-61593.8489)/3828107.2484*100)</f>
        <v>0.49213393793693078</v>
      </c>
      <c r="G51" s="32">
        <f>IF(OR(5111634.66749="",66149.56136="",80433.26385=""),"-",(66149.56136-80433.26385)/5111634.66749*100)</f>
        <v>-0.27943512044873536</v>
      </c>
    </row>
    <row r="52" spans="1:7" s="2" customFormat="1" x14ac:dyDescent="0.25">
      <c r="A52" s="19" t="s">
        <v>72</v>
      </c>
      <c r="B52" s="21">
        <v>52970.705990000002</v>
      </c>
      <c r="C52" s="32">
        <f>IF(OR(38474.45211="",52970.70599=""),"-",52970.70599/38474.45211*100)</f>
        <v>137.6776096474477</v>
      </c>
      <c r="D52" s="32">
        <f>IF(38474.45211="","-",38474.45211/5111634.66749*100)</f>
        <v>0.75268391840867543</v>
      </c>
      <c r="E52" s="32">
        <f>IF(52970.70599="","-",52970.70599/5010773.72271*100)</f>
        <v>1.0571362612110053</v>
      </c>
      <c r="F52" s="32">
        <f>IF(OR(3828107.2484="",37469.76383="",38474.45211=""),"-",(38474.45211-37469.76383)/3828107.2484*100)</f>
        <v>2.624504003695078E-2</v>
      </c>
      <c r="G52" s="32">
        <f>IF(OR(5111634.66749="",52970.70599="",38474.45211=""),"-",(52970.70599-38474.45211)/5111634.66749*100)</f>
        <v>0.28359330865713445</v>
      </c>
    </row>
    <row r="53" spans="1:7" s="2" customFormat="1" ht="24" x14ac:dyDescent="0.25">
      <c r="A53" s="19" t="s">
        <v>377</v>
      </c>
      <c r="B53" s="21">
        <v>43762.163189999999</v>
      </c>
      <c r="C53" s="32">
        <f>IF(OR(41971.59796="",43762.16319=""),"-",43762.16319/41971.59796*100)</f>
        <v>104.26613547500969</v>
      </c>
      <c r="D53" s="32">
        <f>IF(41971.59796="","-",41971.59796/5111634.66749*100)</f>
        <v>0.82109932908428285</v>
      </c>
      <c r="E53" s="32">
        <f>IF(43762.16319="","-",43762.16319/5010773.72271*100)</f>
        <v>0.87336139310501337</v>
      </c>
      <c r="F53" s="32">
        <f>IF(OR(3828107.2484="",37232.92926="",41971.59796=""),"-",(41971.59796-37232.92926)/3828107.2484*100)</f>
        <v>0.12378620536246945</v>
      </c>
      <c r="G53" s="32">
        <f>IF(OR(5111634.66749="",43762.16319="",41971.59796=""),"-",(43762.16319-41971.59796)/5111634.66749*100)</f>
        <v>3.5029209763131085E-2</v>
      </c>
    </row>
    <row r="54" spans="1:7" s="2" customFormat="1" x14ac:dyDescent="0.25">
      <c r="A54" s="19" t="s">
        <v>33</v>
      </c>
      <c r="B54" s="20">
        <v>33733.733489999999</v>
      </c>
      <c r="C54" s="32">
        <f>IF(OR(35707.56545="",33733.73349=""),"-",33733.73349/35707.56545*100)</f>
        <v>94.472230365960158</v>
      </c>
      <c r="D54" s="32">
        <f>IF(35707.56545="","-",35707.56545/5111634.66749*100)</f>
        <v>0.69855472412964381</v>
      </c>
      <c r="E54" s="32">
        <f>IF(33733.73349="","-",33733.73349/5010773.72271*100)</f>
        <v>0.67322404396572166</v>
      </c>
      <c r="F54" s="32">
        <f>IF(OR(3828107.2484="",26615.56278="",35707.56545=""),"-",(35707.56545-26615.56278)/3828107.2484*100)</f>
        <v>0.23750647722317877</v>
      </c>
      <c r="G54" s="32">
        <f>IF(OR(5111634.66749="",33733.73349="",35707.56545=""),"-",(33733.73349-35707.56545)/5111634.66749*100)</f>
        <v>-3.861449591758926E-2</v>
      </c>
    </row>
    <row r="55" spans="1:7" s="2" customFormat="1" x14ac:dyDescent="0.25">
      <c r="A55" s="73" t="s">
        <v>68</v>
      </c>
      <c r="B55" s="21">
        <v>29052.291529999999</v>
      </c>
      <c r="C55" s="32">
        <f>IF(OR(23346.24666="",29052.29153=""),"-",29052.29153/23346.24666*100)</f>
        <v>124.440951700285</v>
      </c>
      <c r="D55" s="32">
        <f>IF(23346.24666="","-",23346.24666/5111634.66749*100)</f>
        <v>0.45672760630727671</v>
      </c>
      <c r="E55" s="32">
        <f>IF(29052.29153="","-",29052.29153/5010773.72271*100)</f>
        <v>0.57979651721905157</v>
      </c>
      <c r="F55" s="32">
        <f>IF(OR(3828107.2484="",27548.69351="",23346.24666=""),"-",(23346.24666-27548.69351)/3828107.2484*100)</f>
        <v>-0.10977871248921929</v>
      </c>
      <c r="G55" s="32">
        <f>IF(OR(5111634.66749="",29052.29153="",23346.24666=""),"-",(29052.29153-23346.24666)/5111634.66749*100)</f>
        <v>0.11162857365942928</v>
      </c>
    </row>
    <row r="56" spans="1:7" s="2" customFormat="1" x14ac:dyDescent="0.25">
      <c r="A56" s="19" t="s">
        <v>59</v>
      </c>
      <c r="B56" s="21">
        <v>24838.381949999999</v>
      </c>
      <c r="C56" s="32" t="s">
        <v>98</v>
      </c>
      <c r="D56" s="32">
        <f>IF(14896.79706="","-",14896.79706/5111634.66749*100)</f>
        <v>0.29142922037726288</v>
      </c>
      <c r="E56" s="32">
        <f>IF(24838.38195="","-",24838.38195/5010773.72271*100)</f>
        <v>0.49569953313650211</v>
      </c>
      <c r="F56" s="32">
        <f>IF(OR(3828107.2484="",7074.66142="",14896.79706=""),"-",(14896.79706-7074.66142)/3828107.2484*100)</f>
        <v>0.20433428669662662</v>
      </c>
      <c r="G56" s="32">
        <f>IF(OR(5111634.66749="",24838.38195="",14896.79706=""),"-",(24838.38195-14896.79706)/5111634.66749*100)</f>
        <v>0.19448934708163879</v>
      </c>
    </row>
    <row r="57" spans="1:7" s="2" customFormat="1" x14ac:dyDescent="0.25">
      <c r="A57" s="19" t="s">
        <v>378</v>
      </c>
      <c r="B57" s="20">
        <v>23159.040099999998</v>
      </c>
      <c r="C57" s="32">
        <f>IF(OR(21486.33821="",23159.0401=""),"-",23159.0401/21486.33821*100)</f>
        <v>107.7849556013295</v>
      </c>
      <c r="D57" s="32">
        <f>IF(21486.33821="","-",21486.33821/5111634.66749*100)</f>
        <v>0.42034182033104062</v>
      </c>
      <c r="E57" s="32">
        <f>IF(23159.0401="","-",23159.0401/5010773.72271*100)</f>
        <v>0.46218491158436881</v>
      </c>
      <c r="F57" s="32">
        <f>IF(OR(3828107.2484="",22466.67218="",21486.33821=""),"-",(21486.33821-22466.67218)/3828107.2484*100)</f>
        <v>-2.5608842866399348E-2</v>
      </c>
      <c r="G57" s="32">
        <f>IF(OR(5111634.66749="",23159.0401="",21486.33821=""),"-",(23159.0401-21486.33821)/5111634.66749*100)</f>
        <v>3.2723424086591749E-2</v>
      </c>
    </row>
    <row r="58" spans="1:7" s="2" customFormat="1" x14ac:dyDescent="0.25">
      <c r="A58" s="19" t="s">
        <v>63</v>
      </c>
      <c r="B58" s="21">
        <v>22266.519850000001</v>
      </c>
      <c r="C58" s="32">
        <f>IF(OR(22654.75359="",22266.51985=""),"-",22266.51985/22654.75359*100)</f>
        <v>98.286303408873238</v>
      </c>
      <c r="D58" s="32">
        <f>IF(22654.75359="","-",22654.75359/5111634.66749*100)</f>
        <v>0.4431997797902939</v>
      </c>
      <c r="E58" s="32">
        <f>IF(22266.51985="","-",22266.51985/5010773.72271*100)</f>
        <v>0.44437288694723759</v>
      </c>
      <c r="F58" s="32">
        <f>IF(OR(3828107.2484="",16043.9599="",22654.75359=""),"-",(22654.75359-16043.9599)/3828107.2484*100)</f>
        <v>0.17269092167579828</v>
      </c>
      <c r="G58" s="32">
        <f>IF(OR(5111634.66749="",22266.51985="",22654.75359=""),"-",(22266.51985-22654.75359)/5111634.66749*100)</f>
        <v>-7.5950995181476195E-3</v>
      </c>
    </row>
    <row r="59" spans="1:7" s="2" customFormat="1" x14ac:dyDescent="0.25">
      <c r="A59" s="19" t="s">
        <v>75</v>
      </c>
      <c r="B59" s="20">
        <v>19619.053039999999</v>
      </c>
      <c r="C59" s="32" t="s">
        <v>99</v>
      </c>
      <c r="D59" s="32">
        <f>IF(12250.27029="","-",12250.27029/5111634.66749*100)</f>
        <v>0.23965465231527064</v>
      </c>
      <c r="E59" s="32">
        <f>IF(19619.05304="","-",19619.05304/5010773.72271*100)</f>
        <v>0.39153739772925394</v>
      </c>
      <c r="F59" s="32">
        <f>IF(OR(3828107.2484="",13772.73195="",12250.27029=""),"-",(12250.27029-13772.73195)/3828107.2484*100)</f>
        <v>-3.9770611459131112E-2</v>
      </c>
      <c r="G59" s="32">
        <f>IF(OR(5111634.66749="",19619.05304="",12250.27029=""),"-",(19619.05304-12250.27029)/5111634.66749*100)</f>
        <v>0.14415706969172626</v>
      </c>
    </row>
    <row r="60" spans="1:7" s="2" customFormat="1" x14ac:dyDescent="0.25">
      <c r="A60" s="19" t="s">
        <v>282</v>
      </c>
      <c r="B60" s="21">
        <v>12405.027040000001</v>
      </c>
      <c r="C60" s="32">
        <f>IF(OR(11488.21222="",12405.02704=""),"-",12405.02704/11488.21222*100)</f>
        <v>107.98048297196239</v>
      </c>
      <c r="D60" s="32">
        <f>IF(11488.21222="","-",11488.21222/5111634.66749*100)</f>
        <v>0.22474634764227258</v>
      </c>
      <c r="E60" s="32">
        <f>IF(12405.02704="","-",12405.02704/5010773.72271*100)</f>
        <v>0.24756709694907023</v>
      </c>
      <c r="F60" s="32">
        <f>IF(OR(3828107.2484="",12440.84023="",11488.21222=""),"-",(11488.21222-12440.84023)/3828107.2484*100)</f>
        <v>-2.4885091983725429E-2</v>
      </c>
      <c r="G60" s="32">
        <f>IF(OR(5111634.66749="",12405.02704="",11488.21222=""),"-",(12405.02704-11488.21222)/5111634.66749*100)</f>
        <v>1.7935844003698943E-2</v>
      </c>
    </row>
    <row r="61" spans="1:7" s="2" customFormat="1" x14ac:dyDescent="0.25">
      <c r="A61" s="19" t="s">
        <v>60</v>
      </c>
      <c r="B61" s="20">
        <v>11037.34613</v>
      </c>
      <c r="C61" s="32" t="s">
        <v>290</v>
      </c>
      <c r="D61" s="32">
        <f>IF(3781.84181="","-",3781.84181/5111634.66749*100)</f>
        <v>7.3984978505066426E-2</v>
      </c>
      <c r="E61" s="32">
        <f>IF(11037.34613="","-",11037.34613/5010773.72271*100)</f>
        <v>0.22027229208088486</v>
      </c>
      <c r="F61" s="32">
        <f>IF(OR(3828107.2484="",4587.07578="",3781.84181=""),"-",(3781.84181-4587.07578)/3828107.2484*100)</f>
        <v>-2.1034780839448968E-2</v>
      </c>
      <c r="G61" s="32">
        <f>IF(OR(5111634.66749="",11037.34613="",3781.84181=""),"-",(11037.34613-3781.84181)/5111634.66749*100)</f>
        <v>0.14194097958809562</v>
      </c>
    </row>
    <row r="62" spans="1:7" s="2" customFormat="1" x14ac:dyDescent="0.25">
      <c r="A62" s="19" t="s">
        <v>67</v>
      </c>
      <c r="B62" s="20">
        <v>10029.723540000001</v>
      </c>
      <c r="C62" s="32">
        <f>IF(OR(7563.42127="",10029.72354=""),"-",10029.72354/7563.42127*100)</f>
        <v>132.6082890527662</v>
      </c>
      <c r="D62" s="32">
        <f>IF(7563.42127="","-",7563.42127/5111634.66749*100)</f>
        <v>0.14796482460108829</v>
      </c>
      <c r="E62" s="32">
        <f>IF(10029.72354="","-",10029.72354/5010773.72271*100)</f>
        <v>0.20016317030128392</v>
      </c>
      <c r="F62" s="32">
        <f>IF(OR(3828107.2484="",6992.38956="",7563.42127=""),"-",(7563.42127-6992.38956)/3828107.2484*100)</f>
        <v>1.4916815881756428E-2</v>
      </c>
      <c r="G62" s="32">
        <f>IF(OR(5111634.66749="",10029.72354="",7563.42127=""),"-",(10029.72354-7563.42127)/5111634.66749*100)</f>
        <v>4.8248797702341389E-2</v>
      </c>
    </row>
    <row r="63" spans="1:7" s="2" customFormat="1" x14ac:dyDescent="0.25">
      <c r="A63" s="19" t="s">
        <v>74</v>
      </c>
      <c r="B63" s="21">
        <v>8737.2993399999996</v>
      </c>
      <c r="C63" s="32">
        <f>IF(OR(8577.8243="",8737.29934=""),"-",8737.29934/8577.8243*100)</f>
        <v>101.85915489082701</v>
      </c>
      <c r="D63" s="32">
        <f>IF(8577.8243="","-",8577.8243/5111634.66749*100)</f>
        <v>0.16780980758572142</v>
      </c>
      <c r="E63" s="32">
        <f>IF(8737.29934="","-",8737.29934/5010773.72271*100)</f>
        <v>0.17437026342659442</v>
      </c>
      <c r="F63" s="32">
        <f>IF(OR(3828107.2484="",7167.72366="",8577.8243=""),"-",(8577.8243-7167.72366)/3828107.2484*100)</f>
        <v>3.6835452836107653E-2</v>
      </c>
      <c r="G63" s="32">
        <f>IF(OR(5111634.66749="",8737.29934="",8577.8243=""),"-",(8737.29934-8577.8243)/5111634.66749*100)</f>
        <v>3.1198442450173663E-3</v>
      </c>
    </row>
    <row r="64" spans="1:7" s="2" customFormat="1" x14ac:dyDescent="0.25">
      <c r="A64" s="19" t="s">
        <v>78</v>
      </c>
      <c r="B64" s="21">
        <v>7789.26746</v>
      </c>
      <c r="C64" s="32">
        <f>IF(OR(8012.96287="",7789.26746=""),"-",7789.26746/8012.96287*100)</f>
        <v>97.208330880484908</v>
      </c>
      <c r="D64" s="32">
        <f>IF(8012.96287="","-",8012.96287/5111634.66749*100)</f>
        <v>0.1567593028696368</v>
      </c>
      <c r="E64" s="32">
        <f>IF(7789.26746="","-",7789.26746/5010773.72271*100)</f>
        <v>0.15545039331345609</v>
      </c>
      <c r="F64" s="32">
        <f>IF(OR(3828107.2484="",7623.8361="",8012.96287=""),"-",(8012.96287-7623.8361)/3828107.2484*100)</f>
        <v>1.0164991332534888E-2</v>
      </c>
      <c r="G64" s="32">
        <f>IF(OR(5111634.66749="",7789.26746="",8012.96287=""),"-",(7789.26746-8012.96287)/5111634.66749*100)</f>
        <v>-4.3762010501787862E-3</v>
      </c>
    </row>
    <row r="65" spans="1:7" s="2" customFormat="1" x14ac:dyDescent="0.25">
      <c r="A65" s="19" t="s">
        <v>79</v>
      </c>
      <c r="B65" s="20">
        <v>7358.07863</v>
      </c>
      <c r="C65" s="32">
        <f>IF(OR(6536.09041="",7358.07863=""),"-",7358.07863/6536.09041*100)</f>
        <v>112.57614519441755</v>
      </c>
      <c r="D65" s="32">
        <f>IF(6536.09041="","-",6536.09041/5111634.66749*100)</f>
        <v>0.12786693171891841</v>
      </c>
      <c r="E65" s="32">
        <f>IF(7358.07863="","-",7358.07863/5010773.72271*100)</f>
        <v>0.14684515879556612</v>
      </c>
      <c r="F65" s="32">
        <f>IF(OR(3828107.2484="",5657.13028="",6536.09041=""),"-",(6536.09041-5657.13028)/3828107.2484*100)</f>
        <v>2.2960697623280294E-2</v>
      </c>
      <c r="G65" s="32">
        <f>IF(OR(5111634.66749="",7358.07863="",6536.09041=""),"-",(7358.07863-6536.09041)/5111634.66749*100)</f>
        <v>1.6080730988617904E-2</v>
      </c>
    </row>
    <row r="66" spans="1:7" s="2" customFormat="1" x14ac:dyDescent="0.25">
      <c r="A66" s="19" t="s">
        <v>70</v>
      </c>
      <c r="B66" s="21">
        <v>7272.1785200000004</v>
      </c>
      <c r="C66" s="32">
        <f>IF(OR(10655.65283="",7272.17852=""),"-",7272.17852/10655.65283*100)</f>
        <v>68.247142019547198</v>
      </c>
      <c r="D66" s="32">
        <f>IF(10655.65283="","-",10655.65283/5111634.66749*100)</f>
        <v>0.20845881059869087</v>
      </c>
      <c r="E66" s="32">
        <f>IF(7272.17852="","-",7272.17852/5010773.72271*100)</f>
        <v>0.14513085049202648</v>
      </c>
      <c r="F66" s="32">
        <f>IF(OR(3828107.2484="",6882.26124="",10655.65283=""),"-",(10655.65283-6882.26124)/3828107.2484*100)</f>
        <v>9.8570686377115788E-2</v>
      </c>
      <c r="G66" s="32">
        <f>IF(OR(5111634.66749="",7272.17852="",10655.65283=""),"-",(7272.17852-10655.65283)/5111634.66749*100)</f>
        <v>-6.6191630077143418E-2</v>
      </c>
    </row>
    <row r="67" spans="1:7" s="2" customFormat="1" x14ac:dyDescent="0.25">
      <c r="A67" s="19" t="s">
        <v>62</v>
      </c>
      <c r="B67" s="21">
        <v>7137.3671700000004</v>
      </c>
      <c r="C67" s="32">
        <f>IF(OR(5708.90883="",7137.36717=""),"-",7137.36717/5708.90883*100)</f>
        <v>125.02156511054321</v>
      </c>
      <c r="D67" s="32">
        <f>IF(5708.90883="","-",5708.90883/5111634.66749*100)</f>
        <v>0.1116846019201776</v>
      </c>
      <c r="E67" s="32">
        <f>IF(7137.36717="","-",7137.36717/5010773.72271*100)</f>
        <v>0.14244042068097748</v>
      </c>
      <c r="F67" s="32">
        <f>IF(OR(3828107.2484="",4616.48092="",5708.90883=""),"-",(5708.90883-4616.48092)/3828107.2484*100)</f>
        <v>2.8537024673396829E-2</v>
      </c>
      <c r="G67" s="32">
        <f>IF(OR(5111634.66749="",7137.36717="",5708.90883=""),"-",(7137.36717-5708.90883)/5111634.66749*100)</f>
        <v>2.7945235387908218E-2</v>
      </c>
    </row>
    <row r="68" spans="1:7" s="2" customFormat="1" x14ac:dyDescent="0.25">
      <c r="A68" s="19" t="s">
        <v>80</v>
      </c>
      <c r="B68" s="21">
        <v>6835.5894399999997</v>
      </c>
      <c r="C68" s="32">
        <f>IF(OR(6424.08964="",6835.58944=""),"-",6835.58944/6424.08964*100)</f>
        <v>106.40557375535002</v>
      </c>
      <c r="D68" s="32">
        <f>IF(6424.08964="","-",6424.08964/5111634.66749*100)</f>
        <v>0.12567583675056465</v>
      </c>
      <c r="E68" s="32">
        <f>IF(6835.58944="","-",6835.58944/5010773.72271*100)</f>
        <v>0.13641784319693998</v>
      </c>
      <c r="F68" s="32">
        <f>IF(OR(3828107.2484="",4599.42427="",6424.08964=""),"-",(6424.08964-4599.42427)/3828107.2484*100)</f>
        <v>4.7664949062298054E-2</v>
      </c>
      <c r="G68" s="32">
        <f>IF(OR(5111634.66749="",6835.58944="",6424.08964=""),"-",(6835.58944-6424.08964)/5111634.66749*100)</f>
        <v>8.0502584157107048E-3</v>
      </c>
    </row>
    <row r="69" spans="1:7" s="2" customFormat="1" x14ac:dyDescent="0.25">
      <c r="A69" s="19" t="s">
        <v>55</v>
      </c>
      <c r="B69" s="20">
        <v>6457.8769599999996</v>
      </c>
      <c r="C69" s="32" t="s">
        <v>298</v>
      </c>
      <c r="D69" s="32">
        <f>IF(1524.53868="","-",1524.53868/5111634.66749*100)</f>
        <v>2.9824875586200773E-2</v>
      </c>
      <c r="E69" s="32">
        <f>IF(6457.87696="","-",6457.87696/5010773.72271*100)</f>
        <v>0.12887983607664</v>
      </c>
      <c r="F69" s="32">
        <f>IF(OR(3828107.2484="",2354.57616="",1524.53868=""),"-",(1524.53868-2354.57616)/3828107.2484*100)</f>
        <v>-2.1682712268495701E-2</v>
      </c>
      <c r="G69" s="32">
        <f>IF(OR(5111634.66749="",6457.87696="",1524.53868=""),"-",(6457.87696-1524.53868)/5111634.66749*100)</f>
        <v>9.6511949716908269E-2</v>
      </c>
    </row>
    <row r="70" spans="1:7" s="2" customFormat="1" x14ac:dyDescent="0.25">
      <c r="A70" s="19" t="s">
        <v>116</v>
      </c>
      <c r="B70" s="21">
        <v>6032.5069400000002</v>
      </c>
      <c r="C70" s="32" t="s">
        <v>17</v>
      </c>
      <c r="D70" s="32">
        <f>IF(2951.67038="","-",2951.67038/5111634.66749*100)</f>
        <v>5.7744157632638064E-2</v>
      </c>
      <c r="E70" s="32">
        <f>IF(6032.50694="","-",6032.50694/5010773.72271*100)</f>
        <v>0.12039072753693239</v>
      </c>
      <c r="F70" s="32">
        <f>IF(OR(3828107.2484="",3300.09347="",2951.67038=""),"-",(2951.67038-3300.09347)/3828107.2484*100)</f>
        <v>-9.1017065978396261E-3</v>
      </c>
      <c r="G70" s="32">
        <f>IF(OR(5111634.66749="",6032.50694="",2951.67038=""),"-",(6032.50694-2951.67038)/5111634.66749*100)</f>
        <v>6.0271063180514887E-2</v>
      </c>
    </row>
    <row r="71" spans="1:7" s="2" customFormat="1" x14ac:dyDescent="0.25">
      <c r="A71" s="19" t="s">
        <v>58</v>
      </c>
      <c r="B71" s="21">
        <v>5697.0640899999999</v>
      </c>
      <c r="C71" s="32">
        <f>IF(OR(7209.49622="",5697.06408999999=""),"-",5697.06408999999/7209.49622*100)</f>
        <v>79.021666925847839</v>
      </c>
      <c r="D71" s="32">
        <f>IF(7209.49622="","-",7209.49622/5111634.66749*100)</f>
        <v>0.14104091330807347</v>
      </c>
      <c r="E71" s="32">
        <f>IF(5697.06408999999="","-",5697.06408999999/5010773.72271*100)</f>
        <v>0.11369629532819574</v>
      </c>
      <c r="F71" s="32">
        <f>IF(OR(3828107.2484="",9153.2938="",7209.49622=""),"-",(7209.49622-9153.2938)/3828107.2484*100)</f>
        <v>-5.0776988570851327E-2</v>
      </c>
      <c r="G71" s="32">
        <f>IF(OR(5111634.66749="",5697.06408999999="",7209.49622=""),"-",(5697.06408999999-7209.49622)/5111634.66749*100)</f>
        <v>-2.9588032564593858E-2</v>
      </c>
    </row>
    <row r="72" spans="1:7" s="2" customFormat="1" x14ac:dyDescent="0.25">
      <c r="A72" s="19" t="s">
        <v>81</v>
      </c>
      <c r="B72" s="21">
        <v>5379.6959500000003</v>
      </c>
      <c r="C72" s="32">
        <f>IF(OR(3375.88809="",5379.69595=""),"-",5379.69595/3375.88809*100)</f>
        <v>159.35646581223017</v>
      </c>
      <c r="D72" s="32">
        <f>IF(3375.88809="","-",3375.88809/5111634.66749*100)</f>
        <v>6.6043219236121289E-2</v>
      </c>
      <c r="E72" s="32">
        <f>IF(5379.69595="","-",5379.69595/5010773.72271*100)</f>
        <v>0.10736258006658649</v>
      </c>
      <c r="F72" s="32">
        <f>IF(OR(3828107.2484="",4356.28917="",3375.88809=""),"-",(3375.88809-4356.28917)/3828107.2484*100)</f>
        <v>-2.5610595952079703E-2</v>
      </c>
      <c r="G72" s="32">
        <f>IF(OR(5111634.66749="",5379.69595="",3375.88809=""),"-",(5379.69595-3375.88809)/5111634.66749*100)</f>
        <v>3.9200920847184552E-2</v>
      </c>
    </row>
    <row r="73" spans="1:7" s="2" customFormat="1" x14ac:dyDescent="0.25">
      <c r="A73" s="19" t="s">
        <v>36</v>
      </c>
      <c r="B73" s="20">
        <v>4959.3776699999999</v>
      </c>
      <c r="C73" s="32">
        <f>IF(OR(3147.17164="",4959.37767=""),"-",4959.37767/3147.17164*100)</f>
        <v>157.58205262678334</v>
      </c>
      <c r="D73" s="32">
        <f>IF(3147.17164="","-",3147.17164/5111634.66749*100)</f>
        <v>6.1568790508758652E-2</v>
      </c>
      <c r="E73" s="32">
        <f>IF(4959.37767="","-",4959.37767/5010773.72271*100)</f>
        <v>9.8974289090783305E-2</v>
      </c>
      <c r="F73" s="32">
        <f>IF(OR(3828107.2484="",2753.07775="",3147.17164=""),"-",(3147.17164-2753.07775)/3828107.2484*100)</f>
        <v>1.0294745272999235E-2</v>
      </c>
      <c r="G73" s="32">
        <f>IF(OR(5111634.66749="",4959.37767="",3147.17164=""),"-",(4959.37767-3147.17164)/5111634.66749*100)</f>
        <v>3.545257335242738E-2</v>
      </c>
    </row>
    <row r="74" spans="1:7" s="2" customFormat="1" x14ac:dyDescent="0.25">
      <c r="A74" s="19" t="s">
        <v>71</v>
      </c>
      <c r="B74" s="20">
        <v>4874.58061</v>
      </c>
      <c r="C74" s="32">
        <f>IF(OR(4014.73097="",4874.58061=""),"-",4874.58061/4014.73097*100)</f>
        <v>121.41736635468752</v>
      </c>
      <c r="D74" s="32">
        <f>IF(4014.73097="","-",4014.73097/5111634.66749*100)</f>
        <v>7.8541038848759903E-2</v>
      </c>
      <c r="E74" s="32">
        <f>IF(4874.58061="","-",4874.58061/5010773.72271*100)</f>
        <v>9.7281994353631634E-2</v>
      </c>
      <c r="F74" s="32">
        <f>IF(OR(3828107.2484="",2770.78839="",4014.73097=""),"-",(4014.73097-2770.78839)/3828107.2484*100)</f>
        <v>3.2494977263761868E-2</v>
      </c>
      <c r="G74" s="32">
        <f>IF(OR(5111634.66749="",4874.58061="",4014.73097=""),"-",(4874.58061-4014.73097)/5111634.66749*100)</f>
        <v>1.6821422029016358E-2</v>
      </c>
    </row>
    <row r="75" spans="1:7" s="2" customFormat="1" x14ac:dyDescent="0.25">
      <c r="A75" s="19" t="s">
        <v>77</v>
      </c>
      <c r="B75" s="20">
        <v>4452.5324300000002</v>
      </c>
      <c r="C75" s="32">
        <f>IF(OR(3423.5668="",4452.53243=""),"-",4452.53243/3423.5668*100)</f>
        <v>130.05536886267271</v>
      </c>
      <c r="D75" s="32">
        <f>IF(3423.5668="","-",3423.5668/5111634.66749*100)</f>
        <v>6.6975968016139475E-2</v>
      </c>
      <c r="E75" s="32">
        <f>IF(4452.53243="","-",4452.53243/5010773.72271*100)</f>
        <v>8.8859179767389621E-2</v>
      </c>
      <c r="F75" s="32">
        <f>IF(OR(3828107.2484="",13600.12991="",3423.5668=""),"-",(3423.5668-13600.12991)/3828107.2484*100)</f>
        <v>-0.26583798335988124</v>
      </c>
      <c r="G75" s="32">
        <f>IF(OR(5111634.66749="",4452.53243="",3423.5668=""),"-",(4452.53243-3423.5668)/5111634.66749*100)</f>
        <v>2.0129874236596412E-2</v>
      </c>
    </row>
    <row r="76" spans="1:7" s="2" customFormat="1" x14ac:dyDescent="0.25">
      <c r="A76" s="19" t="s">
        <v>387</v>
      </c>
      <c r="B76" s="20">
        <v>4186.2595199999996</v>
      </c>
      <c r="C76" s="32" t="s">
        <v>17</v>
      </c>
      <c r="D76" s="32">
        <f>IF(2042.79524="","-",2042.79524/5111634.66749*100)</f>
        <v>3.9963639283381876E-2</v>
      </c>
      <c r="E76" s="32">
        <f>IF(4186.25952="","-",4186.25952/5010773.72271*100)</f>
        <v>8.3545171896844808E-2</v>
      </c>
      <c r="F76" s="32">
        <f>IF(OR(3828107.2484="",1246.01546="",2042.79524=""),"-",(2042.79524-1246.01546)/3828107.2484*100)</f>
        <v>2.081393566841741E-2</v>
      </c>
      <c r="G76" s="32">
        <f>IF(OR(5111634.66749="",4186.25952="",2042.79524=""),"-",(4186.25952-2042.79524)/5111634.66749*100)</f>
        <v>4.1933049199161944E-2</v>
      </c>
    </row>
    <row r="77" spans="1:7" s="2" customFormat="1" x14ac:dyDescent="0.25">
      <c r="A77" s="19" t="s">
        <v>86</v>
      </c>
      <c r="B77" s="21">
        <v>3510.6007500000001</v>
      </c>
      <c r="C77" s="32">
        <f>IF(OR(2610.50245="",3510.60075=""),"-",3510.60075/2610.50245*100)</f>
        <v>134.47988719566229</v>
      </c>
      <c r="D77" s="32">
        <f>IF(2610.50245="","-",2610.50245/5111634.66749*100)</f>
        <v>5.1069816600994536E-2</v>
      </c>
      <c r="E77" s="32">
        <f>IF(3510.60075="","-",3510.60075/5010773.72271*100)</f>
        <v>7.0061051332035509E-2</v>
      </c>
      <c r="F77" s="32">
        <f>IF(OR(3828107.2484="",2068.50347="",2610.50245=""),"-",(2610.50245-2068.50347)/3828107.2484*100)</f>
        <v>1.4158406356732415E-2</v>
      </c>
      <c r="G77" s="32">
        <f>IF(OR(5111634.66749="",3510.60075="",2610.50245=""),"-",(3510.60075-2610.50245)/5111634.66749*100)</f>
        <v>1.7608815155054525E-2</v>
      </c>
    </row>
    <row r="78" spans="1:7" s="2" customFormat="1" x14ac:dyDescent="0.25">
      <c r="A78" s="19" t="s">
        <v>34</v>
      </c>
      <c r="B78" s="20">
        <v>3404.9799200000002</v>
      </c>
      <c r="C78" s="32" t="s">
        <v>279</v>
      </c>
      <c r="D78" s="32">
        <f>IF(1207.48547="","-",1207.48547/5111634.66749*100)</f>
        <v>2.3622295968833775E-2</v>
      </c>
      <c r="E78" s="32">
        <f>IF(3404.97992="","-",3404.97992/5010773.72271*100)</f>
        <v>6.7953176663472822E-2</v>
      </c>
      <c r="F78" s="32">
        <f>IF(OR(3828107.2484="",1805.0646="",1207.48547=""),"-",(1207.48547-1805.0646)/3828107.2484*100)</f>
        <v>-1.5610302722050558E-2</v>
      </c>
      <c r="G78" s="32">
        <f>IF(OR(5111634.66749="",3404.97992="",1207.48547=""),"-",(3404.97992-1207.48547)/5111634.66749*100)</f>
        <v>4.2990052946781709E-2</v>
      </c>
    </row>
    <row r="79" spans="1:7" s="2" customFormat="1" x14ac:dyDescent="0.25">
      <c r="A79" s="19" t="s">
        <v>76</v>
      </c>
      <c r="B79" s="21">
        <v>3374.8578900000002</v>
      </c>
      <c r="C79" s="32">
        <f>IF(OR(2927.58002="",3374.85789=""),"-",3374.85789/2927.58002*100)</f>
        <v>115.278074961039</v>
      </c>
      <c r="D79" s="32">
        <f>IF(2927.58002="","-",2927.58002/5111634.66749*100)</f>
        <v>5.7272872778240801E-2</v>
      </c>
      <c r="E79" s="32">
        <f>IF(3374.85789="","-",3374.85789/5010773.72271*100)</f>
        <v>6.7352031377995655E-2</v>
      </c>
      <c r="F79" s="32">
        <f>IF(OR(3828107.2484="",1999.46312="",2927.58002=""),"-",(2927.58002-1999.46312)/3828107.2484*100)</f>
        <v>2.4244798794179991E-2</v>
      </c>
      <c r="G79" s="32">
        <f>IF(OR(5111634.66749="",3374.85789="",2927.58002=""),"-",(3374.85789-2927.58002)/5111634.66749*100)</f>
        <v>8.7501924354001261E-3</v>
      </c>
    </row>
    <row r="80" spans="1:7" s="2" customFormat="1" x14ac:dyDescent="0.25">
      <c r="A80" s="19" t="s">
        <v>65</v>
      </c>
      <c r="B80" s="20">
        <v>2969.1383900000001</v>
      </c>
      <c r="C80" s="32">
        <f>IF(OR(5031.28521="",2969.13839=""),"-",2969.13839/5031.28521*100)</f>
        <v>59.013517740927277</v>
      </c>
      <c r="D80" s="32">
        <f>IF(5031.28521="","-",5031.28521/5111634.66749*100)</f>
        <v>9.8428106413765787E-2</v>
      </c>
      <c r="E80" s="32">
        <f>IF(2969.13839="","-",2969.13839/5010773.72271*100)</f>
        <v>5.9255088222067764E-2</v>
      </c>
      <c r="F80" s="32">
        <f>IF(OR(3828107.2484="",3930.73143="",5031.28521=""),"-",(5031.28521-3930.73143)/3828107.2484*100)</f>
        <v>2.8749293282208561E-2</v>
      </c>
      <c r="G80" s="32">
        <f>IF(OR(5111634.66749="",2969.13839="",5031.28521=""),"-",(2969.13839-5031.28521)/5111634.66749*100)</f>
        <v>-4.0342218373219337E-2</v>
      </c>
    </row>
    <row r="81" spans="1:7" s="2" customFormat="1" x14ac:dyDescent="0.25">
      <c r="A81" s="19" t="s">
        <v>84</v>
      </c>
      <c r="B81" s="20">
        <v>2890.8094999999998</v>
      </c>
      <c r="C81" s="32">
        <f>IF(OR(2173.49743="",2890.8095=""),"-",2890.8095/2173.49743*100)</f>
        <v>133.00266474205125</v>
      </c>
      <c r="D81" s="32">
        <f>IF(2173.49743="","-",2173.49743/5111634.66749*100)</f>
        <v>4.2520594122726435E-2</v>
      </c>
      <c r="E81" s="32">
        <f>IF(2890.8095="","-",2890.8095/5010773.72271*100)</f>
        <v>5.769187873916904E-2</v>
      </c>
      <c r="F81" s="32">
        <f>IF(OR(3828107.2484="",3176.8163="",2173.49743=""),"-",(2173.49743-3176.8163)/3828107.2484*100)</f>
        <v>-2.6209267528211191E-2</v>
      </c>
      <c r="G81" s="32">
        <f>IF(OR(5111634.66749="",2890.8095="",2173.49743=""),"-",(2890.8095-2173.49743)/5111634.66749*100)</f>
        <v>1.4032929124651754E-2</v>
      </c>
    </row>
    <row r="82" spans="1:7" s="2" customFormat="1" x14ac:dyDescent="0.25">
      <c r="A82" s="19" t="s">
        <v>69</v>
      </c>
      <c r="B82" s="21">
        <v>2285.5542999999998</v>
      </c>
      <c r="C82" s="32">
        <f>IF(OR(3173.90621="",2285.5543=""),"-",2285.5543/3173.90621*100)</f>
        <v>72.010769971681043</v>
      </c>
      <c r="D82" s="32">
        <f>IF(3173.90621="","-",3173.90621/5111634.66749*100)</f>
        <v>6.2091804607751912E-2</v>
      </c>
      <c r="E82" s="32">
        <f>IF(2285.5543="","-",2285.5543/5010773.72271*100)</f>
        <v>4.5612802063707894E-2</v>
      </c>
      <c r="F82" s="32">
        <f>IF(OR(3828107.2484="",2960.42734="",3173.90621=""),"-",(3173.90621-2960.42734)/3828107.2484*100)</f>
        <v>5.5766167494190715E-3</v>
      </c>
      <c r="G82" s="32">
        <f>IF(OR(5111634.66749="",2285.5543="",3173.90621=""),"-",(2285.5543-3173.90621)/5111634.66749*100)</f>
        <v>-1.7379018020398037E-2</v>
      </c>
    </row>
    <row r="83" spans="1:7" x14ac:dyDescent="0.25">
      <c r="A83" s="19" t="s">
        <v>35</v>
      </c>
      <c r="B83" s="21">
        <v>2236.8076000000001</v>
      </c>
      <c r="C83" s="32">
        <f>IF(OR(1575.40486="",2236.8076=""),"-",2236.8076/1575.40486*100)</f>
        <v>141.9830328567096</v>
      </c>
      <c r="D83" s="32">
        <f>IF(1575.40486="","-",1575.40486/5111634.66749*100)</f>
        <v>3.0819981522145472E-2</v>
      </c>
      <c r="E83" s="32">
        <f>IF(2236.8076="","-",2236.8076/5010773.72271*100)</f>
        <v>4.4639964280611275E-2</v>
      </c>
      <c r="F83" s="32">
        <f>IF(OR(3828107.2484="",1299.17906="",1575.40486=""),"-",(1575.40486-1299.17906)/3828107.2484*100)</f>
        <v>7.2157278277783839E-3</v>
      </c>
      <c r="G83" s="32">
        <f>IF(OR(5111634.66749="",2236.8076="",1575.40486=""),"-",(2236.8076-1575.40486)/5111634.66749*100)</f>
        <v>1.2939162968874162E-2</v>
      </c>
    </row>
    <row r="84" spans="1:7" x14ac:dyDescent="0.25">
      <c r="A84" s="19" t="s">
        <v>92</v>
      </c>
      <c r="B84" s="21">
        <v>2220.2354399999999</v>
      </c>
      <c r="C84" s="32">
        <f>IF(OR(1446.73372="",2220.23544=""),"-",2220.23544/1446.73372*100)</f>
        <v>153.46538269668588</v>
      </c>
      <c r="D84" s="32">
        <f>IF(1446.73372="","-",1446.73372/5111634.66749*100)</f>
        <v>2.8302760547447323E-2</v>
      </c>
      <c r="E84" s="32">
        <f>IF(2220.23544="","-",2220.23544/5010773.72271*100)</f>
        <v>4.4309233720480588E-2</v>
      </c>
      <c r="F84" s="32">
        <f>IF(OR(3828107.2484="",1104.22391="",1446.73372=""),"-",(1446.73372-1104.22391)/3828107.2484*100)</f>
        <v>8.9472365264362912E-3</v>
      </c>
      <c r="G84" s="32">
        <f>IF(OR(5111634.66749="",2220.23544="",1446.73372=""),"-",(2220.23544-1446.73372)/5111634.66749*100)</f>
        <v>1.5132179240419341E-2</v>
      </c>
    </row>
    <row r="85" spans="1:7" x14ac:dyDescent="0.25">
      <c r="A85" s="19" t="s">
        <v>83</v>
      </c>
      <c r="B85" s="20">
        <v>1982.27783</v>
      </c>
      <c r="C85" s="32">
        <f>IF(OR(2097.82003="",1982.27783=""),"-",1982.27783/2097.82003*100)</f>
        <v>94.492273009710942</v>
      </c>
      <c r="D85" s="32">
        <f>IF(2097.82003="","-",2097.82003/5111634.66749*100)</f>
        <v>4.1040100994347989E-2</v>
      </c>
      <c r="E85" s="32">
        <f>IF(1982.27783="","-",1982.27783/5010773.72271*100)</f>
        <v>3.9560314228835609E-2</v>
      </c>
      <c r="F85" s="32">
        <f>IF(OR(3828107.2484="",1997.42295="",2097.82003=""),"-",(2097.82003-1997.42295)/3828107.2484*100)</f>
        <v>2.6226297615345559E-3</v>
      </c>
      <c r="G85" s="32">
        <f>IF(OR(5111634.66749="",1982.27783="",2097.82003=""),"-",(1982.27783-2097.82003)/5111634.66749*100)</f>
        <v>-2.2603767193075893E-3</v>
      </c>
    </row>
    <row r="86" spans="1:7" x14ac:dyDescent="0.25">
      <c r="A86" s="19" t="s">
        <v>97</v>
      </c>
      <c r="B86" s="20">
        <v>1956.02485</v>
      </c>
      <c r="C86" s="32">
        <f>IF(OR(1338.71968="",1956.02485=""),"-",1956.02485/1338.71968*100)</f>
        <v>146.11160792078593</v>
      </c>
      <c r="D86" s="32">
        <f>IF(1338.71968="","-",1338.71968/5111634.66749*100)</f>
        <v>2.6189658828989836E-2</v>
      </c>
      <c r="E86" s="32">
        <f>IF(1956.02485="","-",1956.02485/5010773.72271*100)</f>
        <v>3.9036383565572659E-2</v>
      </c>
      <c r="F86" s="32">
        <f>IF(OR(3828107.2484="",528.41134="",1338.71968=""),"-",(1338.71968-528.41134)/3828107.2484*100)</f>
        <v>2.1167336425558018E-2</v>
      </c>
      <c r="G86" s="32">
        <f>IF(OR(5111634.66749="",1956.02485="",1338.71968=""),"-",(1956.02485-1338.71968)/5111634.66749*100)</f>
        <v>1.2076472795015289E-2</v>
      </c>
    </row>
    <row r="87" spans="1:7" x14ac:dyDescent="0.25">
      <c r="A87" s="19" t="s">
        <v>85</v>
      </c>
      <c r="B87" s="20">
        <v>1826.5071800000001</v>
      </c>
      <c r="C87" s="32">
        <f>IF(OR(1452.15015="",1826.50718=""),"-",1826.50718/1452.15015*100)</f>
        <v>125.77949876601949</v>
      </c>
      <c r="D87" s="32">
        <f>IF(1452.15015="","-",1452.15015/5111634.66749*100)</f>
        <v>2.8408723323591099E-2</v>
      </c>
      <c r="E87" s="32">
        <f>IF(1826.50718="","-",1826.50718/5010773.72271*100)</f>
        <v>3.6451599714468076E-2</v>
      </c>
      <c r="F87" s="32">
        <f>IF(OR(3828107.2484="",1907.63565="",1452.15015=""),"-",(1452.15015-1907.63565)/3828107.2484*100)</f>
        <v>-1.1898451909631718E-2</v>
      </c>
      <c r="G87" s="32">
        <f>IF(OR(5111634.66749="",1826.50718="",1452.15015=""),"-",(1826.50718-1452.15015)/5111634.66749*100)</f>
        <v>7.3236264786470584E-3</v>
      </c>
    </row>
    <row r="88" spans="1:7" x14ac:dyDescent="0.25">
      <c r="A88" s="19" t="s">
        <v>64</v>
      </c>
      <c r="B88" s="21">
        <v>1675.93147</v>
      </c>
      <c r="C88" s="32" t="s">
        <v>188</v>
      </c>
      <c r="D88" s="32">
        <f>IF(955.90618="","-",955.90618/5111634.66749*100)</f>
        <v>1.870059662282917E-2</v>
      </c>
      <c r="E88" s="32">
        <f>IF(1675.93147="","-",1675.93147/5010773.72271*100)</f>
        <v>3.3446560606085363E-2</v>
      </c>
      <c r="F88" s="32">
        <f>IF(OR(3828107.2484="",798.91225="",955.90618=""),"-",(955.90618-798.91225)/3828107.2484*100)</f>
        <v>4.1010849438875398E-3</v>
      </c>
      <c r="G88" s="32">
        <f>IF(OR(5111634.66749="",1675.93147="",955.90618=""),"-",(1675.93147-955.90618)/5111634.66749*100)</f>
        <v>1.4086008426606882E-2</v>
      </c>
    </row>
    <row r="89" spans="1:7" x14ac:dyDescent="0.25">
      <c r="A89" s="19" t="s">
        <v>82</v>
      </c>
      <c r="B89" s="21">
        <v>1235.4722099999999</v>
      </c>
      <c r="C89" s="32">
        <f>IF(OR(1414.48578="",1235.47221=""),"-",1235.47221/1414.48578*100)</f>
        <v>87.344265136408794</v>
      </c>
      <c r="D89" s="32">
        <f>IF(1414.48578="","-",1414.48578/5111634.66749*100)</f>
        <v>2.7671887214399934E-2</v>
      </c>
      <c r="E89" s="32">
        <f>IF(1235.47221="","-",1235.47221/5010773.72271*100)</f>
        <v>2.4656316137377156E-2</v>
      </c>
      <c r="F89" s="32">
        <f>IF(OR(3828107.2484="",1438.25429="",1414.48578=""),"-",(1414.48578-1438.25429)/3828107.2484*100)</f>
        <v>-6.2089456897881901E-4</v>
      </c>
      <c r="G89" s="32">
        <f>IF(OR(5111634.66749="",1235.47221="",1414.48578=""),"-",(1235.47221-1414.48578)/5111634.66749*100)</f>
        <v>-3.5020806776064513E-3</v>
      </c>
    </row>
    <row r="90" spans="1:7" x14ac:dyDescent="0.25">
      <c r="A90" s="19" t="s">
        <v>128</v>
      </c>
      <c r="B90" s="20">
        <v>1145.9372900000001</v>
      </c>
      <c r="C90" s="32">
        <f>IF(OR(881.85036="",1145.93729=""),"-",1145.93729/881.85036*100)</f>
        <v>129.94690958679203</v>
      </c>
      <c r="D90" s="32">
        <f>IF(881.85036="","-",881.85036/5111634.66749*100)</f>
        <v>1.7251826810092061E-2</v>
      </c>
      <c r="E90" s="32">
        <f>IF(1145.93729="","-",1145.93729/5010773.72271*100)</f>
        <v>2.2869467938780468E-2</v>
      </c>
      <c r="F90" s="32">
        <f>IF(OR(3828107.2484="",757.14243="",881.85036=""),"-",(881.85036-757.14243)/3828107.2484*100)</f>
        <v>3.2576916451889665E-3</v>
      </c>
      <c r="G90" s="32">
        <f>IF(OR(5111634.66749="",1145.93729="",881.85036=""),"-",(1145.93729-881.85036)/5111634.66749*100)</f>
        <v>5.1663889768882179E-3</v>
      </c>
    </row>
    <row r="91" spans="1:7" x14ac:dyDescent="0.25">
      <c r="A91" s="19" t="s">
        <v>61</v>
      </c>
      <c r="B91" s="21">
        <v>1055.1753699999999</v>
      </c>
      <c r="C91" s="32">
        <f>IF(OR(830.8753="",1055.17537=""),"-",1055.17537/830.8753*100)</f>
        <v>126.99563580720235</v>
      </c>
      <c r="D91" s="32">
        <f>IF(830.8753="","-",830.8753/5111634.66749*100)</f>
        <v>1.6254590831468602E-2</v>
      </c>
      <c r="E91" s="32">
        <f>IF(1055.17537="","-",1055.17537/5010773.72271*100)</f>
        <v>2.1058132503922456E-2</v>
      </c>
      <c r="F91" s="32">
        <f>IF(OR(3828107.2484="",591.70457="",830.8753=""),"-",(830.8753-591.70457)/3828107.2484*100)</f>
        <v>6.2477541636265319E-3</v>
      </c>
      <c r="G91" s="32">
        <f>IF(OR(5111634.66749="",1055.17537="",830.8753=""),"-",(1055.17537-830.8753)/5111634.66749*100)</f>
        <v>4.3880301428141661E-3</v>
      </c>
    </row>
    <row r="92" spans="1:7" x14ac:dyDescent="0.25">
      <c r="A92" s="19" t="s">
        <v>283</v>
      </c>
      <c r="B92" s="21">
        <v>1043.84275</v>
      </c>
      <c r="C92" s="32">
        <f>IF(OR(788.55566="",1043.84275=""),"-",1043.84275/788.55566*100)</f>
        <v>132.37401022522621</v>
      </c>
      <c r="D92" s="32">
        <f>IF(788.55566="","-",788.55566/5111634.66749*100)</f>
        <v>1.542668268167157E-2</v>
      </c>
      <c r="E92" s="32">
        <f>IF(1043.84275="","-",1043.84275/5010773.72271*100)</f>
        <v>2.0831967431877041E-2</v>
      </c>
      <c r="F92" s="32">
        <f>IF(OR(3828107.2484="",1636.63168="",788.55566=""),"-",(788.55566-1636.63168)/3828107.2484*100)</f>
        <v>-2.215392529439876E-2</v>
      </c>
      <c r="G92" s="32">
        <f>IF(OR(5111634.66749="",1043.84275="",788.55566=""),"-",(1043.84275-788.55566)/5111634.66749*100)</f>
        <v>4.9942358287775549E-3</v>
      </c>
    </row>
    <row r="93" spans="1:7" x14ac:dyDescent="0.25">
      <c r="A93" s="19" t="s">
        <v>88</v>
      </c>
      <c r="B93" s="20">
        <v>1008.62297</v>
      </c>
      <c r="C93" s="32">
        <f>IF(OR(973.67958="",1008.62297=""),"-",1008.62297/973.67958*100)</f>
        <v>103.58879766175235</v>
      </c>
      <c r="D93" s="32">
        <f>IF(973.67958="","-",973.67958/5111634.66749*100)</f>
        <v>1.9048301440488358E-2</v>
      </c>
      <c r="E93" s="32">
        <f>IF(1008.62297="","-",1008.62297/5010773.72271*100)</f>
        <v>2.0129086361028125E-2</v>
      </c>
      <c r="F93" s="32">
        <f>IF(OR(3828107.2484="",1437.98505="",973.67958=""),"-",(973.67958-1437.98505)/3828107.2484*100)</f>
        <v>-1.2128852194359541E-2</v>
      </c>
      <c r="G93" s="32">
        <f>IF(OR(5111634.66749="",1008.62297="",973.67958=""),"-",(1008.62297-973.67958)/5111634.66749*100)</f>
        <v>6.8360499669978389E-4</v>
      </c>
    </row>
    <row r="94" spans="1:7" x14ac:dyDescent="0.25">
      <c r="A94" s="19" t="s">
        <v>304</v>
      </c>
      <c r="B94" s="20">
        <v>956.66031999999996</v>
      </c>
      <c r="C94" s="32">
        <f>IF(OR(817.72644="",956.66032=""),"-",956.66032/817.72644*100)</f>
        <v>116.99026388335932</v>
      </c>
      <c r="D94" s="32">
        <f>IF(817.72644="","-",817.72644/5111634.66749*100)</f>
        <v>1.5997356876866431E-2</v>
      </c>
      <c r="E94" s="32">
        <f>IF(956.66032="","-",956.66032/5010773.72271*100)</f>
        <v>1.9092067870959555E-2</v>
      </c>
      <c r="F94" s="32">
        <f>IF(OR(3828107.2484="",1.40179="",817.72644=""),"-",(817.72644-1.40179)/3828107.2484*100)</f>
        <v>2.1324497905360201E-2</v>
      </c>
      <c r="G94" s="32">
        <f>IF(OR(5111634.66749="",956.66032="",817.72644=""),"-",(956.66032-817.72644)/5111634.66749*100)</f>
        <v>2.7179931477423359E-3</v>
      </c>
    </row>
    <row r="95" spans="1:7" x14ac:dyDescent="0.25">
      <c r="A95" s="19" t="s">
        <v>87</v>
      </c>
      <c r="B95" s="20">
        <v>834.25391000000002</v>
      </c>
      <c r="C95" s="32">
        <f>IF(OR(1103.17362="",834.25391=""),"-",834.25391/1103.17362*100)</f>
        <v>75.623083699191426</v>
      </c>
      <c r="D95" s="32">
        <f>IF(1103.17362="","-",1103.17362/5111634.66749*100)</f>
        <v>2.1581620983521867E-2</v>
      </c>
      <c r="E95" s="32">
        <f>IF(834.25391="","-",834.25391/5010773.72271*100)</f>
        <v>1.6649203419802531E-2</v>
      </c>
      <c r="F95" s="32">
        <f>IF(OR(3828107.2484="",356.13546="",1103.17362=""),"-",(1103.17362-356.13546)/3828107.2484*100)</f>
        <v>1.9514556712386597E-2</v>
      </c>
      <c r="G95" s="32">
        <f>IF(OR(5111634.66749="",834.25391="",1103.17362=""),"-",(834.25391-1103.17362)/5111634.66749*100)</f>
        <v>-5.2609336835108649E-3</v>
      </c>
    </row>
    <row r="96" spans="1:7" x14ac:dyDescent="0.25">
      <c r="A96" s="19" t="s">
        <v>89</v>
      </c>
      <c r="B96" s="21">
        <v>688.45807000000002</v>
      </c>
      <c r="C96" s="32">
        <f>IF(OR(520.47987="",688.45807=""),"-",688.45807/520.47987*100)</f>
        <v>132.27371694509532</v>
      </c>
      <c r="D96" s="32">
        <f>IF(520.47987="","-",520.47987/5111634.66749*100)</f>
        <v>1.0182258785242466E-2</v>
      </c>
      <c r="E96" s="32">
        <f>IF(688.45807="","-",688.45807/5010773.72271*100)</f>
        <v>1.3739556166341075E-2</v>
      </c>
      <c r="F96" s="32">
        <f>IF(OR(3828107.2484="",329.65266="",520.47987=""),"-",(520.47987-329.65266)/3828107.2484*100)</f>
        <v>4.9848971728720069E-3</v>
      </c>
      <c r="G96" s="32">
        <f>IF(OR(5111634.66749="",688.45807="",520.47987=""),"-",(688.45807-520.47987)/5111634.66749*100)</f>
        <v>3.2861933789662527E-3</v>
      </c>
    </row>
    <row r="97" spans="1:7" x14ac:dyDescent="0.25">
      <c r="A97" s="19" t="s">
        <v>388</v>
      </c>
      <c r="B97" s="21">
        <v>668.71419000000003</v>
      </c>
      <c r="C97" s="32">
        <f>IF(OR(995.08166="",668.71419=""),"-",668.71419/995.08166*100)</f>
        <v>67.201940994470746</v>
      </c>
      <c r="D97" s="32">
        <f>IF(995.08166="","-",995.08166/5111634.66749*100)</f>
        <v>1.9466994899473553E-2</v>
      </c>
      <c r="E97" s="32">
        <f>IF(668.71419="","-",668.71419/5010773.72271*100)</f>
        <v>1.3345527597249714E-2</v>
      </c>
      <c r="F97" s="32">
        <f>IF(OR(3828107.2484="",799.1198="",995.08166=""),"-",(995.08166-799.1198)/3828107.2484*100)</f>
        <v>5.1190274275075354E-3</v>
      </c>
      <c r="G97" s="32">
        <f>IF(OR(5111634.66749="",668.71419="",995.08166=""),"-",(668.71419-995.08166)/5111634.66749*100)</f>
        <v>-6.3847964737327057E-3</v>
      </c>
    </row>
    <row r="98" spans="1:7" x14ac:dyDescent="0.25">
      <c r="A98" s="19" t="s">
        <v>93</v>
      </c>
      <c r="B98" s="21">
        <v>651.27719000000002</v>
      </c>
      <c r="C98" s="32" t="s">
        <v>90</v>
      </c>
      <c r="D98" s="32">
        <f>IF(316.92366="","-",316.92366/5111634.66749*100)</f>
        <v>6.2000452030665397E-3</v>
      </c>
      <c r="E98" s="32">
        <f>IF(651.27719="","-",651.27719/5010773.72271*100)</f>
        <v>1.2997537427169366E-2</v>
      </c>
      <c r="F98" s="32">
        <f>IF(OR(3828107.2484="",527.88214="",316.92366=""),"-",(316.92366-527.88214)/3828107.2484*100)</f>
        <v>-5.5107776849296084E-3</v>
      </c>
      <c r="G98" s="32">
        <f>IF(OR(5111634.66749="",651.27719="",316.92366=""),"-",(651.27719-316.92366)/5111634.66749*100)</f>
        <v>6.5410294700145285E-3</v>
      </c>
    </row>
    <row r="99" spans="1:7" x14ac:dyDescent="0.25">
      <c r="A99" s="19" t="s">
        <v>117</v>
      </c>
      <c r="B99" s="20">
        <v>621.50331000000006</v>
      </c>
      <c r="C99" s="32" t="s">
        <v>390</v>
      </c>
      <c r="D99" s="32">
        <f>IF(109.19108="","-",109.19108/5111634.66749*100)</f>
        <v>2.1361284031985962E-3</v>
      </c>
      <c r="E99" s="32">
        <f>IF(621.50331="","-",621.50331/5010773.72271*100)</f>
        <v>1.2403340170465122E-2</v>
      </c>
      <c r="F99" s="32">
        <f>IF(OR(3828107.2484="",115.61651="",109.19108=""),"-",(109.19108-115.61651)/3828107.2484*100)</f>
        <v>-1.678487456871953E-4</v>
      </c>
      <c r="G99" s="32">
        <f>IF(OR(5111634.66749="",621.50331="",109.19108=""),"-",(621.50331-109.19108)/5111634.66749*100)</f>
        <v>1.0022473500665182E-2</v>
      </c>
    </row>
    <row r="100" spans="1:7" x14ac:dyDescent="0.25">
      <c r="A100" s="19" t="s">
        <v>73</v>
      </c>
      <c r="B100" s="21">
        <v>592.16504999999995</v>
      </c>
      <c r="C100" s="32" t="s">
        <v>391</v>
      </c>
      <c r="D100" s="32">
        <f>IF(17.16646="","-",17.16646/5111634.66749*100)</f>
        <v>3.3583112089717013E-4</v>
      </c>
      <c r="E100" s="32">
        <f>IF(592.16505="","-",592.16505/5010773.72271*100)</f>
        <v>1.1817836581128564E-2</v>
      </c>
      <c r="F100" s="32">
        <f>IF(OR(3828107.2484="",30.46877="",17.16646=""),"-",(17.16646-30.46877)/3828107.2484*100)</f>
        <v>-3.4749052565232722E-4</v>
      </c>
      <c r="G100" s="32">
        <f>IF(OR(5111634.66749="",592.16505="",17.16646=""),"-",(592.16505-17.16646)/5111634.66749*100)</f>
        <v>1.1248820140785713E-2</v>
      </c>
    </row>
    <row r="101" spans="1:7" x14ac:dyDescent="0.25">
      <c r="A101" s="19" t="s">
        <v>337</v>
      </c>
      <c r="B101" s="21">
        <v>555.75567000000001</v>
      </c>
      <c r="C101" s="32" t="s">
        <v>392</v>
      </c>
      <c r="D101" s="32">
        <f>IF(19.62779="","-",19.62779/5111634.66749*100)</f>
        <v>3.8398264502024679E-4</v>
      </c>
      <c r="E101" s="32">
        <f>IF(555.75567="","-",555.75567/5010773.72271*100)</f>
        <v>1.1091214665734856E-2</v>
      </c>
      <c r="F101" s="32">
        <f>IF(OR(3828107.2484="",980.87133="",19.62779=""),"-",(19.62779-980.87133)/3828107.2484*100)</f>
        <v>-2.5110151770219143E-2</v>
      </c>
      <c r="G101" s="32">
        <f>IF(OR(5111634.66749="",555.75567="",19.62779=""),"-",(555.75567-19.62779)/5111634.66749*100)</f>
        <v>1.0488384144699811E-2</v>
      </c>
    </row>
    <row r="102" spans="1:7" x14ac:dyDescent="0.25">
      <c r="A102" s="19" t="s">
        <v>338</v>
      </c>
      <c r="B102" s="21">
        <v>529.21475999999996</v>
      </c>
      <c r="C102" s="32" t="s">
        <v>187</v>
      </c>
      <c r="D102" s="32">
        <f>IF(239.66525="","-",239.66525/5111634.66749*100)</f>
        <v>4.6886224386157938E-3</v>
      </c>
      <c r="E102" s="32">
        <f>IF(529.21476="","-",529.21476/5010773.72271*100)</f>
        <v>1.0561537784104572E-2</v>
      </c>
      <c r="F102" s="32">
        <f>IF(OR(3828107.2484="",425.66896="",239.66525=""),"-",(239.66525-425.66896)/3828107.2484*100)</f>
        <v>-4.8588949559274326E-3</v>
      </c>
      <c r="G102" s="32">
        <f>IF(OR(5111634.66749="",529.21476="",239.66525=""),"-",(529.21476-239.66525)/5111634.66749*100)</f>
        <v>5.6645188640247514E-3</v>
      </c>
    </row>
    <row r="103" spans="1:7" x14ac:dyDescent="0.25">
      <c r="A103" s="19" t="s">
        <v>96</v>
      </c>
      <c r="B103" s="21">
        <v>426.69</v>
      </c>
      <c r="C103" s="32">
        <f>IF(OR(706.43139="",426.69=""),"-",426.69/706.43139*100)</f>
        <v>60.400770129990967</v>
      </c>
      <c r="D103" s="32">
        <f>IF(706.43139="","-",706.43139/5111634.66749*100)</f>
        <v>1.3820068059497759E-2</v>
      </c>
      <c r="E103" s="32">
        <f>IF(426.69="","-",426.69/5010773.72271*100)</f>
        <v>8.5154513776214032E-3</v>
      </c>
      <c r="F103" s="32">
        <f>IF(OR(3828107.2484="",500.54858="",706.43139=""),"-",(706.43139-500.54858)/3828107.2484*100)</f>
        <v>5.3781881394793984E-3</v>
      </c>
      <c r="G103" s="32">
        <f>IF(OR(5111634.66749="",426.69="",706.43139=""),"-",(426.69-706.43139)/5111634.66749*100)</f>
        <v>-5.472640519072214E-3</v>
      </c>
    </row>
    <row r="104" spans="1:7" x14ac:dyDescent="0.25">
      <c r="A104" s="19" t="s">
        <v>308</v>
      </c>
      <c r="B104" s="20">
        <v>374.62754999999999</v>
      </c>
      <c r="C104" s="32">
        <f>IF(OR(572.88413="",374.62755=""),"-",374.62755/572.88413*100)</f>
        <v>65.393249765881961</v>
      </c>
      <c r="D104" s="32">
        <f>IF(572.88413="","-",572.88413/5111634.66749*100)</f>
        <v>1.1207454508506711E-2</v>
      </c>
      <c r="E104" s="32">
        <f>IF(374.62755="","-",374.62755/5010773.72271*100)</f>
        <v>7.4764411791755862E-3</v>
      </c>
      <c r="F104" s="32">
        <f>IF(OR(3828107.2484="",27.73445="",572.88413=""),"-",(572.88413-27.73445)/3828107.2484*100)</f>
        <v>1.4240710738390398E-2</v>
      </c>
      <c r="G104" s="32">
        <f>IF(OR(5111634.66749="",374.62755="",572.88413=""),"-",(374.62755-572.88413)/5111634.66749*100)</f>
        <v>-3.8785357893613179E-3</v>
      </c>
    </row>
    <row r="105" spans="1:7" x14ac:dyDescent="0.25">
      <c r="A105" s="19" t="s">
        <v>112</v>
      </c>
      <c r="B105" s="20">
        <v>371.79737999999998</v>
      </c>
      <c r="C105" s="32" t="s">
        <v>98</v>
      </c>
      <c r="D105" s="32">
        <f>IF(216.1544="","-",216.1544/5111634.66749*100)</f>
        <v>4.228674662036044E-3</v>
      </c>
      <c r="E105" s="32">
        <f>IF(371.79738="","-",371.79738/5010773.72271*100)</f>
        <v>7.419959482802569E-3</v>
      </c>
      <c r="F105" s="32">
        <f>IF(OR(3828107.2484="",402.74685="",216.1544=""),"-",(216.1544-402.74685)/3828107.2484*100)</f>
        <v>-4.874274357856311E-3</v>
      </c>
      <c r="G105" s="32">
        <f>IF(OR(5111634.66749="",371.79738="",216.1544=""),"-",(371.79738-216.1544)/5111634.66749*100)</f>
        <v>3.0448768373430406E-3</v>
      </c>
    </row>
    <row r="106" spans="1:7" x14ac:dyDescent="0.25">
      <c r="A106" s="19" t="s">
        <v>291</v>
      </c>
      <c r="B106" s="21">
        <v>293.56292999999999</v>
      </c>
      <c r="C106" s="32" t="s">
        <v>325</v>
      </c>
      <c r="D106" s="32">
        <f>IF(73.56879="","-",73.56879/5111634.66749*100)</f>
        <v>1.4392419408980372E-3</v>
      </c>
      <c r="E106" s="32">
        <f>IF(293.56293="","-",293.56293/5010773.72271*100)</f>
        <v>5.8586347387730563E-3</v>
      </c>
      <c r="F106" s="32">
        <f>IF(OR(3828107.2484="",69.72914="",73.56879=""),"-",(73.56879-69.72914)/3828107.2484*100)</f>
        <v>1.0030152633797893E-4</v>
      </c>
      <c r="G106" s="32">
        <f>IF(OR(5111634.66749="",293.56293="",73.56879=""),"-",(293.56293-73.56879)/5111634.66749*100)</f>
        <v>4.3037923151895592E-3</v>
      </c>
    </row>
    <row r="107" spans="1:7" x14ac:dyDescent="0.25">
      <c r="A107" s="19" t="s">
        <v>193</v>
      </c>
      <c r="B107" s="20">
        <v>287.89039000000002</v>
      </c>
      <c r="C107" s="32">
        <f>IF(OR(185.34322="",287.89039=""),"-",287.89039/185.34322*100)</f>
        <v>155.32825533083974</v>
      </c>
      <c r="D107" s="32">
        <f>IF(185.34322="","-",185.34322/5111634.66749*100)</f>
        <v>3.6259089715230041E-3</v>
      </c>
      <c r="E107" s="32">
        <f>IF(287.89039="","-",287.89039/5010773.72271*100)</f>
        <v>5.7454278706542536E-3</v>
      </c>
      <c r="F107" s="32">
        <f>IF(OR(3828107.2484="",42.34941="",185.34322=""),"-",(185.34322-42.34941)/3828107.2484*100)</f>
        <v>3.7353658275840066E-3</v>
      </c>
      <c r="G107" s="32">
        <f>IF(OR(5111634.66749="",287.89039="",185.34322=""),"-",(287.89039-185.34322)/5111634.66749*100)</f>
        <v>2.0061521738280728E-3</v>
      </c>
    </row>
    <row r="108" spans="1:7" x14ac:dyDescent="0.25">
      <c r="A108" s="19" t="s">
        <v>101</v>
      </c>
      <c r="B108" s="21">
        <v>226.74153999999999</v>
      </c>
      <c r="C108" s="32">
        <f>IF(OR(394.5792="",226.74154=""),"-",226.74154/394.5792*100)</f>
        <v>57.464139011889117</v>
      </c>
      <c r="D108" s="32">
        <f>IF(394.5792="","-",394.5792/5111634.66749*100)</f>
        <v>7.7192371064685825E-3</v>
      </c>
      <c r="E108" s="32">
        <f>IF(226.74154="","-",226.74154/5010773.72271*100)</f>
        <v>4.5250804076894195E-3</v>
      </c>
      <c r="F108" s="32">
        <f>IF(OR(3828107.2484="",216.4014="",394.5792=""),"-",(394.5792-216.4014)/3828107.2484*100)</f>
        <v>4.6544620732470706E-3</v>
      </c>
      <c r="G108" s="32">
        <f>IF(OR(5111634.66749="",226.74154="",394.5792=""),"-",(226.74154-394.5792)/5111634.66749*100)</f>
        <v>-3.2834439649501493E-3</v>
      </c>
    </row>
    <row r="109" spans="1:7" x14ac:dyDescent="0.25">
      <c r="A109" s="73" t="s">
        <v>119</v>
      </c>
      <c r="B109" s="21">
        <v>205.06262000000001</v>
      </c>
      <c r="C109" s="32">
        <f>IF(OR(184.45771="",205.06262=""),"-",205.06262/184.45771*100)</f>
        <v>111.17053334338804</v>
      </c>
      <c r="D109" s="32">
        <f>IF(184.45771="","-",184.45771/5111634.66749*100)</f>
        <v>3.6085855503944979E-3</v>
      </c>
      <c r="E109" s="32">
        <f>IF(205.06262="","-",205.06262/5010773.72271*100)</f>
        <v>4.0924342496370999E-3</v>
      </c>
      <c r="F109" s="32">
        <f>IF(OR(3828107.2484="",94.62797="",184.45771=""),"-",(184.45771-94.62797)/3828107.2484*100)</f>
        <v>2.3465836814667439E-3</v>
      </c>
      <c r="G109" s="32">
        <f>IF(OR(5111634.66749="",205.06262="",184.45771=""),"-",(205.06262-184.45771)/5111634.66749*100)</f>
        <v>4.0309825213150037E-4</v>
      </c>
    </row>
    <row r="110" spans="1:7" x14ac:dyDescent="0.25">
      <c r="A110" s="19" t="s">
        <v>120</v>
      </c>
      <c r="B110" s="20">
        <v>169.33745999999999</v>
      </c>
      <c r="C110" s="32" t="s">
        <v>17</v>
      </c>
      <c r="D110" s="32">
        <f>IF(85.40305="","-",85.40305/5111634.66749*100)</f>
        <v>1.6707580951190321E-3</v>
      </c>
      <c r="E110" s="32">
        <f>IF(169.33746="","-",169.33746/5010773.72271*100)</f>
        <v>3.3794673112562028E-3</v>
      </c>
      <c r="F110" s="32">
        <f>IF(OR(3828107.2484="",207.3139="",85.40305=""),"-",(85.40305-207.3139)/3828107.2484*100)</f>
        <v>-3.1846247267746743E-3</v>
      </c>
      <c r="G110" s="32">
        <f>IF(OR(5111634.66749="",169.33746="",85.40305=""),"-",(169.33746-85.40305)/5111634.66749*100)</f>
        <v>1.6420267773403858E-3</v>
      </c>
    </row>
    <row r="111" spans="1:7" x14ac:dyDescent="0.25">
      <c r="A111" s="19" t="s">
        <v>292</v>
      </c>
      <c r="B111" s="21">
        <v>161.03837999999999</v>
      </c>
      <c r="C111" s="32" t="s">
        <v>393</v>
      </c>
      <c r="D111" s="32">
        <f>IF(0.12815="","-",0.12815/5111634.66749*100)</f>
        <v>2.5070258016488168E-6</v>
      </c>
      <c r="E111" s="32">
        <f>IF(161.03838="","-",161.03838/5010773.72271*100)</f>
        <v>3.2138425902198758E-3</v>
      </c>
      <c r="F111" s="32">
        <f>IF(OR(3828107.2484="",4.18484="",0.12815=""),"-",(0.12815-4.18484)/3828107.2484*100)</f>
        <v>-1.059711689555077E-4</v>
      </c>
      <c r="G111" s="32">
        <f>IF(OR(5111634.66749="",161.03838="",0.12815=""),"-",(161.03838-0.12815)/5111634.66749*100)</f>
        <v>3.1479211733066365E-3</v>
      </c>
    </row>
    <row r="112" spans="1:7" x14ac:dyDescent="0.25">
      <c r="A112" s="19" t="s">
        <v>57</v>
      </c>
      <c r="B112" s="21">
        <v>158.02221</v>
      </c>
      <c r="C112" s="32">
        <f>IF(OR(340.60876="",158.02221=""),"-",158.02221/340.60876*100)</f>
        <v>46.394053400153304</v>
      </c>
      <c r="D112" s="32">
        <f>IF(340.60876="","-",340.60876/5111634.66749*100)</f>
        <v>6.6634018695872774E-3</v>
      </c>
      <c r="E112" s="32">
        <f>IF(158.02221="","-",158.02221/5010773.72271*100)</f>
        <v>3.1536488922620141E-3</v>
      </c>
      <c r="F112" s="32">
        <f>IF(OR(3828107.2484="",206.32074="",340.60876=""),"-",(340.60876-206.32074)/3828107.2484*100)</f>
        <v>3.5079482179117944E-3</v>
      </c>
      <c r="G112" s="32">
        <f>IF(OR(5111634.66749="",158.02221="",340.60876=""),"-",(158.02221-340.60876)/5111634.66749*100)</f>
        <v>-3.5719796479441422E-3</v>
      </c>
    </row>
    <row r="113" spans="1:7" x14ac:dyDescent="0.25">
      <c r="A113" s="73" t="s">
        <v>317</v>
      </c>
      <c r="B113" s="21">
        <v>153.82988</v>
      </c>
      <c r="C113" s="32">
        <f>IF(OR(100.91819="",153.82988=""),"-",153.82988/100.91819*100)</f>
        <v>152.43028040831888</v>
      </c>
      <c r="D113" s="32">
        <f>IF(100.91819="","-",100.91819/5111634.66749*100)</f>
        <v>1.9742840904073164E-3</v>
      </c>
      <c r="E113" s="32">
        <f>IF(153.82988="","-",153.82988/5010773.72271*100)</f>
        <v>3.0699825718093583E-3</v>
      </c>
      <c r="F113" s="32">
        <f>IF(OR(3828107.2484="",2.93852="",100.91819=""),"-",(100.91819-2.93852)/3828107.2484*100)</f>
        <v>2.559480799315424E-3</v>
      </c>
      <c r="G113" s="32">
        <f>IF(OR(5111634.66749="",153.82988="",100.91819=""),"-",(153.82988-100.91819)/5111634.66749*100)</f>
        <v>1.0351226846573834E-3</v>
      </c>
    </row>
    <row r="114" spans="1:7" x14ac:dyDescent="0.25">
      <c r="A114" s="19" t="s">
        <v>321</v>
      </c>
      <c r="B114" s="21">
        <v>128.27024</v>
      </c>
      <c r="C114" s="32">
        <f>IF(OR(112.98083="",128.27024=""),"-",128.27024/112.98083*100)</f>
        <v>113.53274710408836</v>
      </c>
      <c r="D114" s="32">
        <f>IF(112.98083="","-",112.98083/5111634.66749*100)</f>
        <v>2.210268091312514E-3</v>
      </c>
      <c r="E114" s="32">
        <f>IF(128.27024="","-",128.27024/5010773.72271*100)</f>
        <v>2.5598888933788654E-3</v>
      </c>
      <c r="F114" s="32">
        <f>IF(OR(3828107.2484="",78.09451="",112.98083=""),"-",(112.98083-78.09451)/3828107.2484*100)</f>
        <v>9.1132034021724757E-4</v>
      </c>
      <c r="G114" s="32">
        <f>IF(OR(5111634.66749="",128.27024="",112.98083=""),"-",(128.27024-112.98083)/5111634.66749*100)</f>
        <v>2.9910999111968354E-4</v>
      </c>
    </row>
    <row r="115" spans="1:7" x14ac:dyDescent="0.25">
      <c r="A115" s="19" t="s">
        <v>311</v>
      </c>
      <c r="B115" s="21">
        <v>124.87029</v>
      </c>
      <c r="C115" s="32">
        <f>IF(OR(115.6273="",124.87029=""),"-",124.87029/115.6273*100)</f>
        <v>107.99377828592382</v>
      </c>
      <c r="D115" s="32">
        <f>IF(115.6273="","-",115.6273/5111634.66749*100)</f>
        <v>2.2620415487708797E-3</v>
      </c>
      <c r="E115" s="32">
        <f>IF(124.87029="","-",124.87029/5010773.72271*100)</f>
        <v>2.4920360988176056E-3</v>
      </c>
      <c r="F115" s="32">
        <f>IF(OR(3828107.2484="",106.41492="",115.6273=""),"-",(115.6273-106.41492)/3828107.2484*100)</f>
        <v>2.4065104246623255E-4</v>
      </c>
      <c r="G115" s="32">
        <f>IF(OR(5111634.66749="",124.87029="",115.6273=""),"-",(124.87029-115.6273)/5111634.66749*100)</f>
        <v>1.8082258614422143E-4</v>
      </c>
    </row>
    <row r="116" spans="1:7" x14ac:dyDescent="0.25">
      <c r="A116" s="19" t="s">
        <v>275</v>
      </c>
      <c r="B116" s="21">
        <v>119.5218</v>
      </c>
      <c r="C116" s="32">
        <f>IF(OR(76.83319="",119.5218=""),"-",119.5218/76.83319*100)</f>
        <v>155.56011666312435</v>
      </c>
      <c r="D116" s="32">
        <f>IF(76.83319="","-",76.83319/5111634.66749*100)</f>
        <v>1.5031040948340682E-3</v>
      </c>
      <c r="E116" s="32">
        <f>IF(119.5218="","-",119.5218/5010773.72271*100)</f>
        <v>2.3852962958255172E-3</v>
      </c>
      <c r="F116" s="32">
        <f>IF(OR(3828107.2484="",77.90929="",76.83319=""),"-",(76.83319-77.90929)/3828107.2484*100)</f>
        <v>-2.8110497699607676E-5</v>
      </c>
      <c r="G116" s="32">
        <f>IF(OR(5111634.66749="",119.5218="",76.83319=""),"-",(119.5218-76.83319)/5111634.66749*100)</f>
        <v>8.3512638865800763E-4</v>
      </c>
    </row>
    <row r="117" spans="1:7" x14ac:dyDescent="0.25">
      <c r="A117" s="19" t="s">
        <v>315</v>
      </c>
      <c r="B117" s="21">
        <v>99.153270000000006</v>
      </c>
      <c r="C117" s="32" t="s">
        <v>394</v>
      </c>
      <c r="D117" s="32">
        <f>IF(0.96429="","-",0.96429/5111634.66749*100)</f>
        <v>1.8864611082886754E-5</v>
      </c>
      <c r="E117" s="32">
        <f>IF(99.15327="","-",99.15327/5010773.72271*100)</f>
        <v>1.9788015880783873E-3</v>
      </c>
      <c r="F117" s="32">
        <f>IF(OR(3828107.2484="",1.13188="",0.96429=""),"-",(0.96429-1.13188)/3828107.2484*100)</f>
        <v>-4.3778815253947265E-6</v>
      </c>
      <c r="G117" s="32">
        <f>IF(OR(5111634.66749="",99.15327="",0.96429=""),"-",(99.15327-0.96429)/5111634.66749*100)</f>
        <v>1.920891972669369E-3</v>
      </c>
    </row>
    <row r="118" spans="1:7" x14ac:dyDescent="0.25">
      <c r="A118" s="19" t="s">
        <v>309</v>
      </c>
      <c r="B118" s="21">
        <v>97.904979999999995</v>
      </c>
      <c r="C118" s="32" t="s">
        <v>395</v>
      </c>
      <c r="D118" s="32">
        <f>IF(1.64603="","-",1.64603/5111634.66749*100)</f>
        <v>3.2201636209816639E-5</v>
      </c>
      <c r="E118" s="32">
        <f>IF(97.90498="","-",97.90498/5010773.72271*100)</f>
        <v>1.9538894673345893E-3</v>
      </c>
      <c r="F118" s="32">
        <f>IF(OR(3828107.2484="",22.95137="",1.64603=""),"-",(1.64603-22.95137)/3828107.2484*100)</f>
        <v>-5.5655023795126964E-4</v>
      </c>
      <c r="G118" s="32">
        <f>IF(OR(5111634.66749="",97.90498="",1.64603=""),"-",(97.90498-1.64603)/5111634.66749*100)</f>
        <v>1.8831343838441152E-3</v>
      </c>
    </row>
    <row r="119" spans="1:7" x14ac:dyDescent="0.25">
      <c r="A119" s="19" t="s">
        <v>322</v>
      </c>
      <c r="B119" s="21">
        <v>81.019390000000001</v>
      </c>
      <c r="C119" s="32">
        <f>IF(OR(105.48677="",81.01939=""),"-",81.01939/105.48677*100)</f>
        <v>76.805261930003169</v>
      </c>
      <c r="D119" s="32">
        <f>IF(105.48677="","-",105.48677/5111634.66749*100)</f>
        <v>2.0636601960405338E-3</v>
      </c>
      <c r="E119" s="32">
        <f>IF(81.01939="","-",81.01939/5010773.72271*100)</f>
        <v>1.616903785393484E-3</v>
      </c>
      <c r="F119" s="32">
        <f>IF(OR(3828107.2484="",59.60788="",105.48677=""),"-",(105.48677-59.60788)/3828107.2484*100)</f>
        <v>1.19847452077461E-3</v>
      </c>
      <c r="G119" s="32">
        <f>IF(OR(5111634.66749="",81.01939="",105.48677=""),"-",(81.01939-105.48677)/5111634.66749*100)</f>
        <v>-4.7866057712638499E-4</v>
      </c>
    </row>
    <row r="120" spans="1:7" x14ac:dyDescent="0.25">
      <c r="A120" s="19" t="s">
        <v>334</v>
      </c>
      <c r="B120" s="20">
        <v>77.254769999999994</v>
      </c>
      <c r="C120" s="32">
        <f>IF(OR(54.12624="",77.25477=""),"-",77.25477/54.12624*100)</f>
        <v>142.73071619236802</v>
      </c>
      <c r="D120" s="32">
        <f>IF(54.12624="","-",54.12624/5111634.66749*100)</f>
        <v>1.0588831855344227E-3</v>
      </c>
      <c r="E120" s="32">
        <f>IF(77.25477="","-",77.25477/5010773.72271*100)</f>
        <v>1.5417732724561735E-3</v>
      </c>
      <c r="F120" s="32">
        <f>IF(OR(3828107.2484="",56.5909="",54.12624=""),"-",(54.12624-56.5909)/3828107.2484*100)</f>
        <v>-6.4383253657016192E-5</v>
      </c>
      <c r="G120" s="32">
        <f>IF(OR(5111634.66749="",77.25477="",54.12624=""),"-",(77.25477-54.12624)/5111634.66749*100)</f>
        <v>4.5246836881942013E-4</v>
      </c>
    </row>
    <row r="121" spans="1:7" x14ac:dyDescent="0.25">
      <c r="A121" s="19" t="s">
        <v>310</v>
      </c>
      <c r="B121" s="21">
        <v>76.705600000000004</v>
      </c>
      <c r="C121" s="32" t="s">
        <v>342</v>
      </c>
      <c r="D121" s="32">
        <f>IF(21.99264="","-",21.99264/5111634.66749*100)</f>
        <v>4.302467103111497E-4</v>
      </c>
      <c r="E121" s="32">
        <f>IF(76.7056="","-",76.7056/5010773.72271*100)</f>
        <v>1.5308134879919292E-3</v>
      </c>
      <c r="F121" s="32">
        <f>IF(OR(3828107.2484="",107.34369="",21.99264=""),"-",(21.99264-107.34369)/3828107.2484*100)</f>
        <v>-2.2295887879231549E-3</v>
      </c>
      <c r="G121" s="32">
        <f>IF(OR(5111634.66749="",76.7056="",21.99264=""),"-",(76.7056-21.99264)/5111634.66749*100)</f>
        <v>1.0703613141207931E-3</v>
      </c>
    </row>
    <row r="122" spans="1:7" x14ac:dyDescent="0.25">
      <c r="A122" s="19" t="s">
        <v>316</v>
      </c>
      <c r="B122" s="20">
        <v>74.115970000000004</v>
      </c>
      <c r="C122" s="32" t="s">
        <v>396</v>
      </c>
      <c r="D122" s="32">
        <f>IF(0.07316="","-",0.07316/5111634.66749*100)</f>
        <v>1.4312446948780916E-6</v>
      </c>
      <c r="E122" s="32">
        <f>IF(74.11597="","-",74.11597/5010773.72271*100)</f>
        <v>1.4791322478620232E-3</v>
      </c>
      <c r="F122" s="32">
        <f>IF(OR(3828107.2484="",113.63933="",0.07316=""),"-",(0.07316-113.63933)/3828107.2484*100)</f>
        <v>-2.9666402383963053E-3</v>
      </c>
      <c r="G122" s="32">
        <f>IF(OR(5111634.66749="",74.11597="",0.07316=""),"-",(74.11597-0.07316)/5111634.66749*100)</f>
        <v>1.448515295330324E-3</v>
      </c>
    </row>
    <row r="123" spans="1:7" x14ac:dyDescent="0.25">
      <c r="A123" s="19" t="s">
        <v>335</v>
      </c>
      <c r="B123" s="21">
        <v>71.849770000000007</v>
      </c>
      <c r="C123" s="32">
        <f>IF(OR(80.31613="",71.84977=""),"-",71.84977/80.31613*100)</f>
        <v>89.45870524389062</v>
      </c>
      <c r="D123" s="32">
        <f>IF(80.31613="","-",80.31613/5111634.66749*100)</f>
        <v>1.5712415934341052E-3</v>
      </c>
      <c r="E123" s="32">
        <f>IF(71.84977="","-",71.84977/5010773.72271*100)</f>
        <v>1.4339056995202161E-3</v>
      </c>
      <c r="F123" s="32">
        <f>IF(OR(3828107.2484="",30.41065="",80.31613=""),"-",(80.31613-30.41065)/3828107.2484*100)</f>
        <v>1.3036594003696879E-3</v>
      </c>
      <c r="G123" s="32">
        <f>IF(OR(5111634.66749="",71.84977="",80.31613=""),"-",(71.84977-80.31613)/5111634.66749*100)</f>
        <v>-1.6562920769447884E-4</v>
      </c>
    </row>
    <row r="124" spans="1:7" x14ac:dyDescent="0.25">
      <c r="A124" s="19" t="s">
        <v>323</v>
      </c>
      <c r="B124" s="20">
        <v>62.173639999999999</v>
      </c>
      <c r="C124" s="32">
        <f>IF(OR(80.19554="",62.17364=""),"-",62.17364/80.19554*100)</f>
        <v>77.527553277900495</v>
      </c>
      <c r="D124" s="32">
        <f>IF(80.19554="","-",80.19554/5111634.66749*100)</f>
        <v>1.5688824655260222E-3</v>
      </c>
      <c r="E124" s="32">
        <f>IF(62.17364="","-",62.17364/5010773.72271*100)</f>
        <v>1.2407991947074859E-3</v>
      </c>
      <c r="F124" s="32">
        <f>IF(OR(3828107.2484="",35.99658="",80.19554=""),"-",(80.19554-35.99658)/3828107.2484*100)</f>
        <v>1.1545904315631032E-3</v>
      </c>
      <c r="G124" s="32">
        <f>IF(OR(5111634.66749="",62.17364="",80.19554=""),"-",(62.17364-80.19554)/5111634.66749*100)</f>
        <v>-3.5256627619769645E-4</v>
      </c>
    </row>
    <row r="125" spans="1:7" s="28" customFormat="1" ht="12" x14ac:dyDescent="0.2">
      <c r="A125" s="33" t="s">
        <v>324</v>
      </c>
      <c r="B125" s="34">
        <v>58.086939999999998</v>
      </c>
      <c r="C125" s="35">
        <f>IF(OR(38.62118="",58.08694=""),"-",58.08694/38.62118*100)</f>
        <v>150.40177436318621</v>
      </c>
      <c r="D125" s="35">
        <f>IF(38.62118="","-",38.62118/5111634.66749*100)</f>
        <v>7.5555438743755954E-4</v>
      </c>
      <c r="E125" s="35">
        <f>IF(58.08694="","-",58.08694/5010773.72271*100)</f>
        <v>1.1592409319290627E-3</v>
      </c>
      <c r="F125" s="35">
        <f>IF(OR(3828107.2484="",76.82181="",38.62118=""),"-",(38.62118-76.82181)/3828107.2484*100)</f>
        <v>-9.9789863557157073E-4</v>
      </c>
      <c r="G125" s="35">
        <f>IF(OR(5111634.66749="",58.08694="",38.62118=""),"-",(58.08694-38.62118)/5111634.66749*100)</f>
        <v>3.8081281754743238E-4</v>
      </c>
    </row>
    <row r="126" spans="1:7" s="28" customFormat="1" ht="14.25" customHeight="1" x14ac:dyDescent="0.2">
      <c r="A126" s="10" t="s">
        <v>269</v>
      </c>
      <c r="B126" s="11"/>
      <c r="C126" s="12"/>
      <c r="D126" s="11"/>
      <c r="E126" s="11"/>
      <c r="F126" s="27"/>
      <c r="G126" s="27"/>
    </row>
    <row r="127" spans="1:7" s="28" customFormat="1" ht="15" customHeight="1" x14ac:dyDescent="0.2">
      <c r="A127" s="75" t="s">
        <v>329</v>
      </c>
      <c r="B127" s="75"/>
      <c r="C127" s="75"/>
      <c r="D127" s="75"/>
      <c r="E127" s="75"/>
      <c r="F127" s="27"/>
      <c r="G127" s="27"/>
    </row>
  </sheetData>
  <mergeCells count="7">
    <mergeCell ref="A127:E127"/>
    <mergeCell ref="A1:G1"/>
    <mergeCell ref="A3:A4"/>
    <mergeCell ref="B3:C3"/>
    <mergeCell ref="D3:E3"/>
    <mergeCell ref="F3:G3"/>
    <mergeCell ref="A2:G2"/>
  </mergeCells>
  <phoneticPr fontId="3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141"/>
  <sheetViews>
    <sheetView workbookViewId="0">
      <selection sqref="A1:D1"/>
    </sheetView>
  </sheetViews>
  <sheetFormatPr defaultRowHeight="15.75" x14ac:dyDescent="0.25"/>
  <cols>
    <col min="1" max="1" width="48.25" style="42" customWidth="1"/>
    <col min="2" max="2" width="14.125" style="42" customWidth="1"/>
    <col min="3" max="3" width="14" style="42" customWidth="1"/>
    <col min="4" max="4" width="13.125" style="42" customWidth="1"/>
  </cols>
  <sheetData>
    <row r="1" spans="1:4" x14ac:dyDescent="0.25">
      <c r="A1" s="86" t="s">
        <v>343</v>
      </c>
      <c r="B1" s="86"/>
      <c r="C1" s="86"/>
      <c r="D1" s="86"/>
    </row>
    <row r="2" spans="1:4" x14ac:dyDescent="0.25">
      <c r="A2" s="87"/>
      <c r="B2" s="87"/>
      <c r="C2" s="87"/>
      <c r="D2" s="87"/>
    </row>
    <row r="3" spans="1:4" ht="69" customHeight="1" x14ac:dyDescent="0.25">
      <c r="A3" s="38"/>
      <c r="B3" s="38" t="s">
        <v>365</v>
      </c>
      <c r="C3" s="39" t="s">
        <v>366</v>
      </c>
      <c r="D3" s="39" t="s">
        <v>367</v>
      </c>
    </row>
    <row r="4" spans="1:4" s="26" customFormat="1" ht="17.25" customHeight="1" x14ac:dyDescent="0.2">
      <c r="A4" s="9" t="s">
        <v>301</v>
      </c>
      <c r="B4" s="43">
        <v>-2482021.4225099999</v>
      </c>
      <c r="C4" s="43">
        <v>-2664320.0204099999</v>
      </c>
      <c r="D4" s="43">
        <f>IF(-2482021.42251="","-",-2664320.02041/-2482021.42251*100)</f>
        <v>107.34476327426886</v>
      </c>
    </row>
    <row r="5" spans="1:4" x14ac:dyDescent="0.25">
      <c r="A5" s="30" t="s">
        <v>118</v>
      </c>
      <c r="B5" s="40"/>
      <c r="C5" s="40"/>
      <c r="D5" s="40"/>
    </row>
    <row r="6" spans="1:4" x14ac:dyDescent="0.25">
      <c r="A6" s="17" t="s">
        <v>286</v>
      </c>
      <c r="B6" s="31">
        <v>-775900.48924000002</v>
      </c>
      <c r="C6" s="31">
        <v>-990265.99716999999</v>
      </c>
      <c r="D6" s="31">
        <f>IF(-775900.48924="","-",-990265.99717/-775900.48924*100)</f>
        <v>127.6279640112062</v>
      </c>
    </row>
    <row r="7" spans="1:4" x14ac:dyDescent="0.25">
      <c r="A7" s="19" t="s">
        <v>3</v>
      </c>
      <c r="B7" s="32">
        <v>-190719.50260000001</v>
      </c>
      <c r="C7" s="32">
        <v>-229038.89086000001</v>
      </c>
      <c r="D7" s="32">
        <f>IF(OR(-190719.5026="",-229038.89086="",-190719.5026=0),"-",-229038.89086/-190719.5026*100)</f>
        <v>120.09201352646566</v>
      </c>
    </row>
    <row r="8" spans="1:4" x14ac:dyDescent="0.25">
      <c r="A8" s="19" t="s">
        <v>2</v>
      </c>
      <c r="B8" s="32">
        <v>-47048.75101</v>
      </c>
      <c r="C8" s="32">
        <v>-112418.01794999999</v>
      </c>
      <c r="D8" s="32" t="s">
        <v>313</v>
      </c>
    </row>
    <row r="9" spans="1:4" x14ac:dyDescent="0.25">
      <c r="A9" s="19" t="s">
        <v>4</v>
      </c>
      <c r="B9" s="32">
        <v>-98835.233129999993</v>
      </c>
      <c r="C9" s="32">
        <v>-111069.84978</v>
      </c>
      <c r="D9" s="32">
        <f>IF(OR(-98835.23313="",-111069.84978="",-98835.23313=0),"-",-111069.84978/-98835.23313*100)</f>
        <v>112.37880082086474</v>
      </c>
    </row>
    <row r="10" spans="1:4" x14ac:dyDescent="0.25">
      <c r="A10" s="19" t="s">
        <v>276</v>
      </c>
      <c r="B10" s="32">
        <v>-87468.864360000007</v>
      </c>
      <c r="C10" s="32">
        <v>-100450.21115</v>
      </c>
      <c r="D10" s="32">
        <f>IF(OR(-87468.86436="",-100450.21115="",-87468.86436=0),"-",-100450.21115/-87468.86436*100)</f>
        <v>114.84110590092038</v>
      </c>
    </row>
    <row r="11" spans="1:4" x14ac:dyDescent="0.25">
      <c r="A11" s="19" t="s">
        <v>39</v>
      </c>
      <c r="B11" s="32">
        <v>-74346.194600000003</v>
      </c>
      <c r="C11" s="32">
        <v>-81411.545469999997</v>
      </c>
      <c r="D11" s="32">
        <f>IF(OR(-74346.1946="",-81411.54547="",-74346.1946=0),"-",-81411.54547/-74346.1946*100)</f>
        <v>109.50331204981406</v>
      </c>
    </row>
    <row r="12" spans="1:4" x14ac:dyDescent="0.25">
      <c r="A12" s="19" t="s">
        <v>7</v>
      </c>
      <c r="B12" s="32">
        <v>-14633.06942</v>
      </c>
      <c r="C12" s="32">
        <v>-57859.12644</v>
      </c>
      <c r="D12" s="32" t="s">
        <v>325</v>
      </c>
    </row>
    <row r="13" spans="1:4" x14ac:dyDescent="0.25">
      <c r="A13" s="19" t="s">
        <v>5</v>
      </c>
      <c r="B13" s="32">
        <v>44087.039579999997</v>
      </c>
      <c r="C13" s="32">
        <v>-51040.209349999997</v>
      </c>
      <c r="D13" s="32" t="s">
        <v>19</v>
      </c>
    </row>
    <row r="14" spans="1:4" x14ac:dyDescent="0.25">
      <c r="A14" s="19" t="s">
        <v>6</v>
      </c>
      <c r="B14" s="32">
        <v>-35523.709569999999</v>
      </c>
      <c r="C14" s="32">
        <v>-45826.98558</v>
      </c>
      <c r="D14" s="32">
        <f>IF(OR(-35523.70957="",-45826.98558="",-35523.70957=0),"-",-45826.98558/-35523.70957*100)</f>
        <v>129.00394169054118</v>
      </c>
    </row>
    <row r="15" spans="1:4" x14ac:dyDescent="0.25">
      <c r="A15" s="19" t="s">
        <v>41</v>
      </c>
      <c r="B15" s="32">
        <v>-22237.326430000001</v>
      </c>
      <c r="C15" s="32">
        <v>-40850.305910000003</v>
      </c>
      <c r="D15" s="32" t="s">
        <v>188</v>
      </c>
    </row>
    <row r="16" spans="1:4" x14ac:dyDescent="0.25">
      <c r="A16" s="19" t="s">
        <v>37</v>
      </c>
      <c r="B16" s="32">
        <v>-38018.414530000002</v>
      </c>
      <c r="C16" s="32">
        <v>-25716.288680000001</v>
      </c>
      <c r="D16" s="32">
        <f>IF(OR(-38018.41453="",-25716.28868="",-38018.41453=0),"-",-25716.28868/-38018.41453*100)</f>
        <v>67.641665224380944</v>
      </c>
    </row>
    <row r="17" spans="1:4" x14ac:dyDescent="0.25">
      <c r="A17" s="19" t="s">
        <v>47</v>
      </c>
      <c r="B17" s="32">
        <v>-18486.524389999999</v>
      </c>
      <c r="C17" s="32">
        <v>-25300.168689999999</v>
      </c>
      <c r="D17" s="32">
        <f>IF(OR(-18486.52439="",-25300.16869="",-18486.52439=0),"-",-25300.16869/-18486.52439*100)</f>
        <v>136.85735704698357</v>
      </c>
    </row>
    <row r="18" spans="1:4" x14ac:dyDescent="0.25">
      <c r="A18" s="19" t="s">
        <v>38</v>
      </c>
      <c r="B18" s="32">
        <v>-18784.531879999999</v>
      </c>
      <c r="C18" s="32">
        <v>-24112.06552</v>
      </c>
      <c r="D18" s="32">
        <f>IF(OR(-18784.53188="",-24112.06552="",-18784.53188=0),"-",-24112.06552/-18784.53188*100)</f>
        <v>128.36127977015096</v>
      </c>
    </row>
    <row r="19" spans="1:4" x14ac:dyDescent="0.25">
      <c r="A19" s="19" t="s">
        <v>285</v>
      </c>
      <c r="B19" s="32">
        <v>-2932.8127300000001</v>
      </c>
      <c r="C19" s="32">
        <v>-22695.6168</v>
      </c>
      <c r="D19" s="32" t="s">
        <v>397</v>
      </c>
    </row>
    <row r="20" spans="1:4" x14ac:dyDescent="0.25">
      <c r="A20" s="19" t="s">
        <v>1</v>
      </c>
      <c r="B20" s="32">
        <v>-100574.06957000001</v>
      </c>
      <c r="C20" s="32">
        <v>-20726.374210000002</v>
      </c>
      <c r="D20" s="32">
        <f>IF(OR(-100574.06957="",-20726.37421="",-100574.06957=0),"-",-20726.37421/-100574.06957*100)</f>
        <v>20.608069553727614</v>
      </c>
    </row>
    <row r="21" spans="1:4" x14ac:dyDescent="0.25">
      <c r="A21" s="19" t="s">
        <v>48</v>
      </c>
      <c r="B21" s="32">
        <v>-1469.13401</v>
      </c>
      <c r="C21" s="32">
        <v>-18719.425670000001</v>
      </c>
      <c r="D21" s="32" t="s">
        <v>398</v>
      </c>
    </row>
    <row r="22" spans="1:4" x14ac:dyDescent="0.25">
      <c r="A22" s="19" t="s">
        <v>49</v>
      </c>
      <c r="B22" s="32">
        <v>-17250.209500000001</v>
      </c>
      <c r="C22" s="32">
        <v>-18251.92193</v>
      </c>
      <c r="D22" s="32">
        <f>IF(OR(-17250.2095="",-18251.92193="",-17250.2095=0),"-",-18251.92193/-17250.2095*100)</f>
        <v>105.80695805462537</v>
      </c>
    </row>
    <row r="23" spans="1:4" x14ac:dyDescent="0.25">
      <c r="A23" s="19" t="s">
        <v>46</v>
      </c>
      <c r="B23" s="32">
        <v>-12026.312970000001</v>
      </c>
      <c r="C23" s="32">
        <v>-11037.332839999999</v>
      </c>
      <c r="D23" s="32">
        <f>IF(OR(-12026.31297="",-11037.33284="",-12026.31297=0),"-",-11037.33284/-12026.31297*100)</f>
        <v>91.776530907959554</v>
      </c>
    </row>
    <row r="24" spans="1:4" x14ac:dyDescent="0.25">
      <c r="A24" s="19" t="s">
        <v>45</v>
      </c>
      <c r="B24" s="32">
        <v>-10786.710160000001</v>
      </c>
      <c r="C24" s="32">
        <v>-9301.9998899999991</v>
      </c>
      <c r="D24" s="32">
        <f>IF(OR(-10786.71016="",-9301.99989="",-10786.71016=0),"-",-9301.99989/-10786.71016*100)</f>
        <v>86.235745208898777</v>
      </c>
    </row>
    <row r="25" spans="1:4" x14ac:dyDescent="0.25">
      <c r="A25" s="19" t="s">
        <v>42</v>
      </c>
      <c r="B25" s="32">
        <v>-7110.3752599999998</v>
      </c>
      <c r="C25" s="32">
        <v>-5544.3002399999996</v>
      </c>
      <c r="D25" s="32">
        <f>IF(OR(-7110.37526="",-5544.30024="",-7110.37526=0),"-",-5544.30024/-7110.37526*100)</f>
        <v>77.974790883259232</v>
      </c>
    </row>
    <row r="26" spans="1:4" x14ac:dyDescent="0.25">
      <c r="A26" s="19" t="s">
        <v>50</v>
      </c>
      <c r="B26" s="32">
        <v>-4611.5024999999996</v>
      </c>
      <c r="C26" s="32">
        <v>-3790.1760899999999</v>
      </c>
      <c r="D26" s="32">
        <f>IF(OR(-4611.5025="",-3790.17609="",-4611.5025=0),"-",-3790.17609/-4611.5025*100)</f>
        <v>82.189613688814006</v>
      </c>
    </row>
    <row r="27" spans="1:4" x14ac:dyDescent="0.25">
      <c r="A27" s="19" t="s">
        <v>43</v>
      </c>
      <c r="B27" s="32">
        <v>-1278.7729999999999</v>
      </c>
      <c r="C27" s="32">
        <v>-1690.1506099999999</v>
      </c>
      <c r="D27" s="32">
        <f>IF(OR(-1278.773="",-1690.15061="",-1278.773=0),"-",-1690.15061/-1278.773*100)</f>
        <v>132.16971346751927</v>
      </c>
    </row>
    <row r="28" spans="1:4" x14ac:dyDescent="0.25">
      <c r="A28" s="19" t="s">
        <v>51</v>
      </c>
      <c r="B28" s="32">
        <v>-1666.0184899999999</v>
      </c>
      <c r="C28" s="32">
        <v>-1103.3889999999999</v>
      </c>
      <c r="D28" s="32">
        <f>IF(OR(-1666.01849="",-1103.389="",-1666.01849=0),"-",-1103.389/-1666.01849*100)</f>
        <v>66.229096893156324</v>
      </c>
    </row>
    <row r="29" spans="1:4" x14ac:dyDescent="0.25">
      <c r="A29" s="19" t="s">
        <v>52</v>
      </c>
      <c r="B29" s="32">
        <v>-31.292200000000001</v>
      </c>
      <c r="C29" s="32">
        <v>-21.61871</v>
      </c>
      <c r="D29" s="32">
        <f>IF(OR(-31.2922="",-21.61871="",-31.2922=0),"-",-21.61871/-31.2922*100)</f>
        <v>69.086577485763229</v>
      </c>
    </row>
    <row r="30" spans="1:4" ht="14.25" customHeight="1" x14ac:dyDescent="0.25">
      <c r="A30" s="19" t="s">
        <v>406</v>
      </c>
      <c r="B30" s="32">
        <v>-75.584540000000004</v>
      </c>
      <c r="C30" s="32">
        <v>-2.7730899999999998</v>
      </c>
      <c r="D30" s="32">
        <f>IF(OR(-75.58454="",-2.77309="",-75.58454=0),"-",-2.77309/-75.58454*100)</f>
        <v>3.6688587375143111</v>
      </c>
    </row>
    <row r="31" spans="1:4" x14ac:dyDescent="0.25">
      <c r="A31" s="19" t="s">
        <v>277</v>
      </c>
      <c r="B31" s="32">
        <v>-3861.9961400000002</v>
      </c>
      <c r="C31" s="32">
        <v>932.44060000000002</v>
      </c>
      <c r="D31" s="32" t="s">
        <v>19</v>
      </c>
    </row>
    <row r="32" spans="1:4" ht="16.5" customHeight="1" x14ac:dyDescent="0.25">
      <c r="A32" s="19" t="s">
        <v>280</v>
      </c>
      <c r="B32" s="32">
        <v>-19046.185300000001</v>
      </c>
      <c r="C32" s="32">
        <v>2462.9502499999999</v>
      </c>
      <c r="D32" s="32" t="s">
        <v>19</v>
      </c>
    </row>
    <row r="33" spans="1:4" x14ac:dyDescent="0.25">
      <c r="A33" s="19" t="s">
        <v>40</v>
      </c>
      <c r="B33" s="32">
        <v>-2638.9818399999999</v>
      </c>
      <c r="C33" s="32">
        <v>2914.48405</v>
      </c>
      <c r="D33" s="32" t="s">
        <v>19</v>
      </c>
    </row>
    <row r="34" spans="1:4" x14ac:dyDescent="0.25">
      <c r="A34" s="19" t="s">
        <v>44</v>
      </c>
      <c r="B34" s="32">
        <v>11474.551310000001</v>
      </c>
      <c r="C34" s="32">
        <v>21402.87239</v>
      </c>
      <c r="D34" s="32" t="s">
        <v>100</v>
      </c>
    </row>
    <row r="35" spans="1:4" x14ac:dyDescent="0.25">
      <c r="A35" s="17" t="s">
        <v>189</v>
      </c>
      <c r="B35" s="31">
        <v>-804398.40477000002</v>
      </c>
      <c r="C35" s="31">
        <v>-386989.99612000003</v>
      </c>
      <c r="D35" s="31">
        <f>IF(-804398.40477="","-",-386989.99612/-804398.40477*100)</f>
        <v>48.109244601330516</v>
      </c>
    </row>
    <row r="36" spans="1:4" x14ac:dyDescent="0.25">
      <c r="A36" s="19" t="s">
        <v>9</v>
      </c>
      <c r="B36" s="32">
        <v>-152163.55619</v>
      </c>
      <c r="C36" s="32">
        <v>-230239.94023000001</v>
      </c>
      <c r="D36" s="32">
        <f>IF(OR(-152163.55619="",-230239.94023="",-152163.55619=0),"-",-230239.94023/-152163.55619*100)</f>
        <v>151.31083026379159</v>
      </c>
    </row>
    <row r="37" spans="1:4" x14ac:dyDescent="0.25">
      <c r="A37" s="19" t="s">
        <v>278</v>
      </c>
      <c r="B37" s="32">
        <v>-595104.14687000006</v>
      </c>
      <c r="C37" s="32">
        <v>-120866.5108</v>
      </c>
      <c r="D37" s="32">
        <f>IF(OR(-595104.14687="",-120866.5108="",-595104.14687=0),"-",-120866.5108/-595104.14687*100)</f>
        <v>20.310144272344179</v>
      </c>
    </row>
    <row r="38" spans="1:4" x14ac:dyDescent="0.25">
      <c r="A38" s="19" t="s">
        <v>10</v>
      </c>
      <c r="B38" s="32">
        <v>-5112.4117900000001</v>
      </c>
      <c r="C38" s="32">
        <v>-23784.548940000001</v>
      </c>
      <c r="D38" s="32" t="s">
        <v>380</v>
      </c>
    </row>
    <row r="39" spans="1:4" x14ac:dyDescent="0.25">
      <c r="A39" s="19" t="s">
        <v>11</v>
      </c>
      <c r="B39" s="32">
        <v>-7245.7163399999999</v>
      </c>
      <c r="C39" s="32">
        <v>-10790.21206</v>
      </c>
      <c r="D39" s="32">
        <f>IF(OR(-7245.71634="",-10790.21206="",-7245.71634=0),"-",-10790.21206/-7245.71634*100)</f>
        <v>148.91849961656104</v>
      </c>
    </row>
    <row r="40" spans="1:4" x14ac:dyDescent="0.25">
      <c r="A40" s="19" t="s">
        <v>13</v>
      </c>
      <c r="B40" s="32">
        <v>-11922.07807</v>
      </c>
      <c r="C40" s="32">
        <v>-9695.1927599999999</v>
      </c>
      <c r="D40" s="32">
        <f>IF(OR(-11922.07807="",-9695.19276="",-11922.07807=0),"-",-9695.19276/-11922.07807*100)</f>
        <v>81.32133259885623</v>
      </c>
    </row>
    <row r="41" spans="1:4" x14ac:dyDescent="0.25">
      <c r="A41" s="19" t="s">
        <v>12</v>
      </c>
      <c r="B41" s="32">
        <v>-5600.8947500000004</v>
      </c>
      <c r="C41" s="32">
        <v>-490.67876999999999</v>
      </c>
      <c r="D41" s="32">
        <f>IF(OR(-5600.89475="",-490.67877="",-5600.89475=0),"-",-490.67877/-5600.89475*100)</f>
        <v>8.7607211329939734</v>
      </c>
    </row>
    <row r="42" spans="1:4" x14ac:dyDescent="0.25">
      <c r="A42" s="19" t="s">
        <v>15</v>
      </c>
      <c r="B42" s="32">
        <v>58.553570000000001</v>
      </c>
      <c r="C42" s="32">
        <v>112.27042</v>
      </c>
      <c r="D42" s="32" t="s">
        <v>100</v>
      </c>
    </row>
    <row r="43" spans="1:4" x14ac:dyDescent="0.25">
      <c r="A43" s="19" t="s">
        <v>14</v>
      </c>
      <c r="B43" s="32">
        <v>-113.05813999999999</v>
      </c>
      <c r="C43" s="32">
        <v>688.01558999999997</v>
      </c>
      <c r="D43" s="32" t="s">
        <v>19</v>
      </c>
    </row>
    <row r="44" spans="1:4" x14ac:dyDescent="0.25">
      <c r="A44" s="19" t="s">
        <v>281</v>
      </c>
      <c r="B44" s="32">
        <v>-2237.85727</v>
      </c>
      <c r="C44" s="32">
        <v>3225.3996999999999</v>
      </c>
      <c r="D44" s="32" t="s">
        <v>19</v>
      </c>
    </row>
    <row r="45" spans="1:4" x14ac:dyDescent="0.25">
      <c r="A45" s="19" t="s">
        <v>8</v>
      </c>
      <c r="B45" s="32">
        <v>-24957.23892</v>
      </c>
      <c r="C45" s="32">
        <v>4851.4017299999996</v>
      </c>
      <c r="D45" s="32" t="s">
        <v>19</v>
      </c>
    </row>
    <row r="46" spans="1:4" x14ac:dyDescent="0.25">
      <c r="A46" s="17" t="s">
        <v>124</v>
      </c>
      <c r="B46" s="31">
        <v>-901722.52850000001</v>
      </c>
      <c r="C46" s="31">
        <v>-1287064.02712</v>
      </c>
      <c r="D46" s="31">
        <f>IF(-901722.5285="","-",-1287064.02712/-901722.5285*100)</f>
        <v>142.73393271664276</v>
      </c>
    </row>
    <row r="47" spans="1:4" x14ac:dyDescent="0.25">
      <c r="A47" s="19" t="s">
        <v>56</v>
      </c>
      <c r="B47" s="32">
        <v>-487533.12796000001</v>
      </c>
      <c r="C47" s="32">
        <v>-542038.98059000005</v>
      </c>
      <c r="D47" s="32">
        <f>IF(OR(-487533.12796="",-542038.98059="",-487533.12796=0),"-",-542038.98059/-487533.12796*100)</f>
        <v>111.1799279893185</v>
      </c>
    </row>
    <row r="48" spans="1:4" x14ac:dyDescent="0.25">
      <c r="A48" s="19" t="s">
        <v>53</v>
      </c>
      <c r="B48" s="41">
        <v>-126950.19232</v>
      </c>
      <c r="C48" s="32">
        <v>-349730.62940999999</v>
      </c>
      <c r="D48" s="32" t="s">
        <v>279</v>
      </c>
    </row>
    <row r="49" spans="1:4" x14ac:dyDescent="0.25">
      <c r="A49" s="19" t="s">
        <v>66</v>
      </c>
      <c r="B49" s="32">
        <v>-143633.58106</v>
      </c>
      <c r="C49" s="32">
        <v>-117659.04036</v>
      </c>
      <c r="D49" s="32">
        <f>IF(OR(-143633.58106="",-117659.04036="",-143633.58106=0),"-",-117659.04036/-143633.58106*100)</f>
        <v>81.916108678548056</v>
      </c>
    </row>
    <row r="50" spans="1:4" x14ac:dyDescent="0.25">
      <c r="A50" s="19" t="s">
        <v>72</v>
      </c>
      <c r="B50" s="32">
        <v>-36150.31682</v>
      </c>
      <c r="C50" s="32">
        <v>-51023.461179999998</v>
      </c>
      <c r="D50" s="32">
        <f>IF(OR(-36150.31682="",-51023.46118="",-36150.31682=0),"-",-51023.46118/-36150.31682*100)</f>
        <v>141.14250072566861</v>
      </c>
    </row>
    <row r="51" spans="1:4" x14ac:dyDescent="0.25">
      <c r="A51" s="19" t="s">
        <v>16</v>
      </c>
      <c r="B51" s="32">
        <v>-56650.343610000004</v>
      </c>
      <c r="C51" s="32">
        <v>-35530.91231</v>
      </c>
      <c r="D51" s="32">
        <f>IF(OR(-56650.34361="",-35530.91231="",-56650.34361=0),"-",-35530.91231/-56650.34361*100)</f>
        <v>62.71967660886002</v>
      </c>
    </row>
    <row r="52" spans="1:4" x14ac:dyDescent="0.25">
      <c r="A52" s="19" t="s">
        <v>33</v>
      </c>
      <c r="B52" s="32">
        <v>-33787.384059999997</v>
      </c>
      <c r="C52" s="32">
        <v>-33346.08769</v>
      </c>
      <c r="D52" s="32">
        <f>IF(OR(-33787.38406="",-33346.08769="",-33787.38406=0),"-",-33346.08769/-33787.38406*100)</f>
        <v>98.693901933288657</v>
      </c>
    </row>
    <row r="53" spans="1:4" x14ac:dyDescent="0.25">
      <c r="A53" s="73" t="s">
        <v>68</v>
      </c>
      <c r="B53" s="41">
        <v>-22301.483670000001</v>
      </c>
      <c r="C53" s="41">
        <v>-27903.850930000001</v>
      </c>
      <c r="D53" s="32">
        <f>IF(OR(-22301.48367="",-27903.85093="",-22301.48367=0),"-",-27903.85093/-22301.48367*100)</f>
        <v>125.12105177798693</v>
      </c>
    </row>
    <row r="54" spans="1:4" x14ac:dyDescent="0.25">
      <c r="A54" s="19" t="s">
        <v>75</v>
      </c>
      <c r="B54" s="32">
        <v>-12250.27029</v>
      </c>
      <c r="C54" s="32">
        <v>-19614.57591</v>
      </c>
      <c r="D54" s="32" t="s">
        <v>99</v>
      </c>
    </row>
    <row r="55" spans="1:4" x14ac:dyDescent="0.25">
      <c r="A55" s="19" t="s">
        <v>407</v>
      </c>
      <c r="B55" s="32">
        <v>853.82665999999995</v>
      </c>
      <c r="C55" s="32">
        <v>-19556.768400000001</v>
      </c>
      <c r="D55" s="32" t="s">
        <v>19</v>
      </c>
    </row>
    <row r="56" spans="1:4" x14ac:dyDescent="0.25">
      <c r="A56" s="19" t="s">
        <v>59</v>
      </c>
      <c r="B56" s="32">
        <v>-10134.268</v>
      </c>
      <c r="C56" s="32">
        <v>-18791.078389999999</v>
      </c>
      <c r="D56" s="32" t="s">
        <v>100</v>
      </c>
    </row>
    <row r="57" spans="1:4" x14ac:dyDescent="0.25">
      <c r="A57" s="19" t="s">
        <v>63</v>
      </c>
      <c r="B57" s="32">
        <v>-12750.91612</v>
      </c>
      <c r="C57" s="32">
        <v>-13542.548580000001</v>
      </c>
      <c r="D57" s="32">
        <f>IF(OR(-12750.91612="",-13542.54858="",-12750.91612=0),"-",-13542.54858/-12750.91612*100)</f>
        <v>106.20843594726746</v>
      </c>
    </row>
    <row r="58" spans="1:4" x14ac:dyDescent="0.25">
      <c r="A58" s="19" t="s">
        <v>282</v>
      </c>
      <c r="B58" s="41">
        <v>-11264.099039999999</v>
      </c>
      <c r="C58" s="32">
        <v>-12251.57537</v>
      </c>
      <c r="D58" s="32">
        <f>IF(OR(-11264.09904="",-12251.57537="",-11264.09904=0),"-",-12251.57537/-11264.09904*100)</f>
        <v>108.76658067807617</v>
      </c>
    </row>
    <row r="59" spans="1:4" x14ac:dyDescent="0.25">
      <c r="A59" s="19" t="s">
        <v>67</v>
      </c>
      <c r="B59" s="32">
        <v>-7523.7501099999999</v>
      </c>
      <c r="C59" s="32">
        <v>-9629.5199300000004</v>
      </c>
      <c r="D59" s="32">
        <f>IF(OR(-7523.75011="",-9629.51993="",-7523.75011=0),"-",-9629.51993/-7523.75011*100)</f>
        <v>127.9883009033111</v>
      </c>
    </row>
    <row r="60" spans="1:4" x14ac:dyDescent="0.25">
      <c r="A60" s="19" t="s">
        <v>74</v>
      </c>
      <c r="B60" s="32">
        <v>-7487.7477900000004</v>
      </c>
      <c r="C60" s="32">
        <v>-7871.4728400000004</v>
      </c>
      <c r="D60" s="32">
        <f>IF(OR(-7487.74779="",-7871.47284="",-7487.74779=0),"-",-7871.47284/-7487.74779*100)</f>
        <v>105.12470586298954</v>
      </c>
    </row>
    <row r="61" spans="1:4" x14ac:dyDescent="0.25">
      <c r="A61" s="19" t="s">
        <v>78</v>
      </c>
      <c r="B61" s="41">
        <v>-7796.2541000000001</v>
      </c>
      <c r="C61" s="32">
        <v>-7786.9355500000001</v>
      </c>
      <c r="D61" s="32">
        <f>IF(OR(-7796.2541="",-7786.93555="",-7796.2541=0),"-",-7786.93555/-7796.2541*100)</f>
        <v>99.88047400866526</v>
      </c>
    </row>
    <row r="62" spans="1:4" x14ac:dyDescent="0.25">
      <c r="A62" s="19" t="s">
        <v>70</v>
      </c>
      <c r="B62" s="32">
        <v>-10599.723099999999</v>
      </c>
      <c r="C62" s="32">
        <v>-7272.1785200000004</v>
      </c>
      <c r="D62" s="32">
        <f>IF(OR(-10599.7231="",-7272.17852="",-10599.7231=0),"-",-7272.17852/-10599.7231*100)</f>
        <v>68.607249938444156</v>
      </c>
    </row>
    <row r="63" spans="1:4" x14ac:dyDescent="0.25">
      <c r="A63" s="19" t="s">
        <v>79</v>
      </c>
      <c r="B63" s="32">
        <v>-6308.21839</v>
      </c>
      <c r="C63" s="32">
        <v>-7081.3561099999997</v>
      </c>
      <c r="D63" s="32">
        <f>IF(OR(-6308.21839="",-7081.35611="",-6308.21839=0),"-",-7081.35611/-6308.21839*100)</f>
        <v>112.25603922060789</v>
      </c>
    </row>
    <row r="64" spans="1:4" x14ac:dyDescent="0.25">
      <c r="A64" s="19" t="s">
        <v>80</v>
      </c>
      <c r="B64" s="32">
        <v>-4659.4282499999999</v>
      </c>
      <c r="C64" s="32">
        <v>-6811.6245200000003</v>
      </c>
      <c r="D64" s="32">
        <f>IF(OR(-4659.42825="",-6811.62452="",-4659.42825=0),"-",-6811.62452/-4659.42825*100)</f>
        <v>146.19013652587097</v>
      </c>
    </row>
    <row r="65" spans="1:4" x14ac:dyDescent="0.25">
      <c r="A65" s="19" t="s">
        <v>62</v>
      </c>
      <c r="B65" s="32">
        <v>-5444.8504599999997</v>
      </c>
      <c r="C65" s="32">
        <v>-5039.6998400000002</v>
      </c>
      <c r="D65" s="32">
        <f>IF(OR(-5444.85046="",-5039.69984="",-5444.85046=0),"-",-5039.69984/-5444.85046*100)</f>
        <v>92.559012906297539</v>
      </c>
    </row>
    <row r="66" spans="1:4" x14ac:dyDescent="0.25">
      <c r="A66" s="19" t="s">
        <v>408</v>
      </c>
      <c r="B66" s="32">
        <v>34817.746630000001</v>
      </c>
      <c r="C66" s="32">
        <v>-4713.3265000000001</v>
      </c>
      <c r="D66" s="32" t="s">
        <v>19</v>
      </c>
    </row>
    <row r="67" spans="1:4" x14ac:dyDescent="0.25">
      <c r="A67" s="19" t="s">
        <v>36</v>
      </c>
      <c r="B67" s="32">
        <v>-2139.9627500000001</v>
      </c>
      <c r="C67" s="32">
        <v>-4667.4405500000003</v>
      </c>
      <c r="D67" s="32" t="s">
        <v>187</v>
      </c>
    </row>
    <row r="68" spans="1:4" x14ac:dyDescent="0.25">
      <c r="A68" s="19" t="s">
        <v>58</v>
      </c>
      <c r="B68" s="32">
        <v>-7064.5003900000002</v>
      </c>
      <c r="C68" s="32">
        <v>-4633.0500099999999</v>
      </c>
      <c r="D68" s="32">
        <f>IF(OR(-7064.50039="",-4633.05001="",-7064.50039=0),"-",-4633.05001/-7064.50039*100)</f>
        <v>65.58213255332555</v>
      </c>
    </row>
    <row r="69" spans="1:4" x14ac:dyDescent="0.25">
      <c r="A69" s="19" t="s">
        <v>77</v>
      </c>
      <c r="B69" s="32">
        <v>-2347.3687799999998</v>
      </c>
      <c r="C69" s="32">
        <v>-4405.75972</v>
      </c>
      <c r="D69" s="32" t="s">
        <v>100</v>
      </c>
    </row>
    <row r="70" spans="1:4" x14ac:dyDescent="0.25">
      <c r="A70" s="19" t="s">
        <v>116</v>
      </c>
      <c r="B70" s="32">
        <v>-1107.9275600000001</v>
      </c>
      <c r="C70" s="32">
        <v>-4073.9317500000002</v>
      </c>
      <c r="D70" s="32" t="s">
        <v>297</v>
      </c>
    </row>
    <row r="71" spans="1:4" x14ac:dyDescent="0.25">
      <c r="A71" s="19" t="s">
        <v>86</v>
      </c>
      <c r="B71" s="41">
        <v>-1018.74143</v>
      </c>
      <c r="C71" s="32">
        <v>-3458.7254200000002</v>
      </c>
      <c r="D71" s="32" t="s">
        <v>332</v>
      </c>
    </row>
    <row r="72" spans="1:4" x14ac:dyDescent="0.25">
      <c r="A72" s="19" t="s">
        <v>81</v>
      </c>
      <c r="B72" s="32">
        <v>-3075.6256100000001</v>
      </c>
      <c r="C72" s="32">
        <v>-3381.6477</v>
      </c>
      <c r="D72" s="32">
        <f>IF(OR(-3075.62561="",-3381.6477="",-3075.62561=0),"-",-3381.6477/-3075.62561*100)</f>
        <v>109.94991357221791</v>
      </c>
    </row>
    <row r="73" spans="1:4" x14ac:dyDescent="0.25">
      <c r="A73" s="19" t="s">
        <v>76</v>
      </c>
      <c r="B73" s="32">
        <v>-2922.03667</v>
      </c>
      <c r="C73" s="32">
        <v>-3369.5864499999998</v>
      </c>
      <c r="D73" s="32">
        <f>IF(OR(-2922.03667="",-3369.58645="",-2922.03667=0),"-",-3369.58645/-2922.03667*100)</f>
        <v>115.31636425356702</v>
      </c>
    </row>
    <row r="74" spans="1:4" x14ac:dyDescent="0.25">
      <c r="A74" s="19" t="s">
        <v>84</v>
      </c>
      <c r="B74" s="32">
        <v>-1925.10313</v>
      </c>
      <c r="C74" s="32">
        <v>-2890.8094999999998</v>
      </c>
      <c r="D74" s="32">
        <f>IF(OR(-1925.10313="",-2890.8095="",-1925.10313=0),"-",-2890.8095/-1925.10313*100)</f>
        <v>150.1638771944649</v>
      </c>
    </row>
    <row r="75" spans="1:4" x14ac:dyDescent="0.25">
      <c r="A75" s="19" t="s">
        <v>409</v>
      </c>
      <c r="B75" s="32">
        <v>-1151.9232099999999</v>
      </c>
      <c r="C75" s="32">
        <v>-2803.8878599999998</v>
      </c>
      <c r="D75" s="32" t="s">
        <v>313</v>
      </c>
    </row>
    <row r="76" spans="1:4" x14ac:dyDescent="0.25">
      <c r="A76" s="19" t="s">
        <v>69</v>
      </c>
      <c r="B76" s="32">
        <v>48674.602680000004</v>
      </c>
      <c r="C76" s="32">
        <v>-2285.5542999999998</v>
      </c>
      <c r="D76" s="32" t="s">
        <v>19</v>
      </c>
    </row>
    <row r="77" spans="1:4" x14ac:dyDescent="0.25">
      <c r="A77" s="19" t="s">
        <v>85</v>
      </c>
      <c r="B77" s="32">
        <v>-1452.1501499999999</v>
      </c>
      <c r="C77" s="32">
        <v>-1826.4961599999999</v>
      </c>
      <c r="D77" s="32">
        <f>IF(OR(-1452.15015="",-1826.49616="",-1452.15015=0),"-",-1826.49616/-1452.15015*100)</f>
        <v>125.77873989132597</v>
      </c>
    </row>
    <row r="78" spans="1:4" x14ac:dyDescent="0.25">
      <c r="A78" s="19" t="s">
        <v>92</v>
      </c>
      <c r="B78" s="32">
        <v>-1372.0239300000001</v>
      </c>
      <c r="C78" s="32">
        <v>-1757.7234800000001</v>
      </c>
      <c r="D78" s="32">
        <f>IF(OR(-1372.02393="",-1757.72348="",-1372.02393=0),"-",-1757.72348/-1372.02393*100)</f>
        <v>128.11172178316161</v>
      </c>
    </row>
    <row r="79" spans="1:4" x14ac:dyDescent="0.25">
      <c r="A79" s="19" t="s">
        <v>97</v>
      </c>
      <c r="B79" s="32">
        <v>126.60807</v>
      </c>
      <c r="C79" s="32">
        <v>-1649.02826</v>
      </c>
      <c r="D79" s="32" t="s">
        <v>19</v>
      </c>
    </row>
    <row r="80" spans="1:4" x14ac:dyDescent="0.25">
      <c r="A80" s="19" t="s">
        <v>83</v>
      </c>
      <c r="B80" s="32">
        <v>-1648.40077</v>
      </c>
      <c r="C80" s="32">
        <v>-1538.4677899999999</v>
      </c>
      <c r="D80" s="32">
        <f>IF(OR(-1648.40077="",-1538.46779="",-1648.40077=0),"-",-1538.46779/-1648.40077*100)</f>
        <v>93.330931288026505</v>
      </c>
    </row>
    <row r="81" spans="1:4" x14ac:dyDescent="0.25">
      <c r="A81" s="19" t="s">
        <v>64</v>
      </c>
      <c r="B81" s="32">
        <v>2673.0548100000001</v>
      </c>
      <c r="C81" s="32">
        <v>-1165.729</v>
      </c>
      <c r="D81" s="32" t="s">
        <v>19</v>
      </c>
    </row>
    <row r="82" spans="1:4" x14ac:dyDescent="0.25">
      <c r="A82" s="19" t="s">
        <v>128</v>
      </c>
      <c r="B82" s="32">
        <v>-881.85036000000002</v>
      </c>
      <c r="C82" s="32">
        <v>-1145.9372900000001</v>
      </c>
      <c r="D82" s="32">
        <f>IF(OR(-881.85036="",-1145.93729="",-881.85036=0),"-",-1145.93729/-881.85036*100)</f>
        <v>129.94690958679203</v>
      </c>
    </row>
    <row r="83" spans="1:4" x14ac:dyDescent="0.25">
      <c r="A83" s="19" t="s">
        <v>61</v>
      </c>
      <c r="B83" s="32">
        <v>-830.87530000000004</v>
      </c>
      <c r="C83" s="32">
        <v>-1044.6203700000001</v>
      </c>
      <c r="D83" s="32">
        <f>IF(OR(-830.8753="",-1044.62037="",-830.8753=0),"-",-1044.62037/-830.8753*100)</f>
        <v>125.72528874068108</v>
      </c>
    </row>
    <row r="84" spans="1:4" x14ac:dyDescent="0.25">
      <c r="A84" s="19" t="s">
        <v>283</v>
      </c>
      <c r="B84" s="32">
        <v>-788.55565999999999</v>
      </c>
      <c r="C84" s="32">
        <v>-1043.84275</v>
      </c>
      <c r="D84" s="32">
        <f>IF(OR(-788.55566="",-1043.84275="",-788.55566=0),"-",-1043.84275/-788.55566*100)</f>
        <v>132.37401022522621</v>
      </c>
    </row>
    <row r="85" spans="1:4" x14ac:dyDescent="0.25">
      <c r="A85" s="19" t="s">
        <v>304</v>
      </c>
      <c r="B85" s="32">
        <v>-817.12644</v>
      </c>
      <c r="C85" s="32">
        <v>-877.43642</v>
      </c>
      <c r="D85" s="32">
        <f>IF(OR(-817.12644="",-877.43642="",-817.12644=0),"-",-877.43642/-817.12644*100)</f>
        <v>107.38074024382323</v>
      </c>
    </row>
    <row r="86" spans="1:4" x14ac:dyDescent="0.25">
      <c r="A86" s="19" t="s">
        <v>89</v>
      </c>
      <c r="B86" s="32">
        <v>-486.96517</v>
      </c>
      <c r="C86" s="32">
        <v>-678.50918000000001</v>
      </c>
      <c r="D86" s="32">
        <f>IF(OR(-486.96517="",-678.50918="",-486.96517=0),"-",-678.50918/-486.96517*100)</f>
        <v>139.33423205606266</v>
      </c>
    </row>
    <row r="87" spans="1:4" x14ac:dyDescent="0.25">
      <c r="A87" s="19" t="s">
        <v>410</v>
      </c>
      <c r="B87" s="32">
        <v>-959.73166000000003</v>
      </c>
      <c r="C87" s="32">
        <v>-604.33339000000001</v>
      </c>
      <c r="D87" s="32">
        <f>IF(OR(-959.73166="",-604.33339="",-959.73166=0),"-",-604.33339/-959.73166*100)</f>
        <v>62.968995937885389</v>
      </c>
    </row>
    <row r="88" spans="1:4" x14ac:dyDescent="0.25">
      <c r="A88" s="19" t="s">
        <v>87</v>
      </c>
      <c r="B88" s="32">
        <v>-1098.556</v>
      </c>
      <c r="C88" s="32">
        <v>-590.70497</v>
      </c>
      <c r="D88" s="32">
        <f>IF(OR(-1098.556="",-590.70497="",-1098.556=0),"-",-590.70497/-1098.556*100)</f>
        <v>53.771038526938995</v>
      </c>
    </row>
    <row r="89" spans="1:4" x14ac:dyDescent="0.25">
      <c r="A89" s="19" t="s">
        <v>338</v>
      </c>
      <c r="B89" s="32">
        <v>-239.66524999999999</v>
      </c>
      <c r="C89" s="32">
        <v>-529.21475999999996</v>
      </c>
      <c r="D89" s="32" t="s">
        <v>187</v>
      </c>
    </row>
    <row r="90" spans="1:4" x14ac:dyDescent="0.25">
      <c r="A90" s="19" t="s">
        <v>337</v>
      </c>
      <c r="B90" s="32">
        <v>3696.7166699999998</v>
      </c>
      <c r="C90" s="32">
        <v>-515.97950000000003</v>
      </c>
      <c r="D90" s="32" t="s">
        <v>19</v>
      </c>
    </row>
    <row r="91" spans="1:4" x14ac:dyDescent="0.25">
      <c r="A91" s="19" t="s">
        <v>93</v>
      </c>
      <c r="B91" s="32">
        <v>-199.69956999999999</v>
      </c>
      <c r="C91" s="32">
        <v>-492.41118</v>
      </c>
      <c r="D91" s="32" t="s">
        <v>399</v>
      </c>
    </row>
    <row r="92" spans="1:4" x14ac:dyDescent="0.25">
      <c r="A92" s="19" t="s">
        <v>35</v>
      </c>
      <c r="B92" s="32">
        <v>-1187.23119</v>
      </c>
      <c r="C92" s="32">
        <v>-411.45799</v>
      </c>
      <c r="D92" s="32">
        <f>IF(OR(-1187.23119="",-411.45799="",-1187.23119=0),"-",-411.45799/-1187.23119*100)</f>
        <v>34.656939058348016</v>
      </c>
    </row>
    <row r="93" spans="1:4" x14ac:dyDescent="0.25">
      <c r="A93" s="19" t="s">
        <v>308</v>
      </c>
      <c r="B93" s="32">
        <v>-572.88413000000003</v>
      </c>
      <c r="C93" s="32">
        <v>-374.62754999999999</v>
      </c>
      <c r="D93" s="32">
        <f>IF(OR(-572.88413="",-374.62755="",-572.88413=0),"-",-374.62755/-572.88413*100)</f>
        <v>65.393249765881961</v>
      </c>
    </row>
    <row r="94" spans="1:4" x14ac:dyDescent="0.25">
      <c r="A94" s="19" t="s">
        <v>112</v>
      </c>
      <c r="B94" s="32">
        <v>-216.15440000000001</v>
      </c>
      <c r="C94" s="32">
        <v>-371.79737999999998</v>
      </c>
      <c r="D94" s="32" t="s">
        <v>98</v>
      </c>
    </row>
    <row r="95" spans="1:4" x14ac:dyDescent="0.25">
      <c r="A95" s="19" t="s">
        <v>88</v>
      </c>
      <c r="B95" s="32">
        <v>-589.93048999999996</v>
      </c>
      <c r="C95" s="32">
        <v>-365.32270999999997</v>
      </c>
      <c r="D95" s="32">
        <f>IF(OR(-589.93049="",-365.32271="",-589.93049=0),"-",-365.32271/-589.93049*100)</f>
        <v>61.926399159331467</v>
      </c>
    </row>
    <row r="96" spans="1:4" x14ac:dyDescent="0.25">
      <c r="A96" s="19" t="s">
        <v>291</v>
      </c>
      <c r="B96" s="32">
        <v>-34.867640000000002</v>
      </c>
      <c r="C96" s="32">
        <v>-257.73793000000001</v>
      </c>
      <c r="D96" s="32" t="s">
        <v>400</v>
      </c>
    </row>
    <row r="97" spans="1:4" x14ac:dyDescent="0.25">
      <c r="A97" s="19" t="s">
        <v>96</v>
      </c>
      <c r="B97" s="32">
        <v>-608.48819000000003</v>
      </c>
      <c r="C97" s="32">
        <v>-222.35337000000001</v>
      </c>
      <c r="D97" s="32">
        <f>IF(OR(-608.48819="",-222.35337="",-608.48819=0),"-",-222.35337/-608.48819*100)</f>
        <v>36.54193682871643</v>
      </c>
    </row>
    <row r="98" spans="1:4" x14ac:dyDescent="0.25">
      <c r="A98" s="19" t="s">
        <v>82</v>
      </c>
      <c r="B98" s="32">
        <v>-1219.3889899999999</v>
      </c>
      <c r="C98" s="32">
        <v>-207.4034</v>
      </c>
      <c r="D98" s="32">
        <f>IF(OR(-1219.38899="",-207.4034="",-1219.38899=0),"-",-207.4034/-1219.38899*100)</f>
        <v>17.008797168162065</v>
      </c>
    </row>
    <row r="99" spans="1:4" x14ac:dyDescent="0.25">
      <c r="A99" s="73" t="s">
        <v>119</v>
      </c>
      <c r="B99" s="41">
        <v>-184.45770999999999</v>
      </c>
      <c r="C99" s="41">
        <v>-205.06262000000001</v>
      </c>
      <c r="D99" s="32">
        <f>IF(OR(-184.45771="",-205.06262="",-184.45771=0),"-",-205.06262/-184.45771*100)</f>
        <v>111.17053334338804</v>
      </c>
    </row>
    <row r="100" spans="1:4" x14ac:dyDescent="0.25">
      <c r="A100" s="19" t="s">
        <v>120</v>
      </c>
      <c r="B100" s="32">
        <v>53.25141</v>
      </c>
      <c r="C100" s="32">
        <v>-169.27145999999999</v>
      </c>
      <c r="D100" s="32" t="s">
        <v>19</v>
      </c>
    </row>
    <row r="101" spans="1:4" x14ac:dyDescent="0.25">
      <c r="A101" s="73" t="s">
        <v>317</v>
      </c>
      <c r="B101" s="41">
        <v>-100.91819</v>
      </c>
      <c r="C101" s="41">
        <v>-153.82988</v>
      </c>
      <c r="D101" s="32">
        <f>IF(OR(-100.91819="",-153.82988="",-100.91819=0),"-",-153.82988/-100.91819*100)</f>
        <v>152.43028040831888</v>
      </c>
    </row>
    <row r="102" spans="1:4" x14ac:dyDescent="0.25">
      <c r="A102" s="19" t="s">
        <v>321</v>
      </c>
      <c r="B102" s="32">
        <v>-112.98083</v>
      </c>
      <c r="C102" s="32">
        <v>-128.27024</v>
      </c>
      <c r="D102" s="32">
        <f>IF(OR(-112.98083="",-128.27024="",-112.98083=0),"-",-128.27024/-112.98083*100)</f>
        <v>113.53274710408836</v>
      </c>
    </row>
    <row r="103" spans="1:4" x14ac:dyDescent="0.25">
      <c r="A103" s="19" t="s">
        <v>311</v>
      </c>
      <c r="B103" s="32">
        <v>-115.62730000000001</v>
      </c>
      <c r="C103" s="32">
        <v>-124.87029</v>
      </c>
      <c r="D103" s="32">
        <f>IF(OR(-115.6273="",-124.87029="",-115.6273=0),"-",-124.87029/-115.6273*100)</f>
        <v>107.99377828592382</v>
      </c>
    </row>
    <row r="104" spans="1:4" x14ac:dyDescent="0.25">
      <c r="A104" s="19" t="s">
        <v>275</v>
      </c>
      <c r="B104" s="32">
        <v>-76.833190000000002</v>
      </c>
      <c r="C104" s="32">
        <v>-119.5218</v>
      </c>
      <c r="D104" s="32">
        <f>IF(OR(-76.83319="",-119.5218="",-76.83319=0),"-",-119.5218/-76.83319*100)</f>
        <v>155.56011666312435</v>
      </c>
    </row>
    <row r="105" spans="1:4" x14ac:dyDescent="0.25">
      <c r="A105" s="19" t="s">
        <v>309</v>
      </c>
      <c r="B105" s="32">
        <v>-1.6460300000000001</v>
      </c>
      <c r="C105" s="32">
        <v>-97.904979999999995</v>
      </c>
      <c r="D105" s="32" t="s">
        <v>395</v>
      </c>
    </row>
    <row r="106" spans="1:4" x14ac:dyDescent="0.25">
      <c r="A106" s="19" t="s">
        <v>322</v>
      </c>
      <c r="B106" s="32">
        <v>-105.17379</v>
      </c>
      <c r="C106" s="32">
        <v>-81.019390000000001</v>
      </c>
      <c r="D106" s="32">
        <f>IF(OR(-105.17379="",-81.01939="",-105.17379=0),"-",-81.01939/-105.17379*100)</f>
        <v>77.033821829564204</v>
      </c>
    </row>
    <row r="107" spans="1:4" x14ac:dyDescent="0.25">
      <c r="A107" s="19" t="s">
        <v>334</v>
      </c>
      <c r="B107" s="32">
        <v>-23.818429999999999</v>
      </c>
      <c r="C107" s="32">
        <v>-77.254769999999994</v>
      </c>
      <c r="D107" s="32" t="s">
        <v>320</v>
      </c>
    </row>
    <row r="108" spans="1:4" x14ac:dyDescent="0.25">
      <c r="A108" s="19" t="s">
        <v>310</v>
      </c>
      <c r="B108" s="32">
        <v>-21.992640000000002</v>
      </c>
      <c r="C108" s="32">
        <v>-76.705600000000004</v>
      </c>
      <c r="D108" s="32" t="s">
        <v>342</v>
      </c>
    </row>
    <row r="109" spans="1:4" x14ac:dyDescent="0.25">
      <c r="A109" s="19" t="s">
        <v>316</v>
      </c>
      <c r="B109" s="32">
        <v>-7.3160000000000003E-2</v>
      </c>
      <c r="C109" s="32">
        <v>-74.115970000000004</v>
      </c>
      <c r="D109" s="32" t="s">
        <v>396</v>
      </c>
    </row>
    <row r="110" spans="1:4" x14ac:dyDescent="0.25">
      <c r="A110" s="19" t="s">
        <v>335</v>
      </c>
      <c r="B110" s="32">
        <v>98.382959999999997</v>
      </c>
      <c r="C110" s="32">
        <v>-71.043840000000003</v>
      </c>
      <c r="D110" s="32" t="s">
        <v>19</v>
      </c>
    </row>
    <row r="111" spans="1:4" x14ac:dyDescent="0.25">
      <c r="A111" s="19" t="s">
        <v>323</v>
      </c>
      <c r="B111" s="32">
        <v>-80.195539999999994</v>
      </c>
      <c r="C111" s="32">
        <v>-62.173639999999999</v>
      </c>
      <c r="D111" s="32">
        <f>IF(OR(-80.19554="",-62.17364="",-80.19554=0),"-",-62.17364/-80.19554*100)</f>
        <v>77.527553277900495</v>
      </c>
    </row>
    <row r="112" spans="1:4" x14ac:dyDescent="0.25">
      <c r="A112" s="19" t="s">
        <v>324</v>
      </c>
      <c r="B112" s="32">
        <v>-38.621180000000003</v>
      </c>
      <c r="C112" s="32">
        <v>-58.086939999999998</v>
      </c>
      <c r="D112" s="32">
        <f>IF(OR(-38.62118="",-58.08694="",-38.62118=0),"-",-58.08694/-38.62118*100)</f>
        <v>150.40177436318621</v>
      </c>
    </row>
    <row r="113" spans="1:4" x14ac:dyDescent="0.25">
      <c r="A113" s="19" t="s">
        <v>101</v>
      </c>
      <c r="B113" s="32">
        <v>-15.10876</v>
      </c>
      <c r="C113" s="32">
        <v>-55.485669999999999</v>
      </c>
      <c r="D113" s="32" t="s">
        <v>297</v>
      </c>
    </row>
    <row r="114" spans="1:4" x14ac:dyDescent="0.25">
      <c r="A114" s="19" t="s">
        <v>307</v>
      </c>
      <c r="B114" s="32">
        <v>-175.30394999999999</v>
      </c>
      <c r="C114" s="32">
        <v>50.55</v>
      </c>
      <c r="D114" s="32" t="s">
        <v>19</v>
      </c>
    </row>
    <row r="115" spans="1:4" x14ac:dyDescent="0.25">
      <c r="A115" s="19" t="s">
        <v>305</v>
      </c>
      <c r="B115" s="32">
        <v>107.54342</v>
      </c>
      <c r="C115" s="32">
        <v>86.155519999999996</v>
      </c>
      <c r="D115" s="32">
        <f>IF(OR(107.54342="",86.15552="",107.54342=0),"-",86.15552/107.54342*100)</f>
        <v>80.112311845764253</v>
      </c>
    </row>
    <row r="116" spans="1:4" x14ac:dyDescent="0.25">
      <c r="A116" s="19" t="s">
        <v>315</v>
      </c>
      <c r="B116" s="32">
        <v>38.483179999999997</v>
      </c>
      <c r="C116" s="32">
        <v>89.625110000000006</v>
      </c>
      <c r="D116" s="32" t="s">
        <v>289</v>
      </c>
    </row>
    <row r="117" spans="1:4" x14ac:dyDescent="0.25">
      <c r="A117" s="19" t="s">
        <v>306</v>
      </c>
      <c r="B117" s="41">
        <v>38.475380000000001</v>
      </c>
      <c r="C117" s="32">
        <v>142.07771</v>
      </c>
      <c r="D117" s="32" t="s">
        <v>297</v>
      </c>
    </row>
    <row r="118" spans="1:4" x14ac:dyDescent="0.25">
      <c r="A118" s="19" t="s">
        <v>328</v>
      </c>
      <c r="B118" s="32">
        <v>1.4480900000000001</v>
      </c>
      <c r="C118" s="32">
        <v>144.29548</v>
      </c>
      <c r="D118" s="32" t="s">
        <v>401</v>
      </c>
    </row>
    <row r="119" spans="1:4" x14ac:dyDescent="0.25">
      <c r="A119" s="19" t="s">
        <v>327</v>
      </c>
      <c r="B119" s="32">
        <v>-0.9</v>
      </c>
      <c r="C119" s="32">
        <v>162.27208999999999</v>
      </c>
      <c r="D119" s="32" t="s">
        <v>19</v>
      </c>
    </row>
    <row r="120" spans="1:4" x14ac:dyDescent="0.25">
      <c r="A120" s="19" t="s">
        <v>314</v>
      </c>
      <c r="B120" s="32">
        <v>39.533410000000003</v>
      </c>
      <c r="C120" s="32">
        <v>164.60524000000001</v>
      </c>
      <c r="D120" s="32" t="s">
        <v>298</v>
      </c>
    </row>
    <row r="121" spans="1:4" x14ac:dyDescent="0.25">
      <c r="A121" s="19" t="s">
        <v>113</v>
      </c>
      <c r="B121" s="32">
        <v>219.78758999999999</v>
      </c>
      <c r="C121" s="32">
        <v>169.82598999999999</v>
      </c>
      <c r="D121" s="32">
        <f>IF(OR(219.78759="",169.82599="",219.78759=0),"-",169.82599/219.78759*100)</f>
        <v>77.268234298396919</v>
      </c>
    </row>
    <row r="122" spans="1:4" x14ac:dyDescent="0.25">
      <c r="A122" s="19" t="s">
        <v>296</v>
      </c>
      <c r="B122" s="32" t="s">
        <v>294</v>
      </c>
      <c r="C122" s="32">
        <v>175.10164</v>
      </c>
      <c r="D122" s="32" t="str">
        <f>IF(OR(0="",175.10164="",0=0),"-",175.10164/0*100)</f>
        <v>-</v>
      </c>
    </row>
    <row r="123" spans="1:4" x14ac:dyDescent="0.25">
      <c r="A123" s="19" t="s">
        <v>91</v>
      </c>
      <c r="B123" s="32">
        <v>757.70304999999996</v>
      </c>
      <c r="C123" s="32">
        <v>207.12123</v>
      </c>
      <c r="D123" s="32">
        <f>IF(OR(757.70305="",207.12123="",757.70305=0),"-",207.12123/757.70305*100)</f>
        <v>27.335409300516872</v>
      </c>
    </row>
    <row r="124" spans="1:4" x14ac:dyDescent="0.25">
      <c r="A124" s="73" t="s">
        <v>326</v>
      </c>
      <c r="B124" s="41">
        <v>176.90536</v>
      </c>
      <c r="C124" s="41">
        <v>215.64302000000001</v>
      </c>
      <c r="D124" s="32">
        <f>IF(OR(176.90536="",215.64302="",176.90536=0),"-",215.64302/176.90536*100)</f>
        <v>121.89739191622007</v>
      </c>
    </row>
    <row r="125" spans="1:4" x14ac:dyDescent="0.25">
      <c r="A125" s="19" t="s">
        <v>122</v>
      </c>
      <c r="B125" s="32">
        <v>235.66642999999999</v>
      </c>
      <c r="C125" s="32">
        <v>240.01997</v>
      </c>
      <c r="D125" s="32">
        <f>IF(OR(235.66643="",240.01997="",235.66643=0),"-",240.01997/235.66643*100)</f>
        <v>101.84733141669776</v>
      </c>
    </row>
    <row r="126" spans="1:4" x14ac:dyDescent="0.25">
      <c r="A126" s="19" t="s">
        <v>293</v>
      </c>
      <c r="B126" s="41">
        <v>-0.17641999999999999</v>
      </c>
      <c r="C126" s="32">
        <v>279.88718</v>
      </c>
      <c r="D126" s="32" t="s">
        <v>19</v>
      </c>
    </row>
    <row r="127" spans="1:4" x14ac:dyDescent="0.25">
      <c r="A127" s="19" t="s">
        <v>284</v>
      </c>
      <c r="B127" s="32">
        <v>317.8152</v>
      </c>
      <c r="C127" s="32">
        <v>297.18299000000002</v>
      </c>
      <c r="D127" s="32">
        <f>IF(OR(317.8152="",297.18299="",317.8152=0),"-",297.18299/317.8152*100)</f>
        <v>93.508111002872113</v>
      </c>
    </row>
    <row r="128" spans="1:4" x14ac:dyDescent="0.25">
      <c r="A128" s="19" t="s">
        <v>300</v>
      </c>
      <c r="B128" s="32">
        <v>3.5811700000000002</v>
      </c>
      <c r="C128" s="32">
        <v>430.18061</v>
      </c>
      <c r="D128" s="32" t="s">
        <v>402</v>
      </c>
    </row>
    <row r="129" spans="1:7" x14ac:dyDescent="0.25">
      <c r="A129" s="19" t="s">
        <v>73</v>
      </c>
      <c r="B129" s="32">
        <v>1127.2973500000001</v>
      </c>
      <c r="C129" s="32">
        <v>506.20823999999999</v>
      </c>
      <c r="D129" s="32">
        <f>IF(OR(1127.29735="",506.20824="",1127.29735=0),"-",506.20824/1127.29735*100)</f>
        <v>44.904588838073643</v>
      </c>
    </row>
    <row r="130" spans="1:7" x14ac:dyDescent="0.25">
      <c r="A130" s="19" t="s">
        <v>127</v>
      </c>
      <c r="B130" s="32">
        <v>405.60079999999999</v>
      </c>
      <c r="C130" s="32">
        <v>651.26964999999996</v>
      </c>
      <c r="D130" s="32" t="s">
        <v>99</v>
      </c>
    </row>
    <row r="131" spans="1:7" x14ac:dyDescent="0.25">
      <c r="A131" s="19" t="s">
        <v>129</v>
      </c>
      <c r="B131" s="32">
        <v>554.03565000000003</v>
      </c>
      <c r="C131" s="32">
        <v>704.21973000000003</v>
      </c>
      <c r="D131" s="32">
        <f>IF(OR(554.03565="",704.21973="",554.03565=0),"-",704.21973/554.03565*100)</f>
        <v>127.10729535184242</v>
      </c>
    </row>
    <row r="132" spans="1:7" x14ac:dyDescent="0.25">
      <c r="A132" s="19" t="s">
        <v>312</v>
      </c>
      <c r="B132" s="32">
        <v>48.742350000000002</v>
      </c>
      <c r="C132" s="32">
        <v>1634.3365799999999</v>
      </c>
      <c r="D132" s="32" t="s">
        <v>381</v>
      </c>
    </row>
    <row r="133" spans="1:7" x14ac:dyDescent="0.25">
      <c r="A133" s="19" t="s">
        <v>34</v>
      </c>
      <c r="B133" s="32">
        <v>3823.51856</v>
      </c>
      <c r="C133" s="32">
        <v>2555.7065899999998</v>
      </c>
      <c r="D133" s="32">
        <f>IF(OR(3823.51856="",2555.70659="",3823.51856=0),"-",2555.70659/3823.51856*100)</f>
        <v>66.841746676391182</v>
      </c>
    </row>
    <row r="134" spans="1:7" x14ac:dyDescent="0.25">
      <c r="A134" s="19" t="s">
        <v>71</v>
      </c>
      <c r="B134" s="32">
        <v>-1987.7787699999999</v>
      </c>
      <c r="C134" s="32">
        <v>2861.0759200000002</v>
      </c>
      <c r="D134" s="32" t="s">
        <v>19</v>
      </c>
    </row>
    <row r="135" spans="1:7" x14ac:dyDescent="0.25">
      <c r="A135" s="19" t="s">
        <v>299</v>
      </c>
      <c r="B135" s="41">
        <v>-26.266300000000001</v>
      </c>
      <c r="C135" s="32">
        <v>2954.0021000000002</v>
      </c>
      <c r="D135" s="32" t="s">
        <v>19</v>
      </c>
      <c r="E135" s="8"/>
    </row>
    <row r="136" spans="1:7" x14ac:dyDescent="0.25">
      <c r="A136" s="19" t="s">
        <v>54</v>
      </c>
      <c r="B136" s="32">
        <v>5585.6882400000004</v>
      </c>
      <c r="C136" s="32">
        <v>3063.0013899999999</v>
      </c>
      <c r="D136" s="32">
        <f>IF(OR(5585.68824="",3063.00139="",5585.68824=0),"-",3063.00139/5585.68824*100)</f>
        <v>54.836597718887361</v>
      </c>
    </row>
    <row r="137" spans="1:7" x14ac:dyDescent="0.25">
      <c r="A137" s="19" t="s">
        <v>65</v>
      </c>
      <c r="B137" s="32">
        <v>3549.4782300000002</v>
      </c>
      <c r="C137" s="32">
        <v>3497.7969899999998</v>
      </c>
      <c r="D137" s="32">
        <f>IF(OR(3549.47823="",3497.79699="",3549.47823=0),"-",3497.79699/3549.47823*100)</f>
        <v>98.543976419880721</v>
      </c>
    </row>
    <row r="138" spans="1:7" x14ac:dyDescent="0.25">
      <c r="A138" s="19" t="s">
        <v>55</v>
      </c>
      <c r="B138" s="32">
        <v>7227.1543099999999</v>
      </c>
      <c r="C138" s="32">
        <v>4433.0663599999998</v>
      </c>
      <c r="D138" s="32">
        <f>IF(OR(7227.15431="",4433.06636="",7227.15431=0),"-",4433.06636/7227.15431*100)</f>
        <v>61.339030133424664</v>
      </c>
    </row>
    <row r="139" spans="1:7" x14ac:dyDescent="0.25">
      <c r="A139" s="19" t="s">
        <v>60</v>
      </c>
      <c r="B139" s="32">
        <v>1468.9796799999999</v>
      </c>
      <c r="C139" s="32">
        <v>7050.3026499999996</v>
      </c>
      <c r="D139" s="32" t="s">
        <v>344</v>
      </c>
    </row>
    <row r="140" spans="1:7" x14ac:dyDescent="0.25">
      <c r="A140" s="33" t="s">
        <v>57</v>
      </c>
      <c r="B140" s="35">
        <v>15293.10428</v>
      </c>
      <c r="C140" s="35">
        <v>25112.037690000001</v>
      </c>
      <c r="D140" s="35" t="s">
        <v>99</v>
      </c>
    </row>
    <row r="141" spans="1:7" s="28" customFormat="1" ht="15" customHeight="1" x14ac:dyDescent="0.2">
      <c r="A141" s="10" t="s">
        <v>269</v>
      </c>
      <c r="B141" s="11"/>
      <c r="C141" s="12"/>
      <c r="D141" s="11"/>
      <c r="E141" s="11"/>
      <c r="F141" s="27"/>
      <c r="G141" s="27"/>
    </row>
  </sheetData>
  <sortState xmlns:xlrd2="http://schemas.microsoft.com/office/spreadsheetml/2017/richdata2" ref="A47:E104">
    <sortCondition ref="C47:C104"/>
  </sortState>
  <mergeCells count="2">
    <mergeCell ref="A1:D1"/>
    <mergeCell ref="A2:D2"/>
  </mergeCells>
  <phoneticPr fontId="3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40"/>
  <sheetViews>
    <sheetView workbookViewId="0">
      <selection sqref="A1:E1"/>
    </sheetView>
  </sheetViews>
  <sheetFormatPr defaultRowHeight="15.75" x14ac:dyDescent="0.25"/>
  <cols>
    <col min="1" max="1" width="30" style="42" customWidth="1"/>
    <col min="2" max="2" width="14" style="42" customWidth="1"/>
    <col min="3" max="3" width="14.375" style="42" customWidth="1"/>
    <col min="4" max="4" width="12.25" style="42" customWidth="1"/>
    <col min="5" max="5" width="11.875" style="42" customWidth="1"/>
    <col min="6" max="9" width="9" style="42"/>
  </cols>
  <sheetData>
    <row r="1" spans="1:9" s="49" customFormat="1" ht="15" customHeight="1" x14ac:dyDescent="0.2">
      <c r="A1" s="76" t="s">
        <v>345</v>
      </c>
      <c r="B1" s="76"/>
      <c r="C1" s="76"/>
      <c r="D1" s="76"/>
      <c r="E1" s="76"/>
      <c r="F1" s="48"/>
      <c r="G1" s="48"/>
      <c r="H1" s="48"/>
      <c r="I1" s="48"/>
    </row>
    <row r="2" spans="1:9" x14ac:dyDescent="0.25">
      <c r="A2" s="89"/>
      <c r="B2" s="89"/>
      <c r="C2" s="89"/>
      <c r="D2" s="89"/>
      <c r="E2" s="89"/>
    </row>
    <row r="3" spans="1:9" ht="18.75" customHeight="1" x14ac:dyDescent="0.25">
      <c r="A3" s="77"/>
      <c r="B3" s="79" t="s">
        <v>368</v>
      </c>
      <c r="C3" s="80"/>
      <c r="D3" s="81" t="s">
        <v>102</v>
      </c>
      <c r="E3" s="88"/>
    </row>
    <row r="4" spans="1:9" ht="36.75" customHeight="1" x14ac:dyDescent="0.25">
      <c r="A4" s="78"/>
      <c r="B4" s="15" t="s">
        <v>110</v>
      </c>
      <c r="C4" s="14" t="s">
        <v>375</v>
      </c>
      <c r="D4" s="15" t="s">
        <v>359</v>
      </c>
      <c r="E4" s="13" t="s">
        <v>360</v>
      </c>
    </row>
    <row r="5" spans="1:9" s="49" customFormat="1" ht="15.75" customHeight="1" x14ac:dyDescent="0.2">
      <c r="A5" s="9" t="s">
        <v>121</v>
      </c>
      <c r="B5" s="29">
        <v>2346453.7023</v>
      </c>
      <c r="C5" s="43">
        <v>89.231893959290062</v>
      </c>
      <c r="D5" s="29">
        <v>100</v>
      </c>
      <c r="E5" s="29">
        <v>100</v>
      </c>
      <c r="F5" s="48"/>
      <c r="G5" s="48"/>
      <c r="H5" s="48"/>
      <c r="I5" s="48"/>
    </row>
    <row r="6" spans="1:9" ht="15.75" customHeight="1" x14ac:dyDescent="0.25">
      <c r="A6" s="30" t="s">
        <v>114</v>
      </c>
      <c r="B6" s="41"/>
      <c r="C6" s="44"/>
      <c r="D6" s="31"/>
      <c r="E6" s="31"/>
    </row>
    <row r="7" spans="1:9" x14ac:dyDescent="0.25">
      <c r="A7" s="30" t="s">
        <v>103</v>
      </c>
      <c r="B7" s="32">
        <v>310542.88728000002</v>
      </c>
      <c r="C7" s="32">
        <v>74.111110958109848</v>
      </c>
      <c r="D7" s="32">
        <f>IF(419023.387="","-",419023.387/2629613.24498*100)</f>
        <v>15.934791467906031</v>
      </c>
      <c r="E7" s="32">
        <f>IF(310542.88728="","-",310542.88728/2346453.7023*100)</f>
        <v>13.234562735058658</v>
      </c>
    </row>
    <row r="8" spans="1:9" x14ac:dyDescent="0.25">
      <c r="A8" s="30" t="s">
        <v>104</v>
      </c>
      <c r="B8" s="32">
        <v>67816.500549999997</v>
      </c>
      <c r="C8" s="32">
        <v>28.270943648202213</v>
      </c>
      <c r="D8" s="32">
        <f>IF(239880.56923="","-",239880.56923/2629613.24498*100)</f>
        <v>9.1222756687865871</v>
      </c>
      <c r="E8" s="32">
        <f>IF(67816.50055="","-",67816.50055/2346453.7023*100)</f>
        <v>2.8901699821959448</v>
      </c>
    </row>
    <row r="9" spans="1:9" x14ac:dyDescent="0.25">
      <c r="A9" s="30" t="s">
        <v>105</v>
      </c>
      <c r="B9" s="32">
        <v>1917476.35623</v>
      </c>
      <c r="C9" s="32">
        <v>98.600127070452302</v>
      </c>
      <c r="D9" s="32">
        <f>IF(1944699.68062="","-",1944699.68062/2629613.24498*100)</f>
        <v>73.953828926458371</v>
      </c>
      <c r="E9" s="32">
        <f>IF(1917476.35623="","-",1917476.35623/2346453.7023*100)</f>
        <v>81.718056245920593</v>
      </c>
    </row>
    <row r="10" spans="1:9" x14ac:dyDescent="0.25">
      <c r="A10" s="30" t="s">
        <v>106</v>
      </c>
      <c r="B10" s="32">
        <v>26039.857619999999</v>
      </c>
      <c r="C10" s="32">
        <v>129.51276527965243</v>
      </c>
      <c r="D10" s="32">
        <f>IF(20106.01624="","-",20106.01624/2629613.24498*100)</f>
        <v>0.76459974782918771</v>
      </c>
      <c r="E10" s="32">
        <f>IF(26039.85762="","-",26039.85762/2346453.7023*100)</f>
        <v>1.1097537357960936</v>
      </c>
    </row>
    <row r="11" spans="1:9" x14ac:dyDescent="0.25">
      <c r="A11" s="30" t="s">
        <v>107</v>
      </c>
      <c r="B11" s="32">
        <v>645.54439000000002</v>
      </c>
      <c r="C11" s="32">
        <v>70.740110607132081</v>
      </c>
      <c r="D11" s="32">
        <f>IF(912.55779="","-",912.55779/2629613.24498*100)</f>
        <v>3.4703118100811843E-2</v>
      </c>
      <c r="E11" s="32">
        <f>IF(645.54439="","-",645.54439/2346453.7023*100)</f>
        <v>2.7511490611011661E-2</v>
      </c>
    </row>
    <row r="12" spans="1:9" x14ac:dyDescent="0.25">
      <c r="A12" s="30" t="s">
        <v>108</v>
      </c>
      <c r="B12" s="32">
        <v>22942.28758</v>
      </c>
      <c r="C12" s="32" t="s">
        <v>344</v>
      </c>
      <c r="D12" s="32">
        <f>IF(4777.10072="","-",4777.10072/2629613.24498*100)</f>
        <v>0.18166552549579712</v>
      </c>
      <c r="E12" s="32">
        <f>IF(22942.28758="","-",22942.28758/2346453.7023*100)</f>
        <v>0.97774303228365045</v>
      </c>
    </row>
    <row r="13" spans="1:9" x14ac:dyDescent="0.25">
      <c r="A13" s="30" t="s">
        <v>109</v>
      </c>
      <c r="B13" s="32">
        <v>990.26864999999998</v>
      </c>
      <c r="C13" s="32" t="s">
        <v>403</v>
      </c>
      <c r="D13" s="32">
        <f>IF(213.93338="","-",213.93338/2629613.24498*100)</f>
        <v>8.1355454232064119E-3</v>
      </c>
      <c r="E13" s="32">
        <f>IF(990.26865="","-",990.26865/2346453.7023*100)</f>
        <v>4.2202778134055492E-2</v>
      </c>
    </row>
    <row r="14" spans="1:9" x14ac:dyDescent="0.25">
      <c r="A14" s="17" t="s">
        <v>190</v>
      </c>
      <c r="B14" s="31">
        <v>1460859.75541</v>
      </c>
      <c r="C14" s="31">
        <v>92.048897928706239</v>
      </c>
      <c r="D14" s="31">
        <f>IF(1587047.52396="","-",1587047.52396/2629613.24498*100)</f>
        <v>60.352887520235718</v>
      </c>
      <c r="E14" s="31">
        <f>IF(1460859.75541="","-",1460859.75541/2346453.7023*100)</f>
        <v>62.258196442489421</v>
      </c>
    </row>
    <row r="15" spans="1:9" x14ac:dyDescent="0.25">
      <c r="A15" s="30" t="s">
        <v>114</v>
      </c>
      <c r="B15" s="31"/>
      <c r="C15" s="31"/>
      <c r="D15" s="31"/>
      <c r="E15" s="31"/>
    </row>
    <row r="16" spans="1:9" x14ac:dyDescent="0.25">
      <c r="A16" s="30" t="s">
        <v>103</v>
      </c>
      <c r="B16" s="32">
        <v>221182.2696</v>
      </c>
      <c r="C16" s="32">
        <v>76.241314328845689</v>
      </c>
      <c r="D16" s="32">
        <f>IF(290108.15402="","-",290108.15402/2629613.24498*100)</f>
        <v>11.032350653611287</v>
      </c>
      <c r="E16" s="32">
        <f>IF(221182.2696="","-",221182.2696/2346453.7023*100)</f>
        <v>9.4262362552986474</v>
      </c>
    </row>
    <row r="17" spans="1:6" x14ac:dyDescent="0.25">
      <c r="A17" s="30" t="s">
        <v>104</v>
      </c>
      <c r="B17" s="32">
        <v>26314.00937</v>
      </c>
      <c r="C17" s="32">
        <v>63.27807716726732</v>
      </c>
      <c r="D17" s="32">
        <f>IF(41584.71709="","-",41584.71709/2629613.24498*100)</f>
        <v>1.5814005032635996</v>
      </c>
      <c r="E17" s="32">
        <f>IF(26314.00937="","-",26314.00937/2346453.7023*100)</f>
        <v>1.1214373990932331</v>
      </c>
    </row>
    <row r="18" spans="1:6" x14ac:dyDescent="0.25">
      <c r="A18" s="30" t="s">
        <v>105</v>
      </c>
      <c r="B18" s="32">
        <v>1197655.19955</v>
      </c>
      <c r="C18" s="32">
        <v>95.733686261502072</v>
      </c>
      <c r="D18" s="32">
        <f>IF(1251027.97805="","-",1251027.97805/2629613.24498*100)</f>
        <v>47.574599817606064</v>
      </c>
      <c r="E18" s="32">
        <f>IF(1197655.19955="","-",1197655.19955/2346453.7023*100)</f>
        <v>51.041075235196644</v>
      </c>
    </row>
    <row r="19" spans="1:6" x14ac:dyDescent="0.25">
      <c r="A19" s="30" t="s">
        <v>106</v>
      </c>
      <c r="B19" s="32">
        <v>4719.9493700000003</v>
      </c>
      <c r="C19" s="32">
        <v>122.30468217300066</v>
      </c>
      <c r="D19" s="32">
        <f>IF(3859.17308="","-",3859.17308/2629613.24498*100)</f>
        <v>0.14675820055923666</v>
      </c>
      <c r="E19" s="32">
        <f>IF(4719.94937="","-",4719.94937/2346453.7023*100)</f>
        <v>0.20115246106810009</v>
      </c>
    </row>
    <row r="20" spans="1:6" x14ac:dyDescent="0.25">
      <c r="A20" s="30" t="s">
        <v>107</v>
      </c>
      <c r="B20" s="32">
        <v>216.58421999999999</v>
      </c>
      <c r="C20" s="32">
        <v>53.811443337751108</v>
      </c>
      <c r="D20" s="32">
        <f>IF(402.48729="","-",402.48729/2629613.24498*100)</f>
        <v>1.5305950058182839E-2</v>
      </c>
      <c r="E20" s="32">
        <f>IF(216.58422="","-",216.58422/2346453.7023*100)</f>
        <v>9.2302788581638574E-3</v>
      </c>
    </row>
    <row r="21" spans="1:6" x14ac:dyDescent="0.25">
      <c r="A21" s="30" t="s">
        <v>108</v>
      </c>
      <c r="B21" s="32">
        <v>10674.74158</v>
      </c>
      <c r="C21" s="32" t="s">
        <v>294</v>
      </c>
      <c r="D21" s="41" t="s">
        <v>294</v>
      </c>
      <c r="E21" s="32">
        <f>IF(10674.74158="","-",10674.74158/2346453.7023*100)</f>
        <v>0.45493084178633447</v>
      </c>
    </row>
    <row r="22" spans="1:6" x14ac:dyDescent="0.25">
      <c r="A22" s="30" t="s">
        <v>109</v>
      </c>
      <c r="B22" s="32">
        <v>97.001720000000006</v>
      </c>
      <c r="C22" s="32">
        <v>149.20029291958724</v>
      </c>
      <c r="D22" s="32">
        <f>IF(65.01443="","-",65.01443/2629613.24498*100)</f>
        <v>2.4723951373501118E-3</v>
      </c>
      <c r="E22" s="32">
        <f>IF(97.00172="","-",97.00172/2346453.7023*100)</f>
        <v>4.1339711883050861E-3</v>
      </c>
    </row>
    <row r="23" spans="1:6" x14ac:dyDescent="0.25">
      <c r="A23" s="17" t="s">
        <v>191</v>
      </c>
      <c r="B23" s="31">
        <v>585281.86774999998</v>
      </c>
      <c r="C23" s="31">
        <v>113.15485790279784</v>
      </c>
      <c r="D23" s="31">
        <f>IF(517239.71785="","-",517239.71785/2629613.24498*100)</f>
        <v>19.669801969450226</v>
      </c>
      <c r="E23" s="31">
        <f>IF(585281.86775="","-",585281.86775/2346453.7023*100)</f>
        <v>24.943252329091564</v>
      </c>
    </row>
    <row r="24" spans="1:6" x14ac:dyDescent="0.25">
      <c r="A24" s="30" t="s">
        <v>114</v>
      </c>
      <c r="B24" s="31"/>
      <c r="C24" s="31"/>
      <c r="D24" s="31"/>
      <c r="E24" s="31"/>
    </row>
    <row r="25" spans="1:6" x14ac:dyDescent="0.25">
      <c r="A25" s="30" t="s">
        <v>103</v>
      </c>
      <c r="B25" s="32">
        <v>7496.9248200000002</v>
      </c>
      <c r="C25" s="32" t="s">
        <v>346</v>
      </c>
      <c r="D25" s="32">
        <f>IF(82.09698="","-",82.09698/2629613.24498*100)</f>
        <v>3.1220172835958013E-3</v>
      </c>
      <c r="E25" s="32">
        <f>IF(7496.92482="","-",7496.92482/2346453.7023*100)</f>
        <v>0.31950022336479494</v>
      </c>
    </row>
    <row r="26" spans="1:6" x14ac:dyDescent="0.25">
      <c r="A26" s="30" t="s">
        <v>104</v>
      </c>
      <c r="B26" s="32">
        <v>35617.811199999996</v>
      </c>
      <c r="C26" s="32">
        <v>36.041077812451242</v>
      </c>
      <c r="D26" s="32">
        <f>IF(98825.59946="","-",98825.59946/2629613.24498*100)</f>
        <v>3.7581800155844456</v>
      </c>
      <c r="E26" s="32">
        <f>IF(35617.8112="","-",35617.8112/2346453.7023*100)</f>
        <v>1.5179422106256486</v>
      </c>
    </row>
    <row r="27" spans="1:6" x14ac:dyDescent="0.25">
      <c r="A27" s="30" t="s">
        <v>105</v>
      </c>
      <c r="B27" s="32">
        <v>520656.84989000001</v>
      </c>
      <c r="C27" s="32">
        <v>127.14368903786135</v>
      </c>
      <c r="D27" s="32">
        <f>IF(409502.70818="","-",409502.70818/2629613.24498*100)</f>
        <v>15.572735228716668</v>
      </c>
      <c r="E27" s="32">
        <f>IF(520656.84989="","-",520656.84989/2346453.7023*100)</f>
        <v>22.189095373143346</v>
      </c>
      <c r="F27" s="45"/>
    </row>
    <row r="28" spans="1:6" x14ac:dyDescent="0.25">
      <c r="A28" s="30" t="s">
        <v>106</v>
      </c>
      <c r="B28" s="32">
        <v>8775.7179899999992</v>
      </c>
      <c r="C28" s="32" t="s">
        <v>289</v>
      </c>
      <c r="D28" s="32">
        <f>IF(3852.30236="","-",3852.30236/2629613.24498*100)</f>
        <v>0.14649691802983367</v>
      </c>
      <c r="E28" s="32">
        <f>IF(8775.71799="","-",8775.71799/2346453.7023*100)</f>
        <v>0.37399919637868917</v>
      </c>
    </row>
    <row r="29" spans="1:6" x14ac:dyDescent="0.25">
      <c r="A29" s="30" t="s">
        <v>107</v>
      </c>
      <c r="B29" s="32">
        <v>33.858260000000001</v>
      </c>
      <c r="C29" s="32">
        <v>56.62749702297328</v>
      </c>
      <c r="D29" s="32">
        <f>IF(59.7912="","-",59.7912/2629613.24498*100)</f>
        <v>2.2737640264834749E-3</v>
      </c>
      <c r="E29" s="32">
        <f>IF(33.85826="","-",33.85826/2346453.7023*100)</f>
        <v>1.4429545303541276E-3</v>
      </c>
    </row>
    <row r="30" spans="1:6" x14ac:dyDescent="0.25">
      <c r="A30" s="30" t="s">
        <v>108</v>
      </c>
      <c r="B30" s="32">
        <v>12267.546</v>
      </c>
      <c r="C30" s="32" t="s">
        <v>288</v>
      </c>
      <c r="D30" s="32">
        <f>IF(4777.10072="","-",4777.10072/2629613.24498*100)</f>
        <v>0.18166552549579712</v>
      </c>
      <c r="E30" s="32">
        <f>IF(12267.546="","-",12267.546/2346453.7023*100)</f>
        <v>0.52281219049731598</v>
      </c>
    </row>
    <row r="31" spans="1:6" x14ac:dyDescent="0.25">
      <c r="A31" s="30" t="s">
        <v>109</v>
      </c>
      <c r="B31" s="32">
        <v>433.15958999999998</v>
      </c>
      <c r="C31" s="32" t="s">
        <v>294</v>
      </c>
      <c r="D31" s="32">
        <f>IF(140.11895="","-",140.11895/2629613.24498*100)</f>
        <v>5.3285003134012476E-3</v>
      </c>
      <c r="E31" s="32">
        <f>IF(433.15959="","-",433.15959/2346453.7023*100)</f>
        <v>1.8460180551417477E-2</v>
      </c>
    </row>
    <row r="32" spans="1:6" x14ac:dyDescent="0.25">
      <c r="A32" s="17" t="s">
        <v>274</v>
      </c>
      <c r="B32" s="31">
        <v>300312.07913999999</v>
      </c>
      <c r="C32" s="31">
        <v>57.166802581218576</v>
      </c>
      <c r="D32" s="31">
        <f>IF(525326.00317="","-",525326.00317/2629613.24498*100)</f>
        <v>19.977310510314055</v>
      </c>
      <c r="E32" s="31">
        <f>IF(300312.07914="","-",300312.07914/2346453.7023*100)</f>
        <v>12.798551228419011</v>
      </c>
    </row>
    <row r="33" spans="1:9" x14ac:dyDescent="0.25">
      <c r="A33" s="30" t="s">
        <v>114</v>
      </c>
      <c r="B33" s="31"/>
      <c r="C33" s="31"/>
      <c r="D33" s="31"/>
      <c r="E33" s="31"/>
    </row>
    <row r="34" spans="1:9" x14ac:dyDescent="0.25">
      <c r="A34" s="30" t="s">
        <v>103</v>
      </c>
      <c r="B34" s="32">
        <v>81863.692859999996</v>
      </c>
      <c r="C34" s="32">
        <v>63.542420375453709</v>
      </c>
      <c r="D34" s="32">
        <f>IF(128833.136="","-",128833.136/2629613.24498*100)</f>
        <v>4.8993187970111496</v>
      </c>
      <c r="E34" s="32">
        <f>IF(81863.69286="","-",81863.69286/2346453.7023*100)</f>
        <v>3.4888262563952144</v>
      </c>
    </row>
    <row r="35" spans="1:9" x14ac:dyDescent="0.25">
      <c r="A35" s="30" t="s">
        <v>104</v>
      </c>
      <c r="B35" s="32">
        <v>5884.6799799999999</v>
      </c>
      <c r="C35" s="32">
        <v>5.9160199370672792</v>
      </c>
      <c r="D35" s="32">
        <f>IF(99470.25268="","-",99470.25268/2629613.24498*100)</f>
        <v>3.7826951499385433</v>
      </c>
      <c r="E35" s="32">
        <f>IF(5884.67998="","-",5884.67998/2346453.7023*100)</f>
        <v>0.25079037247706276</v>
      </c>
    </row>
    <row r="36" spans="1:9" x14ac:dyDescent="0.25">
      <c r="A36" s="30" t="s">
        <v>105</v>
      </c>
      <c r="B36" s="32">
        <v>199164.30679</v>
      </c>
      <c r="C36" s="32">
        <v>70.086571977188456</v>
      </c>
      <c r="D36" s="32">
        <f>IF(284168.99439="","-",284168.99439/2629613.24498*100)</f>
        <v>10.806493880135644</v>
      </c>
      <c r="E36" s="32">
        <f>IF(199164.30679="","-",199164.30679/2346453.7023*100)</f>
        <v>8.487885637580602</v>
      </c>
    </row>
    <row r="37" spans="1:9" x14ac:dyDescent="0.25">
      <c r="A37" s="30" t="s">
        <v>106</v>
      </c>
      <c r="B37" s="32">
        <v>12544.190259999999</v>
      </c>
      <c r="C37" s="32">
        <v>101.20738204355257</v>
      </c>
      <c r="D37" s="32">
        <f>IF(12394.5408="","-",12394.5408/2629613.24498*100)</f>
        <v>0.47134462924011739</v>
      </c>
      <c r="E37" s="32">
        <f>IF(12544.19026="","-",12544.19026/2346453.7023*100)</f>
        <v>0.5346020783493044</v>
      </c>
    </row>
    <row r="38" spans="1:9" x14ac:dyDescent="0.25">
      <c r="A38" s="30" t="s">
        <v>107</v>
      </c>
      <c r="B38" s="32">
        <v>395.10190999999998</v>
      </c>
      <c r="C38" s="32">
        <v>87.745963449796605</v>
      </c>
      <c r="D38" s="32">
        <f>IF(450.2793="","-",450.2793/2629613.24498*100)</f>
        <v>1.7123404016145524E-2</v>
      </c>
      <c r="E38" s="32">
        <f>IF(395.10191="","-",395.10191/2346453.7023*100)</f>
        <v>1.6838257222493675E-2</v>
      </c>
    </row>
    <row r="39" spans="1:9" x14ac:dyDescent="0.25">
      <c r="A39" s="46" t="s">
        <v>109</v>
      </c>
      <c r="B39" s="47">
        <v>460.10734000000002</v>
      </c>
      <c r="C39" s="35" t="s">
        <v>294</v>
      </c>
      <c r="D39" s="35">
        <f>IF(8.8="","-",8.8/2629613.24498*100)</f>
        <v>3.3464997245505318E-4</v>
      </c>
      <c r="E39" s="35">
        <f>IF(460.10734="","-",460.10734/2346453.7023*100)</f>
        <v>1.9608626394332928E-2</v>
      </c>
    </row>
    <row r="40" spans="1:9" s="28" customFormat="1" ht="14.25" customHeight="1" x14ac:dyDescent="0.2">
      <c r="A40" s="50" t="s">
        <v>18</v>
      </c>
      <c r="B40" s="51"/>
      <c r="C40" s="51"/>
      <c r="D40" s="51"/>
      <c r="E40" s="51"/>
      <c r="F40" s="51"/>
      <c r="G40" s="51"/>
      <c r="H40" s="51"/>
      <c r="I40" s="51"/>
    </row>
  </sheetData>
  <mergeCells count="5">
    <mergeCell ref="A1:E1"/>
    <mergeCell ref="A3:A4"/>
    <mergeCell ref="B3:C3"/>
    <mergeCell ref="D3:E3"/>
    <mergeCell ref="A2:E2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G40"/>
  <sheetViews>
    <sheetView workbookViewId="0">
      <selection sqref="A1:E1"/>
    </sheetView>
  </sheetViews>
  <sheetFormatPr defaultRowHeight="15.75" x14ac:dyDescent="0.25"/>
  <cols>
    <col min="1" max="1" width="31.5" style="42" customWidth="1"/>
    <col min="2" max="2" width="13.875" style="42" customWidth="1"/>
    <col min="3" max="3" width="13.125" style="42" customWidth="1"/>
    <col min="4" max="4" width="11.875" style="42" customWidth="1"/>
    <col min="5" max="5" width="12" style="42" customWidth="1"/>
    <col min="6" max="7" width="9" style="42"/>
  </cols>
  <sheetData>
    <row r="1" spans="1:7" x14ac:dyDescent="0.25">
      <c r="A1" s="76" t="s">
        <v>347</v>
      </c>
      <c r="B1" s="76"/>
      <c r="C1" s="76"/>
      <c r="D1" s="76"/>
      <c r="E1" s="76"/>
    </row>
    <row r="2" spans="1:7" x14ac:dyDescent="0.25">
      <c r="A2" s="89"/>
      <c r="B2" s="89"/>
      <c r="C2" s="89"/>
      <c r="D2" s="89"/>
      <c r="E2" s="89"/>
    </row>
    <row r="3" spans="1:7" ht="18.75" customHeight="1" x14ac:dyDescent="0.25">
      <c r="A3" s="77"/>
      <c r="B3" s="79" t="s">
        <v>368</v>
      </c>
      <c r="C3" s="80"/>
      <c r="D3" s="81" t="s">
        <v>102</v>
      </c>
      <c r="E3" s="88"/>
    </row>
    <row r="4" spans="1:7" ht="41.25" customHeight="1" x14ac:dyDescent="0.25">
      <c r="A4" s="78"/>
      <c r="B4" s="15" t="s">
        <v>110</v>
      </c>
      <c r="C4" s="14" t="s">
        <v>375</v>
      </c>
      <c r="D4" s="15" t="s">
        <v>359</v>
      </c>
      <c r="E4" s="13" t="s">
        <v>360</v>
      </c>
    </row>
    <row r="5" spans="1:7" s="49" customFormat="1" ht="15.75" customHeight="1" x14ac:dyDescent="0.2">
      <c r="A5" s="9" t="s">
        <v>115</v>
      </c>
      <c r="B5" s="29">
        <v>5010773.7227100004</v>
      </c>
      <c r="C5" s="29">
        <v>98.026835810049661</v>
      </c>
      <c r="D5" s="72">
        <v>100</v>
      </c>
      <c r="E5" s="72">
        <v>100</v>
      </c>
      <c r="F5" s="48"/>
      <c r="G5" s="48"/>
    </row>
    <row r="6" spans="1:7" ht="15.75" customHeight="1" x14ac:dyDescent="0.25">
      <c r="A6" s="30" t="s">
        <v>114</v>
      </c>
      <c r="B6" s="52"/>
      <c r="C6" s="31"/>
      <c r="D6" s="52"/>
      <c r="E6" s="52"/>
    </row>
    <row r="7" spans="1:7" x14ac:dyDescent="0.25">
      <c r="A7" s="30" t="s">
        <v>103</v>
      </c>
      <c r="B7" s="32">
        <v>380660.80588</v>
      </c>
      <c r="C7" s="32">
        <v>99.258008720242458</v>
      </c>
      <c r="D7" s="32">
        <f>IF(383506.38985="","-",383506.38985/5111634.66749*100)</f>
        <v>7.5026173581829099</v>
      </c>
      <c r="E7" s="32">
        <f>IF(380660.80588="","-",380660.80588/5010773.72271*100)</f>
        <v>7.5968468533064275</v>
      </c>
    </row>
    <row r="8" spans="1:7" x14ac:dyDescent="0.25">
      <c r="A8" s="30" t="s">
        <v>104</v>
      </c>
      <c r="B8" s="32">
        <v>203025.66021</v>
      </c>
      <c r="C8" s="32">
        <v>81.606280997740313</v>
      </c>
      <c r="D8" s="32">
        <f>IF(248786.80627="","-",248786.80627/5111634.66749*100)</f>
        <v>4.8670693907818618</v>
      </c>
      <c r="E8" s="32">
        <f>IF(203025.66021="","-",203025.66021/5010773.72271*100)</f>
        <v>4.0517826476545959</v>
      </c>
    </row>
    <row r="9" spans="1:7" x14ac:dyDescent="0.25">
      <c r="A9" s="30" t="s">
        <v>105</v>
      </c>
      <c r="B9" s="32">
        <v>3914729.1640900001</v>
      </c>
      <c r="C9" s="32">
        <v>100.28434412251997</v>
      </c>
      <c r="D9" s="32">
        <f>IF(3903629.42326="","-",3903629.42326/5111634.66749*100)</f>
        <v>76.367535576966915</v>
      </c>
      <c r="E9" s="32">
        <f>IF(3914729.16409="","-",3914729.16409/5010773.72271*100)</f>
        <v>78.126241190008855</v>
      </c>
    </row>
    <row r="10" spans="1:7" x14ac:dyDescent="0.25">
      <c r="A10" s="30" t="s">
        <v>106</v>
      </c>
      <c r="B10" s="32">
        <v>88869.334279999995</v>
      </c>
      <c r="C10" s="32">
        <v>109.06553958494385</v>
      </c>
      <c r="D10" s="32">
        <f>IF(81482.50549="","-",81482.50549/5111634.66749*100)</f>
        <v>1.5940596460899052</v>
      </c>
      <c r="E10" s="32">
        <f>IF(88869.33428="","-",88869.33428/5010773.72271*100)</f>
        <v>1.7735651058682484</v>
      </c>
    </row>
    <row r="11" spans="1:7" x14ac:dyDescent="0.25">
      <c r="A11" s="30" t="s">
        <v>107</v>
      </c>
      <c r="B11" s="32">
        <v>4925.4444199999998</v>
      </c>
      <c r="C11" s="32">
        <v>81.84835039962843</v>
      </c>
      <c r="D11" s="32">
        <f>IF(6017.76871="","-",6017.76871/5111634.66749*100)</f>
        <v>0.11772689367401418</v>
      </c>
      <c r="E11" s="32">
        <f>IF(4925.44442="","-",4925.44442/5010773.72271*100)</f>
        <v>9.8297083296272819E-2</v>
      </c>
    </row>
    <row r="12" spans="1:7" x14ac:dyDescent="0.25">
      <c r="A12" s="30" t="s">
        <v>108</v>
      </c>
      <c r="B12" s="32">
        <v>382869.68297000002</v>
      </c>
      <c r="C12" s="32">
        <v>83.060469392833596</v>
      </c>
      <c r="D12" s="32">
        <f>IF(460952.94882="","-",460952.94882/5111634.66749*100)</f>
        <v>9.0177209210912714</v>
      </c>
      <c r="E12" s="32">
        <f>IF(382869.68297="","-",382869.68297/5010773.72271*100)</f>
        <v>7.6409294084613109</v>
      </c>
    </row>
    <row r="13" spans="1:7" x14ac:dyDescent="0.25">
      <c r="A13" s="30" t="s">
        <v>109</v>
      </c>
      <c r="B13" s="32">
        <v>35693.630859999997</v>
      </c>
      <c r="C13" s="32">
        <v>130.94339444987429</v>
      </c>
      <c r="D13" s="32">
        <f>IF(27258.82509="","-",27258.82509/5111634.66749*100)</f>
        <v>0.53327021321312629</v>
      </c>
      <c r="E13" s="32">
        <f>IF(35693.63086="","-",35693.63086/5010773.72271*100)</f>
        <v>0.7123377114042907</v>
      </c>
    </row>
    <row r="14" spans="1:7" x14ac:dyDescent="0.25">
      <c r="A14" s="17" t="s">
        <v>190</v>
      </c>
      <c r="B14" s="52">
        <v>2451125.7525800001</v>
      </c>
      <c r="C14" s="31">
        <v>103.73168342627169</v>
      </c>
      <c r="D14" s="31">
        <f>IF(2362948.0132="","-",2362948.0132/5111634.66749*100)</f>
        <v>46.22685631718462</v>
      </c>
      <c r="E14" s="31">
        <f>IF(2451125.75258="","-",2451125.75258/5010773.72271*100)</f>
        <v>48.917111173288944</v>
      </c>
    </row>
    <row r="15" spans="1:7" x14ac:dyDescent="0.25">
      <c r="A15" s="30" t="s">
        <v>114</v>
      </c>
      <c r="B15" s="32"/>
      <c r="C15" s="31"/>
      <c r="D15" s="31"/>
      <c r="E15" s="31"/>
    </row>
    <row r="16" spans="1:7" x14ac:dyDescent="0.25">
      <c r="A16" s="30" t="s">
        <v>103</v>
      </c>
      <c r="B16" s="32">
        <v>128763.63763</v>
      </c>
      <c r="C16" s="32">
        <v>106.94400212706441</v>
      </c>
      <c r="D16" s="32">
        <f>IF(120402.86044="","-",120402.86044/5111634.66749*100)</f>
        <v>2.3554668569286119</v>
      </c>
      <c r="E16" s="32">
        <f>IF(128763.63763="","-",128763.63763/5010773.72271*100)</f>
        <v>2.5697356287795041</v>
      </c>
    </row>
    <row r="17" spans="1:6" x14ac:dyDescent="0.25">
      <c r="A17" s="30" t="s">
        <v>104</v>
      </c>
      <c r="B17" s="32">
        <v>99678.367800000007</v>
      </c>
      <c r="C17" s="32">
        <v>80.609994844240063</v>
      </c>
      <c r="D17" s="32">
        <f>IF(123655.0976="","-",123655.0976/5111634.66749*100)</f>
        <v>2.4190910666297518</v>
      </c>
      <c r="E17" s="32">
        <f>IF(99678.3678="","-",99678.3678/5010773.72271*100)</f>
        <v>1.989280963700961</v>
      </c>
    </row>
    <row r="18" spans="1:6" x14ac:dyDescent="0.25">
      <c r="A18" s="30" t="s">
        <v>105</v>
      </c>
      <c r="B18" s="32">
        <v>2084819.08424</v>
      </c>
      <c r="C18" s="32">
        <v>100.66830249971646</v>
      </c>
      <c r="D18" s="32">
        <f>IF(2070978.68194="","-",2070978.68194/5111634.66749*100)</f>
        <v>40.514997973376815</v>
      </c>
      <c r="E18" s="32">
        <f>IF(2084819.08424="","-",2084819.08424/5010773.72271*100)</f>
        <v>41.606729810829648</v>
      </c>
    </row>
    <row r="19" spans="1:6" x14ac:dyDescent="0.25">
      <c r="A19" s="30" t="s">
        <v>106</v>
      </c>
      <c r="B19" s="32">
        <v>21559.706190000001</v>
      </c>
      <c r="C19" s="32">
        <v>110.98261398809638</v>
      </c>
      <c r="D19" s="32">
        <f>IF(19426.20147="","-",19426.20147/5111634.66749*100)</f>
        <v>0.38003892558188196</v>
      </c>
      <c r="E19" s="32">
        <f>IF(21559.70619="","-",21559.70619/5010773.72271*100)</f>
        <v>0.43026700831223658</v>
      </c>
    </row>
    <row r="20" spans="1:6" x14ac:dyDescent="0.25">
      <c r="A20" s="30" t="s">
        <v>107</v>
      </c>
      <c r="B20" s="32">
        <v>3301.53449</v>
      </c>
      <c r="C20" s="32">
        <v>85.914448917133384</v>
      </c>
      <c r="D20" s="32">
        <f>IF(3842.81635="","-",3842.81635/5111634.66749*100)</f>
        <v>7.5177836445165278E-2</v>
      </c>
      <c r="E20" s="32">
        <f>IF(3301.53449="","-",3301.53449/5010773.72271*100)</f>
        <v>6.5888716447854601E-2</v>
      </c>
    </row>
    <row r="21" spans="1:6" x14ac:dyDescent="0.25">
      <c r="A21" s="30" t="s">
        <v>108</v>
      </c>
      <c r="B21" s="32">
        <v>80947.871180000002</v>
      </c>
      <c r="C21" s="32" t="s">
        <v>294</v>
      </c>
      <c r="D21" s="32" t="s">
        <v>294</v>
      </c>
      <c r="E21" s="32">
        <f>IF(80947.87118="","-",80947.87118/5010773.72271*100)</f>
        <v>1.6154764844623752</v>
      </c>
    </row>
    <row r="22" spans="1:6" x14ac:dyDescent="0.25">
      <c r="A22" s="30" t="s">
        <v>109</v>
      </c>
      <c r="B22" s="32">
        <v>32055.551049999998</v>
      </c>
      <c r="C22" s="32">
        <v>130.08314558274733</v>
      </c>
      <c r="D22" s="32">
        <f>IF(24642.3554="","-",24642.3554/5111634.66749*100)</f>
        <v>0.48208365822239602</v>
      </c>
      <c r="E22" s="32">
        <f>IF(32055.55105="","-",32055.55105/5010773.72271*100)</f>
        <v>0.63973256075637053</v>
      </c>
      <c r="F22" s="31"/>
    </row>
    <row r="23" spans="1:6" x14ac:dyDescent="0.25">
      <c r="A23" s="17" t="s">
        <v>191</v>
      </c>
      <c r="B23" s="31">
        <v>972271.86387</v>
      </c>
      <c r="C23" s="31">
        <v>73.565664248741527</v>
      </c>
      <c r="D23" s="31">
        <f>IF(1321638.12262="","-",1321638.12262/5111634.66749*100)</f>
        <v>25.855488676168886</v>
      </c>
      <c r="E23" s="31">
        <f>IF(972271.86387="","-",972271.86387/5010773.72271*100)</f>
        <v>19.403627417127943</v>
      </c>
      <c r="F23" s="31"/>
    </row>
    <row r="24" spans="1:6" x14ac:dyDescent="0.25">
      <c r="A24" s="30" t="s">
        <v>114</v>
      </c>
      <c r="B24" s="31"/>
      <c r="C24" s="32"/>
      <c r="D24" s="31"/>
      <c r="E24" s="31"/>
      <c r="F24" s="32"/>
    </row>
    <row r="25" spans="1:6" x14ac:dyDescent="0.25">
      <c r="A25" s="30" t="s">
        <v>103</v>
      </c>
      <c r="B25" s="32">
        <v>63920.635320000001</v>
      </c>
      <c r="C25" s="32">
        <v>59.271940142677856</v>
      </c>
      <c r="D25" s="32">
        <f>IF(107842.99479="","-",107842.99479/5111634.66749*100)</f>
        <v>2.1097555245072876</v>
      </c>
      <c r="E25" s="32">
        <f>IF(63920.63532="","-",63920.63532/5010773.72271*100)</f>
        <v>1.2756639764094058</v>
      </c>
      <c r="F25" s="32"/>
    </row>
    <row r="26" spans="1:6" x14ac:dyDescent="0.25">
      <c r="A26" s="30" t="s">
        <v>104</v>
      </c>
      <c r="B26" s="32">
        <v>94953.037649999998</v>
      </c>
      <c r="C26" s="32">
        <v>76.424745649089317</v>
      </c>
      <c r="D26" s="32">
        <f>IF(124243.83862="","-",124243.83862/5111634.66749*100)</f>
        <v>2.4306087328617378</v>
      </c>
      <c r="E26" s="32">
        <f>IF(94953.03765="","-",94953.03765/5010773.72271*100)</f>
        <v>1.8949775604444199</v>
      </c>
      <c r="F26" s="32"/>
    </row>
    <row r="27" spans="1:6" x14ac:dyDescent="0.25">
      <c r="A27" s="30" t="s">
        <v>105</v>
      </c>
      <c r="B27" s="32">
        <v>500479.73275000002</v>
      </c>
      <c r="C27" s="32">
        <v>80.881178791055291</v>
      </c>
      <c r="D27" s="32">
        <f>IF(618783.92505="","-",618783.92505/5111634.66749*100)</f>
        <v>12.105401995675985</v>
      </c>
      <c r="E27" s="32">
        <f>IF(500479.73275="","-",500479.73275/5010773.72271*100)</f>
        <v>9.9880729094133436</v>
      </c>
      <c r="F27" s="32"/>
    </row>
    <row r="28" spans="1:6" x14ac:dyDescent="0.25">
      <c r="A28" s="30" t="s">
        <v>106</v>
      </c>
      <c r="B28" s="32">
        <v>10878.094349999999</v>
      </c>
      <c r="C28" s="32">
        <v>121.77879111849342</v>
      </c>
      <c r="D28" s="32">
        <f>IF(8932.66738="","-",8932.66738/5111634.66749*100)</f>
        <v>0.17475167849556564</v>
      </c>
      <c r="E28" s="32">
        <f>IF(10878.09435="","-",10878.09435/5010773.72271*100)</f>
        <v>0.21709410466287724</v>
      </c>
      <c r="F28" s="32"/>
    </row>
    <row r="29" spans="1:6" x14ac:dyDescent="0.25">
      <c r="A29" s="30" t="s">
        <v>107</v>
      </c>
      <c r="B29" s="32">
        <v>38.525480000000002</v>
      </c>
      <c r="C29" s="32">
        <v>16.129673506819053</v>
      </c>
      <c r="D29" s="32">
        <f>IF(238.84848="","-",238.84848/5111634.66749*100)</f>
        <v>4.672643792778786E-3</v>
      </c>
      <c r="E29" s="32">
        <f>IF(38.52548="","-",38.52548/5010773.72271*100)</f>
        <v>7.688529183705402E-4</v>
      </c>
      <c r="F29" s="32"/>
    </row>
    <row r="30" spans="1:6" x14ac:dyDescent="0.25">
      <c r="A30" s="30" t="s">
        <v>108</v>
      </c>
      <c r="B30" s="32">
        <v>301921.81179000001</v>
      </c>
      <c r="C30" s="32">
        <v>65.49948591562196</v>
      </c>
      <c r="D30" s="32">
        <f>IF(460952.94882="","-",460952.94882/5111634.66749*100)</f>
        <v>9.0177209210912714</v>
      </c>
      <c r="E30" s="32">
        <f>IF(301921.81179="","-",301921.81179/5010773.72271*100)</f>
        <v>6.0254529239989347</v>
      </c>
    </row>
    <row r="31" spans="1:6" x14ac:dyDescent="0.25">
      <c r="A31" s="30" t="s">
        <v>109</v>
      </c>
      <c r="B31" s="32">
        <v>80.026529999999994</v>
      </c>
      <c r="C31" s="44" t="s">
        <v>294</v>
      </c>
      <c r="D31" s="32">
        <f>IF(642.89948="","-",642.89948/5111634.66749*100)</f>
        <v>1.257717974425757E-2</v>
      </c>
      <c r="E31" s="32">
        <f>IF(80.02653="","-",80.02653/5010773.72271*100)</f>
        <v>1.5970892805895628E-3</v>
      </c>
    </row>
    <row r="32" spans="1:6" x14ac:dyDescent="0.25">
      <c r="A32" s="17" t="s">
        <v>192</v>
      </c>
      <c r="B32" s="52">
        <v>1587376.10626</v>
      </c>
      <c r="C32" s="31">
        <v>111.23490694478184</v>
      </c>
      <c r="D32" s="31">
        <f>IF(1427048.53167="","-",1427048.53167/5111634.66749*100)</f>
        <v>27.917655006646498</v>
      </c>
      <c r="E32" s="31">
        <f>IF(1587376.10626="","-",1587376.10626/5010773.72271*100)</f>
        <v>31.679261409583109</v>
      </c>
    </row>
    <row r="33" spans="1:7" x14ac:dyDescent="0.25">
      <c r="A33" s="30" t="s">
        <v>114</v>
      </c>
      <c r="B33" s="32"/>
      <c r="C33" s="31"/>
      <c r="D33" s="31"/>
      <c r="E33" s="31"/>
    </row>
    <row r="34" spans="1:7" x14ac:dyDescent="0.25">
      <c r="A34" s="30" t="s">
        <v>103</v>
      </c>
      <c r="B34" s="32">
        <v>187976.53292999999</v>
      </c>
      <c r="C34" s="32">
        <v>121.07167696547765</v>
      </c>
      <c r="D34" s="32">
        <f>IF(155260.53462="","-",155260.53462/5111634.66749*100)</f>
        <v>3.0373949767470103</v>
      </c>
      <c r="E34" s="32">
        <f>IF(187976.53293="","-",187976.53293/5010773.72271*100)</f>
        <v>3.7514472481175174</v>
      </c>
    </row>
    <row r="35" spans="1:7" x14ac:dyDescent="0.25">
      <c r="A35" s="30" t="s">
        <v>104</v>
      </c>
      <c r="B35" s="32">
        <v>8394.2547599999998</v>
      </c>
      <c r="C35" s="32" t="s">
        <v>348</v>
      </c>
      <c r="D35" s="32">
        <f>IF(887.87005="","-",887.87005/5111634.66749*100)</f>
        <v>1.7369591290372417E-2</v>
      </c>
      <c r="E35" s="32">
        <f>IF(8394.25476="","-",8394.25476/5010773.72271*100)</f>
        <v>0.16752412350921517</v>
      </c>
    </row>
    <row r="36" spans="1:7" x14ac:dyDescent="0.25">
      <c r="A36" s="30" t="s">
        <v>105</v>
      </c>
      <c r="B36" s="32">
        <v>1329430.3470999999</v>
      </c>
      <c r="C36" s="32">
        <v>109.52028091393966</v>
      </c>
      <c r="D36" s="32">
        <f>IF(1213866.81627="","-",1213866.81627/5111634.66749*100)</f>
        <v>23.747135607914117</v>
      </c>
      <c r="E36" s="32">
        <f>IF(1329430.3471="","-",1329430.3471/5010773.72271*100)</f>
        <v>26.53143846976586</v>
      </c>
    </row>
    <row r="37" spans="1:7" x14ac:dyDescent="0.25">
      <c r="A37" s="30" t="s">
        <v>106</v>
      </c>
      <c r="B37" s="32">
        <v>56431.533739999999</v>
      </c>
      <c r="C37" s="32">
        <v>106.2267896349349</v>
      </c>
      <c r="D37" s="32">
        <f>IF(53123.63664="","-",53123.63664/5111634.66749*100)</f>
        <v>1.0392690420124577</v>
      </c>
      <c r="E37" s="32">
        <f>IF(56431.53374="","-",56431.53374/5010773.72271*100)</f>
        <v>1.1262039928931349</v>
      </c>
    </row>
    <row r="38" spans="1:7" x14ac:dyDescent="0.25">
      <c r="A38" s="30" t="s">
        <v>107</v>
      </c>
      <c r="B38" s="32">
        <v>1585.38445</v>
      </c>
      <c r="C38" s="32">
        <v>81.88529894377362</v>
      </c>
      <c r="D38" s="32">
        <f>IF(1936.10388="","-",1936.10388/5111634.66749*100)</f>
        <v>3.7876413436070108E-2</v>
      </c>
      <c r="E38" s="32">
        <f>IF(1585.38445="","-",1585.38445/5010773.72271*100)</f>
        <v>3.1639513930047693E-2</v>
      </c>
    </row>
    <row r="39" spans="1:7" x14ac:dyDescent="0.25">
      <c r="A39" s="46" t="s">
        <v>109</v>
      </c>
      <c r="B39" s="35">
        <v>3558.0532800000001</v>
      </c>
      <c r="C39" s="35" t="s">
        <v>188</v>
      </c>
      <c r="D39" s="35">
        <f>IF(1973.57021="","-",1973.57021/5111634.66749*100)</f>
        <v>3.8609375246472684E-2</v>
      </c>
      <c r="E39" s="35">
        <f>IF(3558.05328="","-",3558.05328/5010773.72271*100)</f>
        <v>7.1008061367330733E-2</v>
      </c>
    </row>
    <row r="40" spans="1:7" s="28" customFormat="1" ht="14.25" customHeight="1" x14ac:dyDescent="0.2">
      <c r="A40" s="50" t="s">
        <v>18</v>
      </c>
      <c r="B40" s="27"/>
      <c r="C40" s="27"/>
      <c r="D40" s="27"/>
      <c r="E40" s="27"/>
      <c r="F40" s="51"/>
      <c r="G40" s="51"/>
    </row>
  </sheetData>
  <mergeCells count="5">
    <mergeCell ref="A1:E1"/>
    <mergeCell ref="A3:A4"/>
    <mergeCell ref="B3:C3"/>
    <mergeCell ref="D3:E3"/>
    <mergeCell ref="A2:E2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K81"/>
  <sheetViews>
    <sheetView zoomScaleNormal="100" workbookViewId="0">
      <selection activeCell="B1" sqref="B1:H1"/>
    </sheetView>
  </sheetViews>
  <sheetFormatPr defaultRowHeight="15.75" x14ac:dyDescent="0.25"/>
  <cols>
    <col min="1" max="1" width="4.625" style="42" customWidth="1"/>
    <col min="2" max="2" width="26.125" style="42" customWidth="1"/>
    <col min="3" max="3" width="10.5" style="42" customWidth="1"/>
    <col min="4" max="4" width="9.875" style="42" customWidth="1"/>
    <col min="5" max="6" width="8" style="42" customWidth="1"/>
    <col min="7" max="7" width="10" style="42" customWidth="1"/>
    <col min="8" max="8" width="9.75" style="42" customWidth="1"/>
    <col min="9" max="11" width="9" style="42"/>
  </cols>
  <sheetData>
    <row r="1" spans="1:11" s="49" customFormat="1" ht="12.75" x14ac:dyDescent="0.2">
      <c r="A1" s="48"/>
      <c r="B1" s="86" t="s">
        <v>349</v>
      </c>
      <c r="C1" s="86"/>
      <c r="D1" s="86"/>
      <c r="E1" s="86"/>
      <c r="F1" s="86"/>
      <c r="G1" s="86"/>
      <c r="H1" s="86"/>
      <c r="I1" s="48"/>
      <c r="J1" s="48"/>
      <c r="K1" s="48"/>
    </row>
    <row r="2" spans="1:11" s="49" customFormat="1" ht="12.75" x14ac:dyDescent="0.2">
      <c r="A2" s="48"/>
      <c r="B2" s="86" t="s">
        <v>268</v>
      </c>
      <c r="C2" s="86"/>
      <c r="D2" s="86"/>
      <c r="E2" s="86"/>
      <c r="F2" s="86"/>
      <c r="G2" s="86"/>
      <c r="H2" s="86"/>
      <c r="I2" s="48"/>
      <c r="J2" s="48"/>
      <c r="K2" s="48"/>
    </row>
    <row r="3" spans="1:11" x14ac:dyDescent="0.25">
      <c r="A3" s="96"/>
      <c r="B3" s="96"/>
      <c r="C3" s="96"/>
      <c r="D3" s="96"/>
      <c r="E3" s="96"/>
      <c r="F3" s="96"/>
      <c r="G3" s="96"/>
      <c r="H3" s="96"/>
    </row>
    <row r="4" spans="1:11" ht="57.75" customHeight="1" x14ac:dyDescent="0.25">
      <c r="A4" s="90" t="s">
        <v>194</v>
      </c>
      <c r="B4" s="92"/>
      <c r="C4" s="79" t="s">
        <v>358</v>
      </c>
      <c r="D4" s="80"/>
      <c r="E4" s="81" t="s">
        <v>0</v>
      </c>
      <c r="F4" s="82"/>
      <c r="G4" s="94" t="s">
        <v>351</v>
      </c>
      <c r="H4" s="95"/>
    </row>
    <row r="5" spans="1:11" ht="42.75" customHeight="1" x14ac:dyDescent="0.25">
      <c r="A5" s="91"/>
      <c r="B5" s="93"/>
      <c r="C5" s="15" t="s">
        <v>94</v>
      </c>
      <c r="D5" s="14" t="s">
        <v>376</v>
      </c>
      <c r="E5" s="15" t="s">
        <v>359</v>
      </c>
      <c r="F5" s="15" t="s">
        <v>360</v>
      </c>
      <c r="G5" s="15" t="s">
        <v>370</v>
      </c>
      <c r="H5" s="13" t="s">
        <v>361</v>
      </c>
    </row>
    <row r="6" spans="1:11" s="49" customFormat="1" ht="16.5" customHeight="1" x14ac:dyDescent="0.2">
      <c r="A6" s="61"/>
      <c r="B6" s="62" t="s">
        <v>95</v>
      </c>
      <c r="C6" s="63">
        <v>2346453.7023</v>
      </c>
      <c r="D6" s="43">
        <f>IF(2629613.24498="","-",2346453.7023/2629613.24498*100)</f>
        <v>89.231893959290062</v>
      </c>
      <c r="E6" s="43">
        <v>100</v>
      </c>
      <c r="F6" s="43">
        <v>100</v>
      </c>
      <c r="G6" s="43">
        <f>IF(1572223.23546="","-",(2629613.24498-1572223.23546)/1572223.23546*100)</f>
        <v>67.254444895074286</v>
      </c>
      <c r="H6" s="43">
        <f>IF(2629613.24498="","-",(2346453.7023-2629613.24498)/2629613.24498*100)</f>
        <v>-10.768106040709936</v>
      </c>
      <c r="I6" s="48"/>
      <c r="J6" s="48"/>
      <c r="K6" s="48"/>
    </row>
    <row r="7" spans="1:11" x14ac:dyDescent="0.25">
      <c r="A7" s="53" t="s">
        <v>195</v>
      </c>
      <c r="B7" s="54" t="s">
        <v>167</v>
      </c>
      <c r="C7" s="18">
        <v>476240.59422000003</v>
      </c>
      <c r="D7" s="31">
        <f>IF(650325.9669="","-",476240.59422/650325.9669*100)</f>
        <v>73.231059262505354</v>
      </c>
      <c r="E7" s="31">
        <f>IF(650325.9669="","-",650325.9669/2629613.24498*100)</f>
        <v>24.730859876123958</v>
      </c>
      <c r="F7" s="31">
        <f>IF(476240.59422="","-",476240.59422/2346453.7023*100)</f>
        <v>20.296185420287124</v>
      </c>
      <c r="G7" s="31">
        <f>IF(1572223.23546="","-",(650325.9669-288500.34033)/1572223.23546*100)</f>
        <v>23.013629261377584</v>
      </c>
      <c r="H7" s="31">
        <f>IF(2629613.24498="","-",(476240.59422-650325.9669)/2629613.24498*100)</f>
        <v>-6.62018922411246</v>
      </c>
    </row>
    <row r="8" spans="1:11" x14ac:dyDescent="0.25">
      <c r="A8" s="55" t="s">
        <v>196</v>
      </c>
      <c r="B8" s="56" t="s">
        <v>20</v>
      </c>
      <c r="C8" s="20">
        <v>6314.3254399999996</v>
      </c>
      <c r="D8" s="32">
        <f>IF(OR(4044.16056="",6314.32544=""),"-",6314.32544/4044.16056*100)</f>
        <v>156.13439047039219</v>
      </c>
      <c r="E8" s="32">
        <f>IF(4044.16056="","-",4044.16056/2629613.24498*100)</f>
        <v>0.15379297954634233</v>
      </c>
      <c r="F8" s="32">
        <f>IF(6314.32544="","-",6314.32544/2346453.7023*100)</f>
        <v>0.26910078957921402</v>
      </c>
      <c r="G8" s="32">
        <f>IF(OR(1572223.23546="",6461.95654="",4044.16056=""),"-",(4044.16056-6461.95654)/1572223.23546*100)</f>
        <v>-0.15378197735976107</v>
      </c>
      <c r="H8" s="32">
        <f>IF(OR(2629613.24498="",6314.32544="",4044.16056=""),"-",(6314.32544-4044.16056)/2629613.24498*100)</f>
        <v>8.6330751654594209E-2</v>
      </c>
      <c r="I8" s="53"/>
    </row>
    <row r="9" spans="1:11" x14ac:dyDescent="0.25">
      <c r="A9" s="55" t="s">
        <v>197</v>
      </c>
      <c r="B9" s="56" t="s">
        <v>168</v>
      </c>
      <c r="C9" s="20">
        <v>2126.4763400000002</v>
      </c>
      <c r="D9" s="32">
        <f>IF(OR(2019.5481="",2126.47634=""),"-",2126.47634/2019.5481*100)</f>
        <v>105.29466171169679</v>
      </c>
      <c r="E9" s="32">
        <f>IF(2019.5481="","-",2019.5481/2629613.24498*100)</f>
        <v>7.6800195004165336E-2</v>
      </c>
      <c r="F9" s="32">
        <f>IF(2126.47634="","-",2126.47634/2346453.7023*100)</f>
        <v>9.0625113886356357E-2</v>
      </c>
      <c r="G9" s="32">
        <f>IF(OR(1572223.23546="",4067.2075="",2019.5481=""),"-",(2019.5481-4067.2075)/1572223.23546*100)</f>
        <v>-0.1302397365601137</v>
      </c>
      <c r="H9" s="32">
        <f>IF(OR(2629613.24498="",2126.47634="",2019.5481=""),"-",(2126.47634-2019.5481)/2629613.24498*100)</f>
        <v>4.06631051939402E-3</v>
      </c>
      <c r="I9" s="55"/>
    </row>
    <row r="10" spans="1:11" s="2" customFormat="1" x14ac:dyDescent="0.25">
      <c r="A10" s="55" t="s">
        <v>198</v>
      </c>
      <c r="B10" s="56" t="s">
        <v>169</v>
      </c>
      <c r="C10" s="20">
        <v>10300.878839999999</v>
      </c>
      <c r="D10" s="32">
        <f>IF(OR(8802.33776="",10300.87884=""),"-",10300.87884/8802.33776*100)</f>
        <v>117.02435331225007</v>
      </c>
      <c r="E10" s="32">
        <f>IF(8802.33776="","-",8802.33776/2629613.24498*100)</f>
        <v>0.33473887374137212</v>
      </c>
      <c r="F10" s="32">
        <f>IF(10300.87884="","-",10300.87884/2346453.7023*100)</f>
        <v>0.43899774497587796</v>
      </c>
      <c r="G10" s="32">
        <f>IF(OR(1572223.23546="",6298.66477="",8802.33776=""),"-",(8802.33776-6298.66477)/1572223.23546*100)</f>
        <v>0.15924411581841791</v>
      </c>
      <c r="H10" s="32">
        <f>IF(OR(2629613.24498="",10300.87884="",8802.33776=""),"-",(10300.87884-8802.33776)/2629613.24498*100)</f>
        <v>5.6987128539177881E-2</v>
      </c>
      <c r="I10" s="55"/>
      <c r="J10" s="24"/>
      <c r="K10" s="24"/>
    </row>
    <row r="11" spans="1:11" s="2" customFormat="1" x14ac:dyDescent="0.25">
      <c r="A11" s="55" t="s">
        <v>199</v>
      </c>
      <c r="B11" s="56" t="s">
        <v>170</v>
      </c>
      <c r="C11" s="20">
        <v>195.65246999999999</v>
      </c>
      <c r="D11" s="32" t="s">
        <v>342</v>
      </c>
      <c r="E11" s="32">
        <f>IF(55.88052="","-",55.88052/2629613.24498*100)</f>
        <v>2.1250470998606871E-3</v>
      </c>
      <c r="F11" s="32">
        <f>IF(195.65247="","-",195.65247/2346453.7023*100)</f>
        <v>8.3382199192006626E-3</v>
      </c>
      <c r="G11" s="32">
        <f>IF(OR(1572223.23546="",39.49188="",55.88052=""),"-",(55.88052-39.49188)/1572223.23546*100)</f>
        <v>1.0423863246878562E-3</v>
      </c>
      <c r="H11" s="32">
        <f>IF(OR(2629613.24498="",195.65247="",55.88052=""),"-",(195.65247-55.88052)/2629613.24498*100)</f>
        <v>5.3153044565328487E-3</v>
      </c>
      <c r="I11" s="55"/>
      <c r="J11" s="24"/>
      <c r="K11" s="24"/>
    </row>
    <row r="12" spans="1:11" s="2" customFormat="1" ht="24" x14ac:dyDescent="0.25">
      <c r="A12" s="55" t="s">
        <v>200</v>
      </c>
      <c r="B12" s="56" t="s">
        <v>171</v>
      </c>
      <c r="C12" s="20">
        <v>210047.44745000001</v>
      </c>
      <c r="D12" s="32">
        <f>IF(OR(358955.02233="",210047.44745=""),"-",210047.44745/358955.02233*100)</f>
        <v>58.516369568133797</v>
      </c>
      <c r="E12" s="32">
        <f>IF(358955.02233="","-",358955.02233/2629613.24498*100)</f>
        <v>13.650487310833807</v>
      </c>
      <c r="F12" s="32">
        <f>IF(210047.44745="","-",210047.44745/2346453.7023*100)</f>
        <v>8.9516979279885618</v>
      </c>
      <c r="G12" s="32">
        <f>IF(OR(1572223.23546="",90785.89373="",358955.02233=""),"-",(358955.02233-90785.89373)/1572223.23546*100)</f>
        <v>17.056682699485691</v>
      </c>
      <c r="H12" s="32">
        <f>IF(OR(2629613.24498="",210047.44745="",358955.02233=""),"-",(210047.44745-358955.02233)/2629613.24498*100)</f>
        <v>-5.6627177081750872</v>
      </c>
      <c r="I12" s="55"/>
      <c r="J12" s="24"/>
      <c r="K12" s="24"/>
    </row>
    <row r="13" spans="1:11" s="2" customFormat="1" x14ac:dyDescent="0.25">
      <c r="A13" s="55" t="s">
        <v>201</v>
      </c>
      <c r="B13" s="56" t="s">
        <v>172</v>
      </c>
      <c r="C13" s="20">
        <v>184186.13746</v>
      </c>
      <c r="D13" s="32">
        <f>IF(OR(215502.93033="",184186.13746=""),"-",184186.13746/215502.93033*100)</f>
        <v>85.468043138882351</v>
      </c>
      <c r="E13" s="32">
        <f>IF(215502.93033="","-",215502.93033/2629613.24498*100)</f>
        <v>8.195232920331561</v>
      </c>
      <c r="F13" s="32">
        <f>IF(184186.13746="","-",184186.13746/2346453.7023*100)</f>
        <v>7.849553446524868</v>
      </c>
      <c r="G13" s="32">
        <f>IF(OR(1572223.23546="",153448.84495="",215502.93033=""),"-",(215502.93033-153448.84495)/1572223.23546*100)</f>
        <v>3.9469004134037142</v>
      </c>
      <c r="H13" s="32">
        <f>IF(OR(2629613.24498="",184186.13746="",215502.93033=""),"-",(184186.13746-215502.93033)/2629613.24498*100)</f>
        <v>-1.1909277126506939</v>
      </c>
      <c r="I13" s="55"/>
      <c r="J13" s="24"/>
      <c r="K13" s="24"/>
    </row>
    <row r="14" spans="1:11" s="2" customFormat="1" ht="24" x14ac:dyDescent="0.25">
      <c r="A14" s="55" t="s">
        <v>202</v>
      </c>
      <c r="B14" s="56" t="s">
        <v>130</v>
      </c>
      <c r="C14" s="20">
        <v>12183.97575</v>
      </c>
      <c r="D14" s="32">
        <f>IF(OR(13900.6946="",12183.97575=""),"-",12183.97575/13900.6946*100)</f>
        <v>87.650121814776071</v>
      </c>
      <c r="E14" s="32">
        <f>IF(13900.6946="","-",13900.6946/2629613.24498*100)</f>
        <v>0.52862125738592125</v>
      </c>
      <c r="F14" s="32">
        <f>IF(12183.97575="","-",12183.97575/2346453.7023*100)</f>
        <v>0.51925063503521229</v>
      </c>
      <c r="G14" s="32">
        <f>IF(OR(1572223.23546="",8199.99067="",13900.6946=""),"-",(13900.6946-8199.99067)/1572223.23546*100)</f>
        <v>0.36258870886945599</v>
      </c>
      <c r="H14" s="32">
        <f>IF(OR(2629613.24498="",12183.97575="",13900.6946=""),"-",(12183.97575-13900.6946)/2629613.24498*100)</f>
        <v>-6.5284081348360334E-2</v>
      </c>
      <c r="I14" s="55"/>
      <c r="J14" s="24"/>
      <c r="K14" s="24"/>
    </row>
    <row r="15" spans="1:11" s="2" customFormat="1" ht="24" x14ac:dyDescent="0.25">
      <c r="A15" s="55" t="s">
        <v>203</v>
      </c>
      <c r="B15" s="56" t="s">
        <v>173</v>
      </c>
      <c r="C15" s="20">
        <v>6265.67742</v>
      </c>
      <c r="D15" s="32">
        <f>IF(OR(6407.13641="",6265.67742=""),"-",6265.67742/6407.13641*100)</f>
        <v>97.792165158537642</v>
      </c>
      <c r="E15" s="32">
        <f>IF(6407.13641="","-",6407.13641/2629613.24498*100)</f>
        <v>0.24365318444571232</v>
      </c>
      <c r="F15" s="32">
        <f>IF(6265.67742="","-",6265.67742/2346453.7023*100)</f>
        <v>0.26702753239317556</v>
      </c>
      <c r="G15" s="32">
        <f>IF(OR(1572223.23546="",5289.72041="",6407.13641=""),"-",(6407.13641-5289.72041)/1572223.23546*100)</f>
        <v>7.1072349956274955E-2</v>
      </c>
      <c r="H15" s="32">
        <f>IF(OR(2629613.24498="",6265.67742="",6407.13641=""),"-",(6265.67742-6407.13641)/2629613.24498*100)</f>
        <v>-5.3794598985249624E-3</v>
      </c>
      <c r="I15" s="55"/>
      <c r="J15" s="24"/>
      <c r="K15" s="24"/>
    </row>
    <row r="16" spans="1:11" s="2" customFormat="1" ht="24" x14ac:dyDescent="0.25">
      <c r="A16" s="55" t="s">
        <v>204</v>
      </c>
      <c r="B16" s="56" t="s">
        <v>131</v>
      </c>
      <c r="C16" s="20">
        <v>38591.488080000003</v>
      </c>
      <c r="D16" s="32">
        <f>IF(OR(35997.28222="",38591.48808=""),"-",38591.48808/35997.28222*100)</f>
        <v>107.20667144854248</v>
      </c>
      <c r="E16" s="32">
        <f>IF(35997.28222="","-",35997.28222/2629613.24498*100)</f>
        <v>1.368919261747702</v>
      </c>
      <c r="F16" s="32">
        <f>IF(38591.48808="","-",38591.48808/2346453.7023*100)</f>
        <v>1.6446728968985209</v>
      </c>
      <c r="G16" s="32">
        <f>IF(OR(1572223.23546="",10800.61406="",35997.28222=""),"-",(35997.28222-10800.61406)/1572223.23546*100)</f>
        <v>1.6026139031476643</v>
      </c>
      <c r="H16" s="32">
        <f>IF(OR(2629613.24498="",38591.48808="",35997.28222=""),"-",(38591.48808-35997.28222)/2629613.24498*100)</f>
        <v>9.8653513589970251E-2</v>
      </c>
      <c r="I16" s="55"/>
      <c r="J16" s="24"/>
      <c r="K16" s="24"/>
    </row>
    <row r="17" spans="1:11" s="2" customFormat="1" ht="24" x14ac:dyDescent="0.25">
      <c r="A17" s="55" t="s">
        <v>205</v>
      </c>
      <c r="B17" s="56" t="s">
        <v>174</v>
      </c>
      <c r="C17" s="20">
        <v>6028.5349699999997</v>
      </c>
      <c r="D17" s="32">
        <f>IF(OR(4640.97407="",6028.53497=""),"-",6028.53497/4640.97407*100)</f>
        <v>129.8980532765614</v>
      </c>
      <c r="E17" s="32">
        <f>IF(4640.97407="","-",4640.97407/2629613.24498*100)</f>
        <v>0.17648884598751319</v>
      </c>
      <c r="F17" s="32">
        <f>IF(6028.53497="","-",6028.53497/2346453.7023*100)</f>
        <v>0.25692111308613563</v>
      </c>
      <c r="G17" s="32">
        <f>IF(OR(1572223.23546="",3107.95582="",4640.97407=""),"-",(4640.97407-3107.95582)/1572223.23546*100)</f>
        <v>9.7506398291554983E-2</v>
      </c>
      <c r="H17" s="32">
        <f>IF(OR(2629613.24498="",6028.53497="",4640.97407=""),"-",(6028.53497-4640.97407)/2629613.24498*100)</f>
        <v>5.2766729200535066E-2</v>
      </c>
      <c r="I17" s="55"/>
      <c r="J17" s="24"/>
      <c r="K17" s="24"/>
    </row>
    <row r="18" spans="1:11" s="2" customFormat="1" x14ac:dyDescent="0.25">
      <c r="A18" s="53" t="s">
        <v>206</v>
      </c>
      <c r="B18" s="54" t="s">
        <v>175</v>
      </c>
      <c r="C18" s="18">
        <v>123047.85406</v>
      </c>
      <c r="D18" s="31">
        <f>IF(95941.66855="","-",123047.85406/95941.66855*100)</f>
        <v>128.25277683791126</v>
      </c>
      <c r="E18" s="31">
        <f>IF(95941.66855="","-",95941.66855/2629613.24498*100)</f>
        <v>3.6485087201760615</v>
      </c>
      <c r="F18" s="31">
        <f>IF(123047.85406="","-",123047.85406/2346453.7023*100)</f>
        <v>5.243992410307869</v>
      </c>
      <c r="G18" s="31">
        <f>IF(1572223.23546="","-",(95941.66855-115952.34559)/1572223.23546*100)</f>
        <v>-1.272763090423688</v>
      </c>
      <c r="H18" s="31">
        <f>IF(2629613.24498="","-",(123047.85406-95941.66855)/2629613.24498*100)</f>
        <v>1.030805026623075</v>
      </c>
      <c r="I18" s="55"/>
      <c r="J18" s="24"/>
      <c r="K18" s="24"/>
    </row>
    <row r="19" spans="1:11" s="2" customFormat="1" x14ac:dyDescent="0.25">
      <c r="A19" s="55" t="s">
        <v>207</v>
      </c>
      <c r="B19" s="56" t="s">
        <v>176</v>
      </c>
      <c r="C19" s="20">
        <v>116475.10083</v>
      </c>
      <c r="D19" s="32">
        <f>IF(OR(90289.23185="",116475.10083=""),"-",116475.10083/90289.23185*100)</f>
        <v>129.00220595907086</v>
      </c>
      <c r="E19" s="32">
        <f>IF(90289.23185="","-",90289.23185/2629613.24498*100)</f>
        <v>3.4335555626807284</v>
      </c>
      <c r="F19" s="32">
        <f>IF(116475.10083="","-",116475.10083/2346453.7023*100)</f>
        <v>4.9638780733594192</v>
      </c>
      <c r="G19" s="32">
        <f>IF(OR(1572223.23546="",109184.38493="",90289.23185=""),"-",(90289.23185-109184.38493)/1572223.23546*100)</f>
        <v>-1.2018110821566426</v>
      </c>
      <c r="H19" s="32">
        <f>IF(OR(2629613.24498="",116475.10083="",90289.23185=""),"-",(116475.10083-90289.23185)/2629613.24498*100)</f>
        <v>0.99580685600779895</v>
      </c>
      <c r="I19" s="53"/>
      <c r="J19" s="24"/>
      <c r="K19" s="24"/>
    </row>
    <row r="20" spans="1:11" s="2" customFormat="1" x14ac:dyDescent="0.25">
      <c r="A20" s="55" t="s">
        <v>208</v>
      </c>
      <c r="B20" s="56" t="s">
        <v>177</v>
      </c>
      <c r="C20" s="20">
        <v>6572.7532300000003</v>
      </c>
      <c r="D20" s="32">
        <f>IF(OR(5652.4367="",6572.75323=""),"-",6572.75323/5652.4367*100)</f>
        <v>116.28176623366697</v>
      </c>
      <c r="E20" s="32">
        <f>IF(5652.4367="","-",5652.4367/2629613.24498*100)</f>
        <v>0.21495315749533317</v>
      </c>
      <c r="F20" s="32">
        <f>IF(6572.75323="","-",6572.75323/2346453.7023*100)</f>
        <v>0.28011433694844995</v>
      </c>
      <c r="G20" s="32">
        <f>IF(OR(1572223.23546="",6767.96066="",5652.4367=""),"-",(5652.4367-6767.96066)/1572223.23546*100)</f>
        <v>-7.0952008267046132E-2</v>
      </c>
      <c r="H20" s="32">
        <f>IF(OR(2629613.24498="",6572.75323="",5652.4367=""),"-",(6572.75323-5652.4367)/2629613.24498*100)</f>
        <v>3.4998170615276152E-2</v>
      </c>
      <c r="I20" s="55"/>
      <c r="J20" s="24"/>
      <c r="K20" s="24"/>
    </row>
    <row r="21" spans="1:11" s="2" customFormat="1" ht="24" x14ac:dyDescent="0.25">
      <c r="A21" s="53" t="s">
        <v>209</v>
      </c>
      <c r="B21" s="54" t="s">
        <v>21</v>
      </c>
      <c r="C21" s="18">
        <v>183065.92282000001</v>
      </c>
      <c r="D21" s="31">
        <f>IF(335799.96448="","-",183065.92282/335799.96448*100)</f>
        <v>54.516361579574635</v>
      </c>
      <c r="E21" s="31">
        <f>IF(335799.96448="","-",335799.96448/2629613.24498*100)</f>
        <v>12.769937370868165</v>
      </c>
      <c r="F21" s="31">
        <f>IF(183065.92282="","-",183065.92282/2346453.7023*100)</f>
        <v>7.8018126946446165</v>
      </c>
      <c r="G21" s="31">
        <f>IF(1572223.23546="","-",(335799.96448-152102.21123)/1572223.23546*100)</f>
        <v>11.683948507239423</v>
      </c>
      <c r="H21" s="31">
        <f>IF(2629613.24498="","-",(183065.92282-335799.96448)/2629613.24498*100)</f>
        <v>-5.8082321402804489</v>
      </c>
      <c r="I21" s="55"/>
      <c r="J21" s="24"/>
      <c r="K21" s="24"/>
    </row>
    <row r="22" spans="1:11" s="2" customFormat="1" ht="24" x14ac:dyDescent="0.25">
      <c r="A22" s="55" t="s">
        <v>210</v>
      </c>
      <c r="B22" s="56" t="s">
        <v>184</v>
      </c>
      <c r="C22" s="20">
        <v>840.67039999999997</v>
      </c>
      <c r="D22" s="32">
        <f>IF(OR(847.87945="",840.6704=""),"-",840.6704/847.87945*100)</f>
        <v>99.149755310144613</v>
      </c>
      <c r="E22" s="32">
        <f>IF(847.87945="","-",847.87945/2629613.24498*100)</f>
        <v>3.2243503930421094E-2</v>
      </c>
      <c r="F22" s="32">
        <f>IF(840.6704="","-",840.6704/2346453.7023*100)</f>
        <v>3.5827274119066256E-2</v>
      </c>
      <c r="G22" s="32">
        <f>IF(OR(1572223.23546="",836.96131="",847.87945=""),"-",(847.87945-836.96131)/1572223.23546*100)</f>
        <v>6.9443955245996421E-4</v>
      </c>
      <c r="H22" s="32">
        <f>IF(OR(2629613.24498="",840.6704="",847.87945=""),"-",(840.6704-847.87945)/2629613.24498*100)</f>
        <v>-2.7414867999171782E-4</v>
      </c>
      <c r="I22" s="53"/>
      <c r="J22" s="24"/>
      <c r="K22" s="24"/>
    </row>
    <row r="23" spans="1:11" s="2" customFormat="1" x14ac:dyDescent="0.25">
      <c r="A23" s="55" t="s">
        <v>211</v>
      </c>
      <c r="B23" s="56" t="s">
        <v>178</v>
      </c>
      <c r="C23" s="20">
        <v>140105.38539000001</v>
      </c>
      <c r="D23" s="32">
        <f>IF(OR(277277.49876="",140105.38539=""),"-",140105.38539/277277.49876*100)</f>
        <v>50.528941589764365</v>
      </c>
      <c r="E23" s="32">
        <f>IF(277277.49876="","-",277277.49876/2629613.24498*100)</f>
        <v>10.544421286640913</v>
      </c>
      <c r="F23" s="32">
        <f>IF(140105.38539="","-",140105.38539/2346453.7023*100)</f>
        <v>5.9709418196774289</v>
      </c>
      <c r="G23" s="32">
        <f>IF(OR(1572223.23546="",91957.03985="",277277.49876=""),"-",(277277.49876-91957.03985)/1572223.23546*100)</f>
        <v>11.787159401430616</v>
      </c>
      <c r="H23" s="32">
        <f>IF(OR(2629613.24498="",140105.38539="",277277.49876=""),"-",(140105.38539-277277.49876)/2629613.24498*100)</f>
        <v>-5.216436813735446</v>
      </c>
      <c r="I23" s="55"/>
      <c r="J23" s="24"/>
      <c r="K23" s="24"/>
    </row>
    <row r="24" spans="1:11" s="2" customFormat="1" ht="24" x14ac:dyDescent="0.25">
      <c r="A24" s="55" t="s">
        <v>264</v>
      </c>
      <c r="B24" s="56" t="s">
        <v>179</v>
      </c>
      <c r="C24" s="20">
        <v>20.307729999999999</v>
      </c>
      <c r="D24" s="32" t="s">
        <v>340</v>
      </c>
      <c r="E24" s="32">
        <f>IF(4.72108="","-",4.72108/2629613.24498*100)</f>
        <v>1.7953514681342072E-4</v>
      </c>
      <c r="F24" s="32">
        <f>IF(20.30773="","-",20.30773/2346453.7023*100)</f>
        <v>8.6546476412870663E-4</v>
      </c>
      <c r="G24" s="32">
        <f>IF(OR(1572223.23546="",0.54018="",4.72108=""),"-",(4.72108-0.54018)/1572223.23546*100)</f>
        <v>2.659227968206916E-4</v>
      </c>
      <c r="H24" s="32">
        <f>IF(OR(2629613.24498="",20.30773="",4.72108=""),"-",(20.30773-4.72108)/2629613.24498*100)</f>
        <v>5.9273545376892667E-4</v>
      </c>
      <c r="I24" s="55"/>
      <c r="J24" s="24"/>
      <c r="K24" s="24"/>
    </row>
    <row r="25" spans="1:11" s="2" customFormat="1" x14ac:dyDescent="0.25">
      <c r="A25" s="55" t="s">
        <v>212</v>
      </c>
      <c r="B25" s="56" t="s">
        <v>180</v>
      </c>
      <c r="C25" s="20">
        <v>2227.4156699999999</v>
      </c>
      <c r="D25" s="32">
        <f>IF(OR(1972.83373="",2227.41567=""),"-",2227.41567/1972.83373*100)</f>
        <v>112.90437892097474</v>
      </c>
      <c r="E25" s="32">
        <f>IF(1972.83373="","-",1972.83373/2629613.24498*100)</f>
        <v>7.5023721977602251E-2</v>
      </c>
      <c r="F25" s="32">
        <f>IF(2227.41567="","-",2227.41567/2346453.7023*100)</f>
        <v>9.492689618451372E-2</v>
      </c>
      <c r="G25" s="32">
        <f>IF(OR(1572223.23546="",1166.11604="",1972.83373=""),"-",(1972.83373-1166.11604)/1572223.23546*100)</f>
        <v>5.1310632727290216E-2</v>
      </c>
      <c r="H25" s="32">
        <f>IF(OR(2629613.24498="",2227.41567="",1972.83373=""),"-",(2227.41567-1972.83373)/2629613.24498*100)</f>
        <v>9.6813453646084017E-3</v>
      </c>
      <c r="I25" s="55"/>
      <c r="J25" s="24"/>
      <c r="K25" s="24"/>
    </row>
    <row r="26" spans="1:11" s="2" customFormat="1" x14ac:dyDescent="0.25">
      <c r="A26" s="55" t="s">
        <v>213</v>
      </c>
      <c r="B26" s="56" t="s">
        <v>132</v>
      </c>
      <c r="C26" s="20">
        <v>2000.60194</v>
      </c>
      <c r="D26" s="32">
        <f>IF(OR(3282.11807="",2000.60194=""),"-",2000.60194/3282.11807*100)</f>
        <v>60.954599966600234</v>
      </c>
      <c r="E26" s="32">
        <f>IF(3282.11807="","-",3282.11807/2629613.24498*100)</f>
        <v>0.12481371837724231</v>
      </c>
      <c r="F26" s="32">
        <f>IF(2000.60194="","-",2000.60194/2346453.7023*100)</f>
        <v>8.5260661143196859E-2</v>
      </c>
      <c r="G26" s="32">
        <f>IF(OR(1572223.23546="",2888.02784="",3282.11807=""),"-",(3282.11807-2888.02784)/1572223.23546*100)</f>
        <v>2.5065793528022573E-2</v>
      </c>
      <c r="H26" s="32">
        <f>IF(OR(2629613.24498="",2000.60194="",3282.11807=""),"-",(2000.60194-3282.11807)/2629613.24498*100)</f>
        <v>-4.8734015636955265E-2</v>
      </c>
      <c r="I26" s="55"/>
      <c r="J26" s="24"/>
      <c r="K26" s="24"/>
    </row>
    <row r="27" spans="1:11" s="2" customFormat="1" ht="36" x14ac:dyDescent="0.25">
      <c r="A27" s="55" t="s">
        <v>214</v>
      </c>
      <c r="B27" s="56" t="s">
        <v>133</v>
      </c>
      <c r="C27" s="20">
        <v>186.00752</v>
      </c>
      <c r="D27" s="32" t="s">
        <v>339</v>
      </c>
      <c r="E27" s="32">
        <f>IF(56.09673="","-",56.09673/2629613.24498*100)</f>
        <v>2.1332692215134722E-3</v>
      </c>
      <c r="F27" s="32">
        <f>IF(186.00752="","-",186.00752/2346453.7023*100)</f>
        <v>7.9271762241750147E-3</v>
      </c>
      <c r="G27" s="32">
        <f>IF(OR(1572223.23546="",151.45475="",56.09673=""),"-",(56.09673-151.45475)/1572223.23546*100)</f>
        <v>-6.0651705081880558E-3</v>
      </c>
      <c r="H27" s="32">
        <f>IF(OR(2629613.24498="",186.00752="",56.09673=""),"-",(186.00752-56.09673)/2629613.24498*100)</f>
        <v>4.9403002608084312E-3</v>
      </c>
      <c r="I27" s="55"/>
      <c r="J27" s="24"/>
      <c r="K27" s="24"/>
    </row>
    <row r="28" spans="1:11" s="2" customFormat="1" ht="36" x14ac:dyDescent="0.25">
      <c r="A28" s="55" t="s">
        <v>215</v>
      </c>
      <c r="B28" s="56" t="s">
        <v>134</v>
      </c>
      <c r="C28" s="20">
        <v>12458.49209</v>
      </c>
      <c r="D28" s="32" t="s">
        <v>99</v>
      </c>
      <c r="E28" s="32">
        <f>IF(7578.93536="","-",7578.93536/2629613.24498*100)</f>
        <v>0.28821483062075326</v>
      </c>
      <c r="F28" s="32">
        <f>IF(12458.49209="","-",12458.49209/2346453.7023*100)</f>
        <v>0.53094983624812853</v>
      </c>
      <c r="G28" s="32">
        <f>IF(OR(1572223.23546="",4565.15899="",7578.93536=""),"-",(7578.93536-4565.15899)/1572223.23546*100)</f>
        <v>0.19168883285955457</v>
      </c>
      <c r="H28" s="32">
        <f>IF(OR(2629613.24498="",12458.49209="",7578.93536=""),"-",(12458.49209-7578.93536)/2629613.24498*100)</f>
        <v>0.18556176423720103</v>
      </c>
      <c r="I28" s="55"/>
      <c r="J28" s="24"/>
      <c r="K28" s="24"/>
    </row>
    <row r="29" spans="1:11" s="2" customFormat="1" ht="24" x14ac:dyDescent="0.25">
      <c r="A29" s="55" t="s">
        <v>216</v>
      </c>
      <c r="B29" s="56" t="s">
        <v>135</v>
      </c>
      <c r="C29" s="20">
        <v>22207.913380000002</v>
      </c>
      <c r="D29" s="32">
        <f>IF(OR(42491.76135="",22207.91338=""),"-",22207.91338/42491.76135*100)</f>
        <v>52.264045251209623</v>
      </c>
      <c r="E29" s="32">
        <f>IF(42491.76135="","-",42491.76135/2629613.24498*100)</f>
        <v>1.6158939506072949</v>
      </c>
      <c r="F29" s="32">
        <f>IF(22207.91338="","-",22207.91338/2346453.7023*100)</f>
        <v>0.94644583689129458</v>
      </c>
      <c r="G29" s="32">
        <f>IF(OR(1572223.23546="",48461.09173="",42491.76135=""),"-",(42491.76135-48461.09173)/1572223.23546*100)</f>
        <v>-0.37967447913040775</v>
      </c>
      <c r="H29" s="32">
        <f>IF(OR(2629613.24498="",22207.91338="",42491.76135=""),"-",(22207.91338-42491.76135)/2629613.24498*100)</f>
        <v>-0.77136240505033926</v>
      </c>
      <c r="I29" s="55"/>
      <c r="J29" s="24"/>
      <c r="K29" s="24"/>
    </row>
    <row r="30" spans="1:11" s="2" customFormat="1" ht="24" x14ac:dyDescent="0.25">
      <c r="A30" s="55" t="s">
        <v>217</v>
      </c>
      <c r="B30" s="56" t="s">
        <v>136</v>
      </c>
      <c r="C30" s="20">
        <v>3019.1287000000002</v>
      </c>
      <c r="D30" s="32">
        <f>IF(OR(2288.11995="",3019.1287=""),"-",3019.1287/2288.11995*100)</f>
        <v>131.94800823269779</v>
      </c>
      <c r="E30" s="32">
        <f>IF(2288.11995="","-",2288.11995/2629613.24498*100)</f>
        <v>8.7013554345608812E-2</v>
      </c>
      <c r="F30" s="32">
        <f>IF(3019.1287="","-",3019.1287/2346453.7023*100)</f>
        <v>0.12866772939268489</v>
      </c>
      <c r="G30" s="32">
        <f>IF(OR(1572223.23546="",2075.82054="",2288.11995=""),"-",(2288.11995-2075.82054)/1572223.23546*100)</f>
        <v>1.3503133983253033E-2</v>
      </c>
      <c r="H30" s="32">
        <f>IF(OR(2629613.24498="",3019.1287="",2288.11995=""),"-",(3019.1287-2288.11995)/2629613.24498*100)</f>
        <v>2.7799097505898068E-2</v>
      </c>
      <c r="I30" s="55"/>
      <c r="J30" s="24"/>
      <c r="K30" s="24"/>
    </row>
    <row r="31" spans="1:11" s="2" customFormat="1" ht="24" x14ac:dyDescent="0.25">
      <c r="A31" s="53" t="s">
        <v>218</v>
      </c>
      <c r="B31" s="54" t="s">
        <v>137</v>
      </c>
      <c r="C31" s="18">
        <v>313158.21318000002</v>
      </c>
      <c r="D31" s="31">
        <f>IF(270802.48038="","-",313158.21318/270802.48038*100)</f>
        <v>115.64082158352645</v>
      </c>
      <c r="E31" s="31">
        <f>IF(270802.48038="","-",270802.48038/2629613.24498*100)</f>
        <v>10.298186659082624</v>
      </c>
      <c r="F31" s="31">
        <f>IF(313158.21318="","-",313158.21318/2346453.7023*100)</f>
        <v>13.346021397014631</v>
      </c>
      <c r="G31" s="31">
        <f>IF(1572223.23546="","-",(270802.48038-13740.3955)/1572223.23546*100)</f>
        <v>16.35022807717181</v>
      </c>
      <c r="H31" s="31">
        <f>IF(2629613.24498="","-",(313158.21318-270802.48038)/2629613.24498*100)</f>
        <v>1.6107210016856353</v>
      </c>
      <c r="I31" s="55"/>
      <c r="J31" s="24"/>
      <c r="K31" s="24"/>
    </row>
    <row r="32" spans="1:11" s="2" customFormat="1" x14ac:dyDescent="0.25">
      <c r="A32" s="55" t="s">
        <v>219</v>
      </c>
      <c r="B32" s="56" t="s">
        <v>181</v>
      </c>
      <c r="C32" s="20">
        <v>106.13189</v>
      </c>
      <c r="D32" s="32">
        <f>IF(OR(356.38102="",106.13189=""),"-",106.13189/356.38102*100)</f>
        <v>29.780455199325711</v>
      </c>
      <c r="E32" s="32">
        <f>IF(356.38102="","-",356.38102/2629613.24498*100)</f>
        <v>1.3552602105284516E-2</v>
      </c>
      <c r="F32" s="32">
        <f>IF(106.13189="","-",106.13189/2346453.7023*100)</f>
        <v>4.5230762446311747E-3</v>
      </c>
      <c r="G32" s="32">
        <f>IF(OR(1572223.23546="",379.90658="",356.38102=""),"-",(356.38102-379.90658)/1572223.23546*100)</f>
        <v>-1.4963244067002321E-3</v>
      </c>
      <c r="H32" s="32">
        <f>IF(OR(2629613.24498="",106.13189="",356.38102=""),"-",(106.13189-356.38102)/2629613.24498*100)</f>
        <v>-9.5165755069773882E-3</v>
      </c>
      <c r="I32" s="53"/>
      <c r="J32" s="24"/>
      <c r="K32" s="24"/>
    </row>
    <row r="33" spans="1:11" s="2" customFormat="1" ht="24" x14ac:dyDescent="0.25">
      <c r="A33" s="55" t="s">
        <v>220</v>
      </c>
      <c r="B33" s="56" t="s">
        <v>138</v>
      </c>
      <c r="C33" s="20">
        <v>286179.26857999997</v>
      </c>
      <c r="D33" s="32">
        <f>IF(OR(260643.90591="",286179.26858=""),"-",286179.26858/260643.90591*100)</f>
        <v>109.79703038935324</v>
      </c>
      <c r="E33" s="32">
        <f>IF(260643.90591="","-",260643.90591/2629613.24498*100)</f>
        <v>9.9118722651544289</v>
      </c>
      <c r="F33" s="32">
        <f>IF(286179.26858="","-",286179.26858/2346453.7023*100)</f>
        <v>12.196246118109483</v>
      </c>
      <c r="G33" s="32">
        <f>IF(OR(1572223.23546="",13357.15555="",260643.90591=""),"-",(260643.90591-13357.15555)/1572223.23546*100)</f>
        <v>15.728475752213967</v>
      </c>
      <c r="H33" s="32">
        <f>IF(OR(2629613.24498="",286179.26858="",260643.90591=""),"-",(286179.26858-260643.90591)/2629613.24498*100)</f>
        <v>0.97106913797105499</v>
      </c>
      <c r="I33" s="55"/>
      <c r="J33" s="24"/>
      <c r="K33" s="24"/>
    </row>
    <row r="34" spans="1:11" s="2" customFormat="1" ht="24" x14ac:dyDescent="0.25">
      <c r="A34" s="57" t="s">
        <v>265</v>
      </c>
      <c r="B34" s="56" t="s">
        <v>287</v>
      </c>
      <c r="C34" s="20">
        <v>3930.52513</v>
      </c>
      <c r="D34" s="32">
        <f>IF(OR(5025.09273="",3930.52513=""),"-",3930.52513/5025.09273*100)</f>
        <v>78.217962158879402</v>
      </c>
      <c r="E34" s="32">
        <f>IF(5025.09273="","-",5025.09273/2629613.24498*100)</f>
        <v>0.1910962663271123</v>
      </c>
      <c r="F34" s="32">
        <f>IF(3930.52513="","-",3930.52513/2346453.7023*100)</f>
        <v>0.16750917037686655</v>
      </c>
      <c r="G34" s="32" t="str">
        <f>IF(OR(1572223.23546="",""="",5025.09273=""),"-",(5025.09273-"")/1572223.23546*100)</f>
        <v>-</v>
      </c>
      <c r="H34" s="32">
        <f>IF(OR(2629613.24498="",3930.52513="",5025.09273=""),"-",(3930.52513-5025.09273)/2629613.24498*100)</f>
        <v>-4.1624661044340198E-2</v>
      </c>
      <c r="I34" s="55"/>
      <c r="J34" s="24"/>
      <c r="K34" s="24"/>
    </row>
    <row r="35" spans="1:11" s="2" customFormat="1" x14ac:dyDescent="0.25">
      <c r="A35" s="55" t="s">
        <v>270</v>
      </c>
      <c r="B35" s="56" t="s">
        <v>271</v>
      </c>
      <c r="C35" s="20">
        <v>22942.28758</v>
      </c>
      <c r="D35" s="32" t="s">
        <v>344</v>
      </c>
      <c r="E35" s="32">
        <f>IF(4777.10072="","-",4777.10072/2629613.24498*100)</f>
        <v>0.18166552549579712</v>
      </c>
      <c r="F35" s="32">
        <f>IF(22942.28758="","-",22942.28758/2346453.7023*100)</f>
        <v>0.97774303228365045</v>
      </c>
      <c r="G35" s="32">
        <f>IF(OR(1572223.23546="",3.33337="",4777.10072=""),"-",(4777.10072-3.33337)/1572223.23546*100)</f>
        <v>0.30363164990392055</v>
      </c>
      <c r="H35" s="32">
        <f>IF(OR(2629613.24498="",22942.28758="",4777.10072=""),"-",(22942.28758-4777.10072)/2629613.24498*100)</f>
        <v>0.69079310026589713</v>
      </c>
      <c r="I35" s="55"/>
      <c r="J35" s="24"/>
      <c r="K35" s="24"/>
    </row>
    <row r="36" spans="1:11" s="2" customFormat="1" ht="24" x14ac:dyDescent="0.25">
      <c r="A36" s="53" t="s">
        <v>221</v>
      </c>
      <c r="B36" s="54" t="s">
        <v>139</v>
      </c>
      <c r="C36" s="18">
        <v>156261.14227000001</v>
      </c>
      <c r="D36" s="31">
        <f>IF(257931.38211="","-",156261.14227/257931.38211*100)</f>
        <v>60.582446770032547</v>
      </c>
      <c r="E36" s="31">
        <f>IF(257931.38211="","-",257931.38211/2629613.24498*100)</f>
        <v>9.8087193089096925</v>
      </c>
      <c r="F36" s="31">
        <f>IF(156261.14227="","-",156261.14227/2346453.7023*100)</f>
        <v>6.6594598528337654</v>
      </c>
      <c r="G36" s="31">
        <f>IF(1572223.23546="","-",(257931.38211-44315.01579)/1572223.23546*100)</f>
        <v>13.586897935489439</v>
      </c>
      <c r="H36" s="31">
        <f>IF(2629613.24498="","-",(156261.14227-257931.38211)/2629613.24498*100)</f>
        <v>-3.8663571547675737</v>
      </c>
      <c r="I36" s="55"/>
      <c r="J36" s="24"/>
      <c r="K36" s="24"/>
    </row>
    <row r="37" spans="1:11" s="2" customFormat="1" ht="13.5" customHeight="1" x14ac:dyDescent="0.25">
      <c r="A37" s="55" t="s">
        <v>222</v>
      </c>
      <c r="B37" s="56" t="s">
        <v>185</v>
      </c>
      <c r="C37" s="20">
        <v>1.9330099999999999</v>
      </c>
      <c r="D37" s="32">
        <f>IF(OR(1.59594="",1.93301=""),"-",1.93301/1.59594*100)</f>
        <v>121.1204681880271</v>
      </c>
      <c r="E37" s="32">
        <f>IF(1.59594="","-",1.59594/2629613.24498*100)</f>
        <v>6.0691054209081538E-5</v>
      </c>
      <c r="F37" s="32">
        <f>IF(1.93301="","-",1.93301/2346453.7023*100)</f>
        <v>8.2380061371134595E-5</v>
      </c>
      <c r="G37" s="32">
        <f>IF(OR(1572223.23546="",4.81502="",1.59594=""),"-",(1.59594-4.81502)/1572223.23546*100)</f>
        <v>-2.0474700585748328E-4</v>
      </c>
      <c r="H37" s="32">
        <f>IF(OR(2629613.24498="",1.93301="",1.59594=""),"-",(1.93301-1.59594)/2629613.24498*100)</f>
        <v>1.2818234797207361E-5</v>
      </c>
      <c r="I37" s="53"/>
      <c r="J37" s="24"/>
      <c r="K37" s="24"/>
    </row>
    <row r="38" spans="1:11" s="2" customFormat="1" ht="24" x14ac:dyDescent="0.25">
      <c r="A38" s="55" t="s">
        <v>223</v>
      </c>
      <c r="B38" s="56" t="s">
        <v>140</v>
      </c>
      <c r="C38" s="20">
        <v>156250.04685000001</v>
      </c>
      <c r="D38" s="32">
        <f>IF(OR(257922.99381="",156250.04685=""),"-",156250.04685/257922.99381*100)</f>
        <v>60.580115228153034</v>
      </c>
      <c r="E38" s="32">
        <f>IF(257922.99381="","-",257922.99381/2629613.24498*100)</f>
        <v>9.8084003152319728</v>
      </c>
      <c r="F38" s="32">
        <f>IF(156250.04685="","-",156250.04685/2346453.7023*100)</f>
        <v>6.6589869937277388</v>
      </c>
      <c r="G38" s="32">
        <f>IF(OR(1572223.23546="",44306.63844="",257922.99381=""),"-",(257922.99381-44306.63844)/1572223.23546*100)</f>
        <v>13.586897239023457</v>
      </c>
      <c r="H38" s="32">
        <f>IF(OR(2629613.24498="",156250.04685="",257922.99381=""),"-",(156250.04685-257922.99381)/2629613.24498*100)</f>
        <v>-3.8664601022259188</v>
      </c>
      <c r="I38" s="55"/>
      <c r="J38" s="24"/>
      <c r="K38" s="24"/>
    </row>
    <row r="39" spans="1:11" s="2" customFormat="1" ht="59.25" customHeight="1" x14ac:dyDescent="0.25">
      <c r="A39" s="55" t="s">
        <v>224</v>
      </c>
      <c r="B39" s="56" t="s">
        <v>183</v>
      </c>
      <c r="C39" s="20">
        <v>9.1624099999999995</v>
      </c>
      <c r="D39" s="32">
        <f>IF(OR(6.79236="",9.16241=""),"-",9.16241/6.79236*100)</f>
        <v>134.89287964713296</v>
      </c>
      <c r="E39" s="32">
        <f>IF(6.79236="","-",6.79236/2629613.24498*100)</f>
        <v>2.5830262351190966E-4</v>
      </c>
      <c r="F39" s="32">
        <f>IF(9.16241="","-",9.16241/2346453.7023*100)</f>
        <v>3.9047904465444946E-4</v>
      </c>
      <c r="G39" s="32">
        <f>IF(OR(1572223.23546="",3.56233="",6.79236=""),"-",(6.79236-3.56233)/1572223.23546*100)</f>
        <v>2.0544347183973271E-4</v>
      </c>
      <c r="H39" s="32">
        <f>IF(OR(2629613.24498="",9.16241="",6.79236=""),"-",(9.16241-6.79236)/2629613.24498*100)</f>
        <v>9.0129223547397557E-5</v>
      </c>
      <c r="I39" s="55"/>
      <c r="J39" s="24"/>
      <c r="K39" s="24"/>
    </row>
    <row r="40" spans="1:11" s="2" customFormat="1" ht="24" x14ac:dyDescent="0.25">
      <c r="A40" s="53" t="s">
        <v>225</v>
      </c>
      <c r="B40" s="54" t="s">
        <v>141</v>
      </c>
      <c r="C40" s="18">
        <v>77363.30618</v>
      </c>
      <c r="D40" s="31">
        <f>IF(79433.58325="","-",77363.30618/79433.58325*100)</f>
        <v>97.393700516462602</v>
      </c>
      <c r="E40" s="31">
        <f>IF(79433.58325="","-",79433.58325/2629613.24498*100)</f>
        <v>3.0207325507521219</v>
      </c>
      <c r="F40" s="31">
        <f>IF(77363.30618="","-",77363.30618/2346453.7023*100)</f>
        <v>3.2970310091423616</v>
      </c>
      <c r="G40" s="31">
        <f>IF(1572223.23546="","-",(79433.58325-77843.56616)/1572223.23546*100)</f>
        <v>0.10113176387033788</v>
      </c>
      <c r="H40" s="31">
        <f>IF(2629613.24498="","-",(77363.30618-79433.58325)/2629613.24498*100)</f>
        <v>-7.8729336869298519E-2</v>
      </c>
      <c r="I40" s="55"/>
      <c r="J40" s="24"/>
      <c r="K40" s="24"/>
    </row>
    <row r="41" spans="1:11" s="2" customFormat="1" x14ac:dyDescent="0.25">
      <c r="A41" s="55" t="s">
        <v>226</v>
      </c>
      <c r="B41" s="56" t="s">
        <v>22</v>
      </c>
      <c r="C41" s="20">
        <v>16422.947230000002</v>
      </c>
      <c r="D41" s="32">
        <f>IF(OR(28379.43383="",16422.94723=""),"-",16422.94723/28379.43383*100)</f>
        <v>57.869185581282615</v>
      </c>
      <c r="E41" s="32">
        <f>IF(28379.43383="","-",28379.43383/2629613.24498*100)</f>
        <v>1.0792246306249438</v>
      </c>
      <c r="F41" s="32">
        <f>IF(16422.94723="","-",16422.94723/2346453.7023*100)</f>
        <v>0.69990501896126001</v>
      </c>
      <c r="G41" s="32">
        <f>IF(OR(1572223.23546="",18439.83284="",28379.43383=""),"-",(28379.43383-18439.83284)/1572223.23546*100)</f>
        <v>0.63220036225274845</v>
      </c>
      <c r="H41" s="32">
        <f>IF(OR(2629613.24498="",16422.94723="",28379.43383=""),"-",(16422.94723-28379.43383)/2629613.24498*100)</f>
        <v>-0.45468612628968319</v>
      </c>
      <c r="I41" s="55"/>
      <c r="J41" s="24"/>
      <c r="K41" s="24"/>
    </row>
    <row r="42" spans="1:11" s="2" customFormat="1" x14ac:dyDescent="0.25">
      <c r="A42" s="55" t="s">
        <v>227</v>
      </c>
      <c r="B42" s="56" t="s">
        <v>23</v>
      </c>
      <c r="C42" s="20">
        <v>5484.4295700000002</v>
      </c>
      <c r="D42" s="32">
        <f>IF(OR(3544.80605="",5484.42957=""),"-",5484.42957/3544.80605*100)</f>
        <v>154.71733834351809</v>
      </c>
      <c r="E42" s="32">
        <f>IF(3544.80605="","-",3544.80605/2629613.24498*100)</f>
        <v>0.13480332352170521</v>
      </c>
      <c r="F42" s="32">
        <f>IF(5484.42957="","-",5484.42957/2346453.7023*100)</f>
        <v>0.23373269903532076</v>
      </c>
      <c r="G42" s="32">
        <f>IF(OR(1572223.23546="",569.9283="",3544.80605=""),"-",(3544.80605-569.9283)/1572223.23546*100)</f>
        <v>0.1892147172808836</v>
      </c>
      <c r="H42" s="32">
        <f>IF(OR(2629613.24498="",5484.42957="",3544.80605=""),"-",(5484.42957-3544.80605)/2629613.24498*100)</f>
        <v>7.3760790629678788E-2</v>
      </c>
      <c r="I42" s="55"/>
      <c r="J42" s="24"/>
      <c r="K42" s="24"/>
    </row>
    <row r="43" spans="1:11" s="2" customFormat="1" x14ac:dyDescent="0.25">
      <c r="A43" s="55" t="s">
        <v>228</v>
      </c>
      <c r="B43" s="56" t="s">
        <v>142</v>
      </c>
      <c r="C43" s="20">
        <v>3083.7932300000002</v>
      </c>
      <c r="D43" s="32" t="s">
        <v>17</v>
      </c>
      <c r="E43" s="32">
        <f>IF(1562.27163="","-",1562.27163/2629613.24498*100)</f>
        <v>5.9410699766683076E-2</v>
      </c>
      <c r="F43" s="32">
        <f>IF(3083.79323="","-",3083.79323/2346453.7023*100)</f>
        <v>0.13142357025741688</v>
      </c>
      <c r="G43" s="32">
        <f>IF(OR(1572223.23546="",1434.25559="",1562.27163=""),"-",(1562.27163-1434.25559)/1572223.23546*100)</f>
        <v>8.1423577207561833E-3</v>
      </c>
      <c r="H43" s="32">
        <f>IF(OR(2629613.24498="",3083.79323="",1562.27163=""),"-",(3083.79323-1562.27163)/2629613.24498*100)</f>
        <v>5.7861041082928243E-2</v>
      </c>
      <c r="I43" s="55"/>
      <c r="J43" s="24"/>
      <c r="K43" s="24"/>
    </row>
    <row r="44" spans="1:11" s="2" customFormat="1" x14ac:dyDescent="0.25">
      <c r="A44" s="55" t="s">
        <v>229</v>
      </c>
      <c r="B44" s="56" t="s">
        <v>143</v>
      </c>
      <c r="C44" s="20">
        <v>25597.384030000001</v>
      </c>
      <c r="D44" s="32">
        <f>IF(OR(29043.92137="",25597.38403=""),"-",25597.38403/29043.92137*100)</f>
        <v>88.133360863729678</v>
      </c>
      <c r="E44" s="32">
        <f>IF(29043.92137="","-",29043.92137/2629613.24498*100)</f>
        <v>1.1044940325519579</v>
      </c>
      <c r="F44" s="32">
        <f>IF(25597.38403="","-",25597.38403/2346453.7023*100)</f>
        <v>1.0908966158125932</v>
      </c>
      <c r="G44" s="32">
        <f>IF(OR(1572223.23546="",44229.56035="",29043.92137=""),"-",(29043.92137-44229.56035)/1572223.23546*100)</f>
        <v>-0.965870408063076</v>
      </c>
      <c r="H44" s="32">
        <f>IF(OR(2629613.24498="",25597.38403="",29043.92137=""),"-",(25597.38403-29043.92137)/2629613.24498*100)</f>
        <v>-0.13106632112458089</v>
      </c>
      <c r="I44" s="55"/>
      <c r="J44" s="24"/>
      <c r="K44" s="24"/>
    </row>
    <row r="45" spans="1:11" ht="48" x14ac:dyDescent="0.25">
      <c r="A45" s="55" t="s">
        <v>230</v>
      </c>
      <c r="B45" s="56" t="s">
        <v>144</v>
      </c>
      <c r="C45" s="20">
        <v>9025.2938099999992</v>
      </c>
      <c r="D45" s="32">
        <f>IF(OR(8913.8886="",9025.29381=""),"-",9025.29381/8913.8886*100)</f>
        <v>101.24979360859412</v>
      </c>
      <c r="E45" s="32">
        <f>IF(8913.8886="","-",8913.8886/2629613.24498*100)</f>
        <v>0.3389809743701605</v>
      </c>
      <c r="F45" s="32">
        <f>IF(9025.29381="","-",9025.29381/2346453.7023*100)</f>
        <v>0.38463549488120657</v>
      </c>
      <c r="G45" s="32">
        <f>IF(OR(1572223.23546="",5473.2945="",8913.8886=""),"-",(8913.8886-5473.2945)/1572223.23546*100)</f>
        <v>0.21883623281991207</v>
      </c>
      <c r="H45" s="32">
        <f>IF(OR(2629613.24498="",9025.29381="",8913.8886=""),"-",(9025.29381-8913.8886)/2629613.24498*100)</f>
        <v>4.2365625520283043E-3</v>
      </c>
      <c r="I45" s="55"/>
    </row>
    <row r="46" spans="1:11" x14ac:dyDescent="0.25">
      <c r="A46" s="55" t="s">
        <v>231</v>
      </c>
      <c r="B46" s="56" t="s">
        <v>145</v>
      </c>
      <c r="C46" s="20">
        <v>269.21357</v>
      </c>
      <c r="D46" s="32" t="s">
        <v>303</v>
      </c>
      <c r="E46" s="32">
        <f>IF(71.21796="","-",71.21796/2629613.24498*100)</f>
        <v>2.7083054945801228E-3</v>
      </c>
      <c r="F46" s="32">
        <f>IF(269.21357="","-",269.21357/2346453.7023*100)</f>
        <v>1.1473210391328675E-2</v>
      </c>
      <c r="G46" s="32">
        <f>IF(OR(1572223.23546="",146.43214="",71.21796=""),"-",(71.21796-146.43214)/1572223.23546*100)</f>
        <v>-4.7839376943181917E-3</v>
      </c>
      <c r="H46" s="32">
        <f>IF(OR(2629613.24498="",269.21357="",71.21796=""),"-",(269.21357-71.21796)/2629613.24498*100)</f>
        <v>7.5294574355365285E-3</v>
      </c>
      <c r="I46" s="55"/>
    </row>
    <row r="47" spans="1:11" ht="14.25" customHeight="1" x14ac:dyDescent="0.25">
      <c r="A47" s="55" t="s">
        <v>232</v>
      </c>
      <c r="B47" s="56" t="s">
        <v>24</v>
      </c>
      <c r="C47" s="20">
        <v>10606.592629999999</v>
      </c>
      <c r="D47" s="32" t="s">
        <v>404</v>
      </c>
      <c r="E47" s="32">
        <f>IF(2066.26004="","-",2066.26004/2629613.24498*100)</f>
        <v>7.857657562170195E-2</v>
      </c>
      <c r="F47" s="32">
        <f>IF(10606.59263="","-",10606.59263/2346453.7023*100)</f>
        <v>0.45202650363837943</v>
      </c>
      <c r="G47" s="32">
        <f>IF(OR(1572223.23546="",1285.88698="",2066.26004=""),"-",(2066.26004-1285.88698)/1572223.23546*100)</f>
        <v>4.9635003630491385E-2</v>
      </c>
      <c r="H47" s="32">
        <f>IF(OR(2629613.24498="",10606.59263="",2066.26004=""),"-",(10606.59263-2066.26004)/2629613.24498*100)</f>
        <v>0.32477523477278325</v>
      </c>
      <c r="I47" s="55"/>
    </row>
    <row r="48" spans="1:11" x14ac:dyDescent="0.25">
      <c r="A48" s="55" t="s">
        <v>233</v>
      </c>
      <c r="B48" s="56" t="s">
        <v>25</v>
      </c>
      <c r="C48" s="20">
        <v>2905.2000699999999</v>
      </c>
      <c r="D48" s="32">
        <f>IF(OR(3092.7086="",2905.20007=""),"-",2905.20007/3092.7086*100)</f>
        <v>93.937077356722185</v>
      </c>
      <c r="E48" s="32">
        <f>IF(3092.7086="","-",3092.7086/2629613.24498*100)</f>
        <v>0.11761077815926205</v>
      </c>
      <c r="F48" s="32">
        <f>IF(2905.20007="","-",2905.20007/2346453.7023*100)</f>
        <v>0.12381237555006157</v>
      </c>
      <c r="G48" s="32">
        <f>IF(OR(1572223.23546="",2509.80742="",3092.7086=""),"-",(3092.7086-2509.80742)/1572223.23546*100)</f>
        <v>3.7074962820369137E-2</v>
      </c>
      <c r="H48" s="32">
        <f>IF(OR(2629613.24498="",2905.20007="",3092.7086=""),"-",(2905.20007-3092.7086)/2629613.24498*100)</f>
        <v>-7.1306504999531289E-3</v>
      </c>
      <c r="I48" s="55"/>
    </row>
    <row r="49" spans="1:9" x14ac:dyDescent="0.25">
      <c r="A49" s="55" t="s">
        <v>234</v>
      </c>
      <c r="B49" s="56" t="s">
        <v>146</v>
      </c>
      <c r="C49" s="20">
        <v>3968.4520400000001</v>
      </c>
      <c r="D49" s="32">
        <f>IF(OR(2759.07517="",3968.45204=""),"-",3968.45204/2759.07517*100)</f>
        <v>143.83269014015301</v>
      </c>
      <c r="E49" s="32">
        <f>IF(2759.07517="","-",2759.07517/2629613.24498*100)</f>
        <v>0.10492323064112742</v>
      </c>
      <c r="F49" s="32">
        <f>IF(3968.45204="","-",3968.45204/2346453.7023*100)</f>
        <v>0.16912552061479472</v>
      </c>
      <c r="G49" s="32">
        <f>IF(OR(1572223.23546="",3754.56804="",2759.07517=""),"-",(2759.07517-3754.56804)/1572223.23546*100)</f>
        <v>-6.3317526897428103E-2</v>
      </c>
      <c r="H49" s="32">
        <f>IF(OR(2629613.24498="",3968.45204="",2759.07517=""),"-",(3968.45204-2759.07517)/2629613.24498*100)</f>
        <v>4.5990674571963458E-2</v>
      </c>
      <c r="I49" s="53"/>
    </row>
    <row r="50" spans="1:9" ht="24" x14ac:dyDescent="0.25">
      <c r="A50" s="53" t="s">
        <v>235</v>
      </c>
      <c r="B50" s="54" t="s">
        <v>369</v>
      </c>
      <c r="C50" s="18">
        <v>172500.03490999999</v>
      </c>
      <c r="D50" s="31">
        <f>IF(167885.68037="","-",172500.03491/167885.68037*100)</f>
        <v>102.74850989663354</v>
      </c>
      <c r="E50" s="31">
        <f>IF(167885.68037="","-",167885.68037/2629613.24498*100)</f>
        <v>6.3844248081157229</v>
      </c>
      <c r="F50" s="31">
        <f>IF(172500.03491="","-",172500.03491/2346453.7023*100)</f>
        <v>7.351520924572899</v>
      </c>
      <c r="G50" s="31">
        <f>IF(1572223.23546="","-",(167885.68037-138476.79324)/1572223.23546*100)</f>
        <v>1.8705287179778609</v>
      </c>
      <c r="H50" s="31">
        <f>IF(2629613.24498="","-",(172500.03491-167885.68037)/2629613.24498*100)</f>
        <v>0.17547654769418747</v>
      </c>
      <c r="I50" s="55"/>
    </row>
    <row r="51" spans="1:9" x14ac:dyDescent="0.25">
      <c r="A51" s="55" t="s">
        <v>236</v>
      </c>
      <c r="B51" s="56" t="s">
        <v>147</v>
      </c>
      <c r="C51" s="20">
        <v>575.18475999999998</v>
      </c>
      <c r="D51" s="32">
        <f>IF(OR(1476.2349="",575.18476=""),"-",575.18476/1476.2349*100)</f>
        <v>38.962956369612996</v>
      </c>
      <c r="E51" s="32">
        <f>IF(1476.2349="","-",1476.2349/2629613.24498*100)</f>
        <v>5.6138860070703199E-2</v>
      </c>
      <c r="F51" s="32">
        <f>IF(575.18476="","-",575.18476/2346453.7023*100)</f>
        <v>2.4512938799355059E-2</v>
      </c>
      <c r="G51" s="32">
        <f>IF(OR(1572223.23546="",658.21113="",1476.2349=""),"-",(1476.2349-658.21113)/1572223.23546*100)</f>
        <v>5.2029746892823581E-2</v>
      </c>
      <c r="H51" s="32">
        <f>IF(OR(2629613.24498="",575.18476="",1476.2349=""),"-",(575.18476-1476.2349)/2629613.24498*100)</f>
        <v>-3.4265500514957019E-2</v>
      </c>
      <c r="I51" s="55"/>
    </row>
    <row r="52" spans="1:9" x14ac:dyDescent="0.25">
      <c r="A52" s="55" t="s">
        <v>237</v>
      </c>
      <c r="B52" s="56" t="s">
        <v>26</v>
      </c>
      <c r="C52" s="20">
        <v>1616.8982800000001</v>
      </c>
      <c r="D52" s="32" t="s">
        <v>289</v>
      </c>
      <c r="E52" s="32">
        <f>IF(694.26128="","-",694.26128/2629613.24498*100)</f>
        <v>2.6401649798705681E-2</v>
      </c>
      <c r="F52" s="32">
        <f>IF(1616.89828="","-",1616.89828/2346453.7023*100)</f>
        <v>6.8908168885459462E-2</v>
      </c>
      <c r="G52" s="32">
        <f>IF(OR(1572223.23546="",842.89547="",694.26128=""),"-",(694.26128-842.89547)/1572223.23546*100)</f>
        <v>-9.4537586423923247E-3</v>
      </c>
      <c r="H52" s="32">
        <f>IF(OR(2629613.24498="",1616.89828="",694.26128=""),"-",(1616.89828-694.26128)/2629613.24498*100)</f>
        <v>3.5086414390456011E-2</v>
      </c>
      <c r="I52" s="55"/>
    </row>
    <row r="53" spans="1:9" x14ac:dyDescent="0.25">
      <c r="A53" s="55" t="s">
        <v>238</v>
      </c>
      <c r="B53" s="56" t="s">
        <v>148</v>
      </c>
      <c r="C53" s="20">
        <v>14123.171179999999</v>
      </c>
      <c r="D53" s="32">
        <f>IF(OR(17302.24426="",14123.17118=""),"-",14123.17118/17302.24426*100)</f>
        <v>81.626238583687638</v>
      </c>
      <c r="E53" s="32">
        <f>IF(17302.24426="","-",17302.24426/2629613.24498*100)</f>
        <v>0.65797676875222744</v>
      </c>
      <c r="F53" s="32">
        <f>IF(14123.17118="","-",14123.17118/2346453.7023*100)</f>
        <v>0.60189430399399868</v>
      </c>
      <c r="G53" s="32">
        <f>IF(OR(1572223.23546="",14783.49109="",17302.24426=""),"-",(17302.24426-14783.49109)/1572223.23546*100)</f>
        <v>0.16020327859249991</v>
      </c>
      <c r="H53" s="32">
        <f>IF(OR(2629613.24498="",14123.17118="",17302.24426=""),"-",(14123.17118-17302.24426)/2629613.24498*100)</f>
        <v>-0.12089508166529558</v>
      </c>
      <c r="I53" s="55"/>
    </row>
    <row r="54" spans="1:9" ht="24.75" customHeight="1" x14ac:dyDescent="0.25">
      <c r="A54" s="55" t="s">
        <v>239</v>
      </c>
      <c r="B54" s="56" t="s">
        <v>149</v>
      </c>
      <c r="C54" s="20">
        <v>11945.052030000001</v>
      </c>
      <c r="D54" s="32">
        <f>IF(OR(11456.19985="",11945.05203=""),"-",11945.05203/11456.19985*100)</f>
        <v>104.2671408180785</v>
      </c>
      <c r="E54" s="32">
        <f>IF(11456.19985="","-",11456.19985/2629613.24498*100)</f>
        <v>0.43566101866387325</v>
      </c>
      <c r="F54" s="32">
        <f>IF(11945.05203="","-",11945.05203/2346453.7023*100)</f>
        <v>0.50906830244685541</v>
      </c>
      <c r="G54" s="32">
        <f>IF(OR(1572223.23546="",6090.54731="",11456.19985=""),"-",(11456.19985-6090.54731)/1572223.23546*100)</f>
        <v>0.34127803348677277</v>
      </c>
      <c r="H54" s="32">
        <f>IF(OR(2629613.24498="",11945.05203="",11456.19985=""),"-",(11945.05203-11456.19985)/2629613.24498*100)</f>
        <v>1.8590269155862801E-2</v>
      </c>
      <c r="I54" s="55"/>
    </row>
    <row r="55" spans="1:9" ht="36" x14ac:dyDescent="0.25">
      <c r="A55" s="55" t="s">
        <v>240</v>
      </c>
      <c r="B55" s="56" t="s">
        <v>150</v>
      </c>
      <c r="C55" s="20">
        <v>48962.46918</v>
      </c>
      <c r="D55" s="32">
        <f>IF(OR(53847.79633="",48962.46918=""),"-",48962.46918/53847.79633*100)</f>
        <v>90.927526318698654</v>
      </c>
      <c r="E55" s="32">
        <f>IF(53847.79633="","-",53847.79633/2629613.24498*100)</f>
        <v>2.0477458589317972</v>
      </c>
      <c r="F55" s="32">
        <f>IF(48962.46918="","-",48962.46918/2346453.7023*100)</f>
        <v>2.0866582252190553</v>
      </c>
      <c r="G55" s="32">
        <f>IF(OR(1572223.23546="",47803.03999="",53847.79633=""),"-",(53847.79633-47803.03999)/1572223.23546*100)</f>
        <v>0.38447188692205209</v>
      </c>
      <c r="H55" s="32">
        <f>IF(OR(2629613.24498="",48962.46918="",53847.79633=""),"-",(48962.46918-53847.79633)/2629613.24498*100)</f>
        <v>-0.18578120411152529</v>
      </c>
      <c r="I55" s="55"/>
    </row>
    <row r="56" spans="1:9" x14ac:dyDescent="0.25">
      <c r="A56" s="55" t="s">
        <v>241</v>
      </c>
      <c r="B56" s="56" t="s">
        <v>27</v>
      </c>
      <c r="C56" s="20">
        <v>68145.931880000004</v>
      </c>
      <c r="D56" s="32">
        <f>IF(OR(51890.81976="",68145.93188=""),"-",68145.93188/51890.81976*100)</f>
        <v>131.32560286228173</v>
      </c>
      <c r="E56" s="32">
        <f>IF(51890.81976="","-",51890.81976/2629613.24498*100)</f>
        <v>1.97332515947206</v>
      </c>
      <c r="F56" s="32">
        <f>IF(68145.93188="","-",68145.93188/2346453.7023*100)</f>
        <v>2.9042095232138263</v>
      </c>
      <c r="G56" s="32">
        <f>IF(OR(1572223.23546="",35994.88516="",51890.81976=""),"-",(51890.81976-35994.88516)/1572223.23546*100)</f>
        <v>1.0110481922339214</v>
      </c>
      <c r="H56" s="32">
        <f>IF(OR(2629613.24498="",68145.93188="",51890.81976=""),"-",(68145.93188-51890.81976)/2629613.24498*100)</f>
        <v>0.61815600263770487</v>
      </c>
      <c r="I56" s="55"/>
    </row>
    <row r="57" spans="1:9" x14ac:dyDescent="0.25">
      <c r="A57" s="55" t="s">
        <v>242</v>
      </c>
      <c r="B57" s="56" t="s">
        <v>151</v>
      </c>
      <c r="C57" s="20">
        <v>6278.1071499999998</v>
      </c>
      <c r="D57" s="32">
        <f>IF(OR(5390.71558="",6278.10715=""),"-",6278.10715/5390.71558*100)</f>
        <v>116.46148005456448</v>
      </c>
      <c r="E57" s="32">
        <f>IF(5390.71558="","-",5390.71558/2629613.24498*100)</f>
        <v>0.20500032049545749</v>
      </c>
      <c r="F57" s="32">
        <f>IF(6278.10715="","-",6278.10715/2346453.7023*100)</f>
        <v>0.26755725646093859</v>
      </c>
      <c r="G57" s="32">
        <f>IF(OR(1572223.23546="",6711.53743="",5390.71558=""),"-",(5390.71558-6711.53743)/1572223.23546*100)</f>
        <v>-8.4009816176871019E-2</v>
      </c>
      <c r="H57" s="32">
        <f>IF(OR(2629613.24498="",6278.10715="",5390.71558=""),"-",(6278.10715-5390.71558)/2629613.24498*100)</f>
        <v>3.3746086870152993E-2</v>
      </c>
      <c r="I57" s="55"/>
    </row>
    <row r="58" spans="1:9" x14ac:dyDescent="0.25">
      <c r="A58" s="55" t="s">
        <v>243</v>
      </c>
      <c r="B58" s="56" t="s">
        <v>28</v>
      </c>
      <c r="C58" s="20">
        <v>848.11983999999995</v>
      </c>
      <c r="D58" s="32">
        <f>IF(OR(1209.25781="",848.11984=""),"-",848.11984/1209.25781*100)</f>
        <v>70.135568526946287</v>
      </c>
      <c r="E58" s="32">
        <f>IF(1209.25781="","-",1209.25781/2629613.24498*100)</f>
        <v>4.5986146909949767E-2</v>
      </c>
      <c r="F58" s="32">
        <f>IF(848.11984="","-",848.11984/2346453.7023*100)</f>
        <v>3.6144750657925648E-2</v>
      </c>
      <c r="G58" s="32">
        <f>IF(OR(1572223.23546="",998.39771="",1209.25781=""),"-",(1209.25781-998.39771)/1572223.23546*100)</f>
        <v>1.341158782316983E-2</v>
      </c>
      <c r="H58" s="32">
        <f>IF(OR(2629613.24498="",848.11984="",1209.25781=""),"-",(848.11984-1209.25781)/2629613.24498*100)</f>
        <v>-1.3733501331019757E-2</v>
      </c>
      <c r="I58" s="55"/>
    </row>
    <row r="59" spans="1:9" x14ac:dyDescent="0.25">
      <c r="A59" s="55" t="s">
        <v>244</v>
      </c>
      <c r="B59" s="56" t="s">
        <v>29</v>
      </c>
      <c r="C59" s="20">
        <v>20005.100610000001</v>
      </c>
      <c r="D59" s="32">
        <f>IF(OR(24618.1506="",20005.10061=""),"-",20005.10061/24618.1506*100)</f>
        <v>81.261590015620428</v>
      </c>
      <c r="E59" s="32">
        <f>IF(24618.1506="","-",24618.1506/2629613.24498*100)</f>
        <v>0.93618902502094903</v>
      </c>
      <c r="F59" s="32">
        <f>IF(20005.10061="","-",20005.10061/2346453.7023*100)</f>
        <v>0.85256745489548547</v>
      </c>
      <c r="G59" s="32">
        <f>IF(OR(1572223.23546="",24593.78795="",24618.1506=""),"-",(24618.1506-24593.78795)/1572223.23546*100)</f>
        <v>1.5495668458856678E-3</v>
      </c>
      <c r="H59" s="32">
        <f>IF(OR(2629613.24498="",20005.10061="",24618.1506=""),"-",(20005.10061-24618.1506)/2629613.24498*100)</f>
        <v>-0.17542693773719129</v>
      </c>
      <c r="I59" s="53"/>
    </row>
    <row r="60" spans="1:9" ht="24" x14ac:dyDescent="0.25">
      <c r="A60" s="53" t="s">
        <v>245</v>
      </c>
      <c r="B60" s="54" t="s">
        <v>152</v>
      </c>
      <c r="C60" s="18">
        <v>474024.04541999998</v>
      </c>
      <c r="D60" s="31">
        <f>IF(402966.38813="","-",474024.04542/402966.38813*100)</f>
        <v>117.63364374377454</v>
      </c>
      <c r="E60" s="31">
        <f>IF(402966.38813="","-",402966.38813/2629613.24498*100)</f>
        <v>15.324169396365543</v>
      </c>
      <c r="F60" s="31">
        <f>IF(474024.04542="","-",474024.04542/2346453.7023*100)</f>
        <v>20.2017216429781</v>
      </c>
      <c r="G60" s="31">
        <f>IF(1572223.23546="","-",(402966.38813-396701.46605)/1572223.23546*100)</f>
        <v>0.39847535252632249</v>
      </c>
      <c r="H60" s="31">
        <f>IF(2629613.24498="","-",(474024.04542-402966.38813)/2629613.24498*100)</f>
        <v>2.702209438047626</v>
      </c>
      <c r="I60" s="55"/>
    </row>
    <row r="61" spans="1:9" ht="24" x14ac:dyDescent="0.25">
      <c r="A61" s="55" t="s">
        <v>246</v>
      </c>
      <c r="B61" s="56" t="s">
        <v>153</v>
      </c>
      <c r="C61" s="20">
        <v>3880.8202700000002</v>
      </c>
      <c r="D61" s="32">
        <f>IF(OR(2433.31344="",3880.82027=""),"-",3880.82027/2433.31344*100)</f>
        <v>159.48706838195085</v>
      </c>
      <c r="E61" s="32">
        <f>IF(2433.31344="","-",2433.31344/2629613.24498*100)</f>
        <v>9.2535031326194395E-2</v>
      </c>
      <c r="F61" s="32">
        <f>IF(3880.82027="","-",3880.82027/2346453.7023*100)</f>
        <v>0.16539087330792038</v>
      </c>
      <c r="G61" s="32">
        <f>IF(OR(1572223.23546="",1255.62625="",2433.31344=""),"-",(2433.31344-1255.62625)/1572223.23546*100)</f>
        <v>7.4905850736612017E-2</v>
      </c>
      <c r="H61" s="32">
        <f>IF(OR(2629613.24498="",3880.82027="",2433.31344=""),"-",(3880.82027-2433.31344)/2629613.24498*100)</f>
        <v>5.5046377362272886E-2</v>
      </c>
      <c r="I61" s="55"/>
    </row>
    <row r="62" spans="1:9" ht="24" x14ac:dyDescent="0.25">
      <c r="A62" s="55" t="s">
        <v>247</v>
      </c>
      <c r="B62" s="56" t="s">
        <v>154</v>
      </c>
      <c r="C62" s="20">
        <v>19588.43203</v>
      </c>
      <c r="D62" s="32" t="s">
        <v>399</v>
      </c>
      <c r="E62" s="32">
        <f>IF(7987.56952="","-",7987.56952/2629613.24498*100)</f>
        <v>0.30375453634668437</v>
      </c>
      <c r="F62" s="32">
        <f>IF(19588.43203="","-",19588.43203/2346453.7023*100)</f>
        <v>0.83481008002840063</v>
      </c>
      <c r="G62" s="32">
        <f>IF(OR(1572223.23546="",8584.02893="",7987.56952=""),"-",(7987.56952-8584.02893)/1572223.23546*100)</f>
        <v>-3.7937323183338444E-2</v>
      </c>
      <c r="H62" s="32">
        <f>IF(OR(2629613.24498="",19588.43203="",7987.56952=""),"-",(19588.43203-7987.56952)/2629613.24498*100)</f>
        <v>0.44116230902572262</v>
      </c>
      <c r="I62" s="55"/>
    </row>
    <row r="63" spans="1:9" ht="24" x14ac:dyDescent="0.25">
      <c r="A63" s="55" t="s">
        <v>248</v>
      </c>
      <c r="B63" s="56" t="s">
        <v>155</v>
      </c>
      <c r="C63" s="20">
        <v>3174.3079699999998</v>
      </c>
      <c r="D63" s="32">
        <f>IF(OR(2775.16532="",3174.30797=""),"-",3174.30797/2775.16532*100)</f>
        <v>114.38266207506513</v>
      </c>
      <c r="E63" s="32">
        <f>IF(2775.16532="","-",2775.16532/2629613.24498*100)</f>
        <v>0.10553511339729758</v>
      </c>
      <c r="F63" s="32">
        <f>IF(3174.30797="","-",3174.30797/2346453.7023*100)</f>
        <v>0.13528108254974455</v>
      </c>
      <c r="G63" s="32">
        <f>IF(OR(1572223.23546="",2754.789="",2775.16532=""),"-",(2775.16532-2754.789)/1572223.23546*100)</f>
        <v>1.2960195181213028E-3</v>
      </c>
      <c r="H63" s="32">
        <f>IF(OR(2629613.24498="",3174.30797="",2775.16532=""),"-",(3174.30797-2775.16532)/2629613.24498*100)</f>
        <v>1.5178758730470098E-2</v>
      </c>
      <c r="I63" s="55"/>
    </row>
    <row r="64" spans="1:9" ht="36" x14ac:dyDescent="0.25">
      <c r="A64" s="55" t="s">
        <v>249</v>
      </c>
      <c r="B64" s="56" t="s">
        <v>156</v>
      </c>
      <c r="C64" s="20">
        <v>24476.118139999999</v>
      </c>
      <c r="D64" s="32">
        <f>IF(OR(15560.82238="",24476.11814=""),"-",24476.11814/15560.82238*100)</f>
        <v>157.29321717249752</v>
      </c>
      <c r="E64" s="32">
        <f>IF(15560.82238="","-",15560.82238/2629613.24498*100)</f>
        <v>0.59175327055056537</v>
      </c>
      <c r="F64" s="32">
        <f>IF(24476.11814="","-",24476.11814/2346453.7023*100)</f>
        <v>1.0431110622812818</v>
      </c>
      <c r="G64" s="32">
        <f>IF(OR(1572223.23546="",14626.1615="",15560.82238=""),"-",(15560.82238-14626.1615)/1572223.23546*100)</f>
        <v>5.9448356882127941E-2</v>
      </c>
      <c r="H64" s="32">
        <f>IF(OR(2629613.24498="",24476.11814="",15560.82238=""),"-",(24476.11814-15560.82238)/2629613.24498*100)</f>
        <v>0.33903448642189232</v>
      </c>
      <c r="I64" s="55"/>
    </row>
    <row r="65" spans="1:11" ht="25.5" customHeight="1" x14ac:dyDescent="0.25">
      <c r="A65" s="55" t="s">
        <v>250</v>
      </c>
      <c r="B65" s="56" t="s">
        <v>157</v>
      </c>
      <c r="C65" s="20">
        <v>5301.8927299999996</v>
      </c>
      <c r="D65" s="32" t="s">
        <v>289</v>
      </c>
      <c r="E65" s="32">
        <f>IF(2339.31728="","-",2339.31728/2629613.24498*100)</f>
        <v>8.8960507194957961E-2</v>
      </c>
      <c r="F65" s="32">
        <f>IF(5301.89273="","-",5301.89273/2346453.7023*100)</f>
        <v>0.22595343452986397</v>
      </c>
      <c r="G65" s="32">
        <f>IF(OR(1572223.23546="",1163.49891="",2339.31728=""),"-",(2339.31728-1163.49891)/1572223.23546*100)</f>
        <v>7.4786985936890829E-2</v>
      </c>
      <c r="H65" s="32">
        <f>IF(OR(2629613.24498="",5301.89273="",2339.31728=""),"-",(5301.89273-2339.31728)/2629613.24498*100)</f>
        <v>0.11266202190210416</v>
      </c>
      <c r="I65" s="55"/>
    </row>
    <row r="66" spans="1:11" ht="48" x14ac:dyDescent="0.25">
      <c r="A66" s="55" t="s">
        <v>251</v>
      </c>
      <c r="B66" s="56" t="s">
        <v>158</v>
      </c>
      <c r="C66" s="20">
        <v>2358.9718899999998</v>
      </c>
      <c r="D66" s="32">
        <f>IF(OR(1791.6534="",2358.97189=""),"-",2358.97189/1791.6534*100)</f>
        <v>131.66452227869519</v>
      </c>
      <c r="E66" s="32">
        <f>IF(1791.6534="","-",1791.6534/2629613.24498*100)</f>
        <v>6.8133722836250271E-2</v>
      </c>
      <c r="F66" s="32">
        <f>IF(2358.97189="","-",2358.97189/2346453.7023*100)</f>
        <v>0.10053349391414496</v>
      </c>
      <c r="G66" s="32">
        <f>IF(OR(1572223.23546="",1804.93908="",1791.6534=""),"-",(1791.6534-1804.93908)/1572223.23546*100)</f>
        <v>-8.4502503845219337E-4</v>
      </c>
      <c r="H66" s="32">
        <f>IF(OR(2629613.24498="",2358.97189="",1791.6534=""),"-",(2358.97189-1791.6534)/2629613.24498*100)</f>
        <v>2.1574217846788903E-2</v>
      </c>
      <c r="I66" s="55"/>
    </row>
    <row r="67" spans="1:11" ht="48" x14ac:dyDescent="0.25">
      <c r="A67" s="55" t="s">
        <v>252</v>
      </c>
      <c r="B67" s="56" t="s">
        <v>159</v>
      </c>
      <c r="C67" s="20">
        <v>364968.33999000001</v>
      </c>
      <c r="D67" s="32">
        <f>IF(OR(316966.64489="",364968.33999=""),"-",364968.33999/316966.64489*100)</f>
        <v>115.14408404602273</v>
      </c>
      <c r="E67" s="32">
        <f>IF(316966.64489="","-",316966.64489/2629613.24498*100)</f>
        <v>12.053736247910129</v>
      </c>
      <c r="F67" s="32">
        <f>IF(364968.33999="","-",364968.33999/2346453.7023*100)</f>
        <v>15.554039682617947</v>
      </c>
      <c r="G67" s="32">
        <f>IF(OR(1572223.23546="",332476.7574="",316966.64489=""),"-",(316966.64489-332476.7574)/1572223.23546*100)</f>
        <v>-0.98650828713023486</v>
      </c>
      <c r="H67" s="32">
        <f>IF(OR(2629613.24498="",364968.33999="",316966.64489=""),"-",(364968.33999-316966.64489)/2629613.24498*100)</f>
        <v>1.8254279480694162</v>
      </c>
      <c r="I67" s="55"/>
    </row>
    <row r="68" spans="1:11" ht="24" x14ac:dyDescent="0.25">
      <c r="A68" s="55" t="s">
        <v>253</v>
      </c>
      <c r="B68" s="56" t="s">
        <v>160</v>
      </c>
      <c r="C68" s="20">
        <v>44757.510549999999</v>
      </c>
      <c r="D68" s="32">
        <f>IF(OR(51554.1119="",44757.51055=""),"-",44757.51055/51554.1119*100)</f>
        <v>86.816567874967106</v>
      </c>
      <c r="E68" s="32">
        <f>IF(51554.1119="","-",51554.1119/2629613.24498*100)</f>
        <v>1.9605206962817874</v>
      </c>
      <c r="F68" s="32">
        <f>IF(44757.51055="","-",44757.51055/2346453.7023*100)</f>
        <v>1.9074533840633026</v>
      </c>
      <c r="G68" s="32">
        <f>IF(OR(1572223.23546="",33208.3442="",51554.1119=""),"-",(51554.1119-33208.3442)/1572223.23546*100)</f>
        <v>1.1668678649589104</v>
      </c>
      <c r="H68" s="32">
        <f>IF(OR(2629613.24498="",44757.51055="",51554.1119=""),"-",(44757.51055-51554.1119)/2629613.24498*100)</f>
        <v>-0.25846391529153168</v>
      </c>
      <c r="I68" s="55"/>
    </row>
    <row r="69" spans="1:11" x14ac:dyDescent="0.25">
      <c r="A69" s="55" t="s">
        <v>254</v>
      </c>
      <c r="B69" s="56" t="s">
        <v>30</v>
      </c>
      <c r="C69" s="20">
        <v>5517.6518500000002</v>
      </c>
      <c r="D69" s="32" t="s">
        <v>342</v>
      </c>
      <c r="E69" s="32">
        <f>IF(1557.79="","-",1557.79/2629613.24498*100)</f>
        <v>5.9240270521676963E-2</v>
      </c>
      <c r="F69" s="32">
        <f>IF(5517.65185="","-",5517.65185/2346453.7023*100)</f>
        <v>0.23514854968549279</v>
      </c>
      <c r="G69" s="32">
        <f>IF(OR(1572223.23546="",827.32078="",1557.79=""),"-",(1557.79-827.32078)/1572223.23546*100)</f>
        <v>4.6460909845686113E-2</v>
      </c>
      <c r="H69" s="32">
        <f>IF(OR(2629613.24498="",5517.65185="",1557.79=""),"-",(5517.65185-1557.79)/2629613.24498*100)</f>
        <v>0.15058723398049045</v>
      </c>
      <c r="I69" s="53"/>
    </row>
    <row r="70" spans="1:11" x14ac:dyDescent="0.25">
      <c r="A70" s="53" t="s">
        <v>255</v>
      </c>
      <c r="B70" s="54" t="s">
        <v>31</v>
      </c>
      <c r="C70" s="18">
        <v>365688.44987999997</v>
      </c>
      <c r="D70" s="31">
        <f>IF(366249.12481="","-",365688.44988/366249.12481*100)</f>
        <v>99.846914329067431</v>
      </c>
      <c r="E70" s="31">
        <f>IF(366249.12481="","-",366249.12481/2629613.24498*100)</f>
        <v>13.927870401062936</v>
      </c>
      <c r="F70" s="31">
        <f>IF(365688.44988="","-",365688.44988/2346453.7023*100)</f>
        <v>15.584728968722084</v>
      </c>
      <c r="G70" s="31">
        <f>IF(1572223.23546="","-",(366249.12481-344201.92382)/1572223.23546*100)</f>
        <v>1.4022945656027928</v>
      </c>
      <c r="H70" s="31">
        <f>IF(2629613.24498="","-",(365688.44988-366249.12481)/2629613.24498*100)</f>
        <v>-2.1321573850085387E-2</v>
      </c>
      <c r="I70" s="55"/>
    </row>
    <row r="71" spans="1:11" ht="38.25" customHeight="1" x14ac:dyDescent="0.25">
      <c r="A71" s="55" t="s">
        <v>256</v>
      </c>
      <c r="B71" s="56" t="s">
        <v>186</v>
      </c>
      <c r="C71" s="20">
        <v>8678.1344200000003</v>
      </c>
      <c r="D71" s="32">
        <f>IF(OR(10133.42595="",8678.13442=""),"-",8678.13442/10133.42595*100)</f>
        <v>85.638701687063687</v>
      </c>
      <c r="E71" s="32">
        <f>IF(10133.42595="","-",10133.42595/2629613.24498*100)</f>
        <v>0.38535803580032063</v>
      </c>
      <c r="F71" s="32">
        <f>IF(8678.13442="","-",8678.13442/2346453.7023*100)</f>
        <v>0.36984042819569252</v>
      </c>
      <c r="G71" s="32">
        <f>IF(OR(1572223.23546="",9779.26564="",10133.42595=""),"-",(10133.42595-9779.26564)/1572223.23546*100)</f>
        <v>2.2526082938621697E-2</v>
      </c>
      <c r="H71" s="32">
        <f>IF(OR(2629613.24498="",8678.13442="",10133.42595=""),"-",(8678.13442-10133.42595)/2629613.24498*100)</f>
        <v>-5.5342417094155945E-2</v>
      </c>
      <c r="I71" s="55"/>
    </row>
    <row r="72" spans="1:11" x14ac:dyDescent="0.25">
      <c r="A72" s="55" t="s">
        <v>257</v>
      </c>
      <c r="B72" s="56" t="s">
        <v>161</v>
      </c>
      <c r="C72" s="20">
        <v>83697.159350000002</v>
      </c>
      <c r="D72" s="32">
        <f>IF(OR(85496.26308="",83697.15935=""),"-",83697.15935/85496.26308*100)</f>
        <v>97.895693138872559</v>
      </c>
      <c r="E72" s="32">
        <f>IF(85496.26308="","-",85496.26308/2629613.24498*100)</f>
        <v>3.2512866005377248</v>
      </c>
      <c r="F72" s="32">
        <f>IF(83697.15935="","-",83697.15935/2346453.7023*100)</f>
        <v>3.5669640218325993</v>
      </c>
      <c r="G72" s="32">
        <f>IF(OR(1572223.23546="",93551.20711="",85496.26308=""),"-",(85496.26308-93551.20711)/1572223.23546*100)</f>
        <v>-0.51232826537150666</v>
      </c>
      <c r="H72" s="32">
        <f>IF(OR(2629613.24498="",83697.15935="",85496.26308=""),"-",(83697.15935-85496.26308)/2629613.24498*100)</f>
        <v>-6.8417047010032303E-2</v>
      </c>
      <c r="I72" s="55"/>
    </row>
    <row r="73" spans="1:11" x14ac:dyDescent="0.25">
      <c r="A73" s="55" t="s">
        <v>258</v>
      </c>
      <c r="B73" s="56" t="s">
        <v>162</v>
      </c>
      <c r="C73" s="20">
        <v>8230.6536799999994</v>
      </c>
      <c r="D73" s="32">
        <f>IF(OR(9294.9783="",8230.65368=""),"-",8230.65368/9294.9783*100)</f>
        <v>88.549466328501254</v>
      </c>
      <c r="E73" s="32">
        <f>IF(9294.9783="","-",9294.9783/2629613.24498*100)</f>
        <v>0.35347320818924061</v>
      </c>
      <c r="F73" s="32">
        <f>IF(8230.65368="","-",8230.65368/2346453.7023*100)</f>
        <v>0.35076991597713142</v>
      </c>
      <c r="G73" s="32">
        <f>IF(OR(1572223.23546="",9010.29823="",9294.9783=""),"-",(9294.9783-9010.29823)/1572223.23546*100)</f>
        <v>1.8106847906792883E-2</v>
      </c>
      <c r="H73" s="32">
        <f>IF(OR(2629613.24498="",8230.65368="",9294.9783=""),"-",(8230.65368-9294.9783)/2629613.24498*100)</f>
        <v>-4.0474568723435835E-2</v>
      </c>
      <c r="I73" s="55"/>
    </row>
    <row r="74" spans="1:11" x14ac:dyDescent="0.25">
      <c r="A74" s="55" t="s">
        <v>259</v>
      </c>
      <c r="B74" s="56" t="s">
        <v>163</v>
      </c>
      <c r="C74" s="20">
        <v>174415.89139</v>
      </c>
      <c r="D74" s="32">
        <f>IF(OR(175690.72114="",174415.89139=""),"-",174415.89139/175690.72114*100)</f>
        <v>99.274389824500659</v>
      </c>
      <c r="E74" s="32">
        <f>IF(175690.72114="","-",175690.72114/2629613.24498*100)</f>
        <v>6.6812380670578904</v>
      </c>
      <c r="F74" s="32">
        <f>IF(174415.89139="","-",174415.89139/2346453.7023*100)</f>
        <v>7.4331699457371396</v>
      </c>
      <c r="G74" s="32">
        <f>IF(OR(1572223.23546="",158939.58072="",175690.72114=""),"-",(175690.72114-158939.58072)/1572223.23546*100)</f>
        <v>1.0654428736450374</v>
      </c>
      <c r="H74" s="32">
        <f>IF(OR(2629613.24498="",174415.89139="",175690.72114=""),"-",(174415.89139-175690.72114)/2629613.24498*100)</f>
        <v>-4.8479743263907249E-2</v>
      </c>
      <c r="I74" s="55"/>
    </row>
    <row r="75" spans="1:11" x14ac:dyDescent="0.25">
      <c r="A75" s="55" t="s">
        <v>260</v>
      </c>
      <c r="B75" s="56" t="s">
        <v>164</v>
      </c>
      <c r="C75" s="20">
        <v>19945.506720000001</v>
      </c>
      <c r="D75" s="32">
        <f>IF(OR(23837.69295="",19945.50672=""),"-",19945.50672/23837.69295*100)</f>
        <v>83.67213539429369</v>
      </c>
      <c r="E75" s="32">
        <f>IF(23837.69295="","-",23837.69295/2629613.24498*100)</f>
        <v>0.90650946467153593</v>
      </c>
      <c r="F75" s="32">
        <f>IF(19945.50672="","-",19945.50672/2346453.7023*100)</f>
        <v>0.85002771205114191</v>
      </c>
      <c r="G75" s="32">
        <f>IF(OR(1572223.23546="",22978.27698="",23837.69295=""),"-",(23837.69295-22978.27698)/1572223.23546*100)</f>
        <v>5.4662464630765649E-2</v>
      </c>
      <c r="H75" s="32">
        <f>IF(OR(2629613.24498="",19945.50672="",23837.69295=""),"-",(19945.50672-23837.69295)/2629613.24498*100)</f>
        <v>-0.1480136380294815</v>
      </c>
      <c r="I75" s="55"/>
    </row>
    <row r="76" spans="1:11" ht="24" x14ac:dyDescent="0.25">
      <c r="A76" s="55" t="s">
        <v>261</v>
      </c>
      <c r="B76" s="56" t="s">
        <v>302</v>
      </c>
      <c r="C76" s="20">
        <v>15267.089669999999</v>
      </c>
      <c r="D76" s="32">
        <f>IF(OR(11473.20322="",15267.08967=""),"-",15267.08967/11473.20322*100)</f>
        <v>133.06736904464941</v>
      </c>
      <c r="E76" s="32">
        <f>IF(11473.20322="","-",11473.20322/2629613.24498*100)</f>
        <v>0.43630762972093495</v>
      </c>
      <c r="F76" s="32">
        <f>IF(15267.08967="","-",15267.08967/2346453.7023*100)</f>
        <v>0.65064525479599955</v>
      </c>
      <c r="G76" s="32">
        <f>IF(OR(1572223.23546="",13407.14754="",11473.20322=""),"-",(11473.20322-13407.14754)/1572223.23546*100)</f>
        <v>-0.12300697994926707</v>
      </c>
      <c r="H76" s="32">
        <f>IF(OR(2629613.24498="",15267.08967="",11473.20322=""),"-",(15267.08967-11473.20322)/2629613.24498*100)</f>
        <v>0.14427545408978404</v>
      </c>
      <c r="I76" s="55"/>
    </row>
    <row r="77" spans="1:11" ht="24" x14ac:dyDescent="0.25">
      <c r="A77" s="55" t="s">
        <v>262</v>
      </c>
      <c r="B77" s="56" t="s">
        <v>165</v>
      </c>
      <c r="C77" s="20">
        <v>4365.6359000000002</v>
      </c>
      <c r="D77" s="32">
        <f>IF(OR(2934.30191="",4365.6359=""),"-",4365.6359/2934.30191*100)</f>
        <v>148.77937015008794</v>
      </c>
      <c r="E77" s="32">
        <f>IF(2934.30191="","-",2934.30191/2629613.24498*100)</f>
        <v>0.11158682424503522</v>
      </c>
      <c r="F77" s="32">
        <f>IF(4365.6359="","-",4365.6359/2346453.7023*100)</f>
        <v>0.18605250534970252</v>
      </c>
      <c r="G77" s="32">
        <f>IF(OR(1572223.23546="",2018.75823="",2934.30191=""),"-",(2934.30191-2018.75823)/1572223.23546*100)</f>
        <v>5.8232422683419452E-2</v>
      </c>
      <c r="H77" s="32">
        <f>IF(OR(2629613.24498="",4365.6359="",2934.30191=""),"-",(4365.6359-2934.30191)/2629613.24498*100)</f>
        <v>5.4431350037213798E-2</v>
      </c>
      <c r="I77" s="55"/>
    </row>
    <row r="78" spans="1:11" x14ac:dyDescent="0.25">
      <c r="A78" s="55" t="s">
        <v>263</v>
      </c>
      <c r="B78" s="56" t="s">
        <v>32</v>
      </c>
      <c r="C78" s="20">
        <v>51088.378750000003</v>
      </c>
      <c r="D78" s="32">
        <f>IF(OR(47388.53826="",51088.37875=""),"-",51088.37875/47388.53826*100)</f>
        <v>107.80745856666987</v>
      </c>
      <c r="E78" s="32">
        <f>IF(47388.53826="","-",47388.53826/2629613.24498*100)</f>
        <v>1.8021105708402541</v>
      </c>
      <c r="F78" s="32">
        <f>IF(51088.37875="","-",51088.37875/2346453.7023*100)</f>
        <v>2.1772591847826801</v>
      </c>
      <c r="G78" s="32">
        <f>IF(OR(1572223.23546="",34517.38937="",47388.53826=""),"-",(47388.53826-34517.38937)/1572223.23546*100)</f>
        <v>0.81865911911893163</v>
      </c>
      <c r="H78" s="32">
        <f>IF(OR(2629613.24498="",51088.37875="",47388.53826=""),"-",(51088.37875-47388.53826)/2629613.24498*100)</f>
        <v>0.14069903614393084</v>
      </c>
      <c r="I78" s="55"/>
    </row>
    <row r="79" spans="1:11" ht="24" x14ac:dyDescent="0.25">
      <c r="A79" s="58" t="s">
        <v>266</v>
      </c>
      <c r="B79" s="59" t="s">
        <v>166</v>
      </c>
      <c r="C79" s="60">
        <v>5104.1393600000001</v>
      </c>
      <c r="D79" s="67" t="s">
        <v>187</v>
      </c>
      <c r="E79" s="67">
        <f>IF(2277.006="","-",2277.006/2629613.24498*100)</f>
        <v>8.6590908543180772E-2</v>
      </c>
      <c r="F79" s="67">
        <f>IF(5104.13936="","-",5104.13936/2346453.7023*100)</f>
        <v>0.21752567949654875</v>
      </c>
      <c r="G79" s="67">
        <f>IF(1572223.23546="","-",(2277.006-389.17775)/1572223.23546*100)</f>
        <v>0.12007380424241473</v>
      </c>
      <c r="H79" s="67">
        <f>IF(2629613.24498="","-",(5104.13936-2277.006)/2629613.24498*100)</f>
        <v>0.10751137511940478</v>
      </c>
      <c r="I79" s="55"/>
    </row>
    <row r="80" spans="1:11" s="28" customFormat="1" ht="15" customHeight="1" x14ac:dyDescent="0.2">
      <c r="A80" s="10" t="s">
        <v>269</v>
      </c>
      <c r="B80" s="11"/>
      <c r="C80" s="51"/>
      <c r="D80" s="51"/>
      <c r="E80" s="51"/>
      <c r="F80" s="51"/>
      <c r="G80" s="51"/>
      <c r="H80" s="51"/>
      <c r="I80" s="51"/>
      <c r="J80" s="51"/>
      <c r="K80" s="51"/>
    </row>
    <row r="81" spans="1:11" s="28" customFormat="1" ht="13.5" customHeight="1" x14ac:dyDescent="0.2">
      <c r="A81" s="11" t="s">
        <v>329</v>
      </c>
      <c r="B81" s="11"/>
      <c r="C81" s="51"/>
      <c r="D81" s="51"/>
      <c r="E81" s="51"/>
      <c r="F81" s="51"/>
      <c r="G81" s="51"/>
      <c r="H81" s="51"/>
      <c r="I81" s="51"/>
      <c r="J81" s="51"/>
      <c r="K81" s="51"/>
    </row>
  </sheetData>
  <mergeCells count="8">
    <mergeCell ref="B1:H1"/>
    <mergeCell ref="B2:H2"/>
    <mergeCell ref="A4:A5"/>
    <mergeCell ref="B4:B5"/>
    <mergeCell ref="C4:D4"/>
    <mergeCell ref="E4:F4"/>
    <mergeCell ref="G4:H4"/>
    <mergeCell ref="A3:H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I80"/>
  <sheetViews>
    <sheetView zoomScaleNormal="100" workbookViewId="0">
      <selection activeCell="B1" sqref="B1:H1"/>
    </sheetView>
  </sheetViews>
  <sheetFormatPr defaultRowHeight="15.75" x14ac:dyDescent="0.25"/>
  <cols>
    <col min="1" max="1" width="4.75" style="42" customWidth="1"/>
    <col min="2" max="2" width="26.375" style="42" customWidth="1"/>
    <col min="3" max="3" width="10.625" style="42" customWidth="1"/>
    <col min="4" max="4" width="9.625" style="42" customWidth="1"/>
    <col min="5" max="5" width="7.875" style="42" customWidth="1"/>
    <col min="6" max="6" width="7.75" style="42" customWidth="1"/>
    <col min="7" max="8" width="9.875" style="42" customWidth="1"/>
  </cols>
  <sheetData>
    <row r="1" spans="1:9" s="49" customFormat="1" ht="12.75" x14ac:dyDescent="0.2">
      <c r="A1" s="48"/>
      <c r="B1" s="86" t="s">
        <v>355</v>
      </c>
      <c r="C1" s="86"/>
      <c r="D1" s="86"/>
      <c r="E1" s="86"/>
      <c r="F1" s="86"/>
      <c r="G1" s="86"/>
      <c r="H1" s="86"/>
    </row>
    <row r="2" spans="1:9" s="49" customFormat="1" ht="12.75" x14ac:dyDescent="0.2">
      <c r="A2" s="48"/>
      <c r="B2" s="86" t="s">
        <v>268</v>
      </c>
      <c r="C2" s="86"/>
      <c r="D2" s="86"/>
      <c r="E2" s="86"/>
      <c r="F2" s="86"/>
      <c r="G2" s="86"/>
      <c r="H2" s="86"/>
    </row>
    <row r="3" spans="1:9" x14ac:dyDescent="0.25">
      <c r="A3" s="96"/>
      <c r="B3" s="96"/>
      <c r="C3" s="96"/>
      <c r="D3" s="96"/>
      <c r="E3" s="96"/>
      <c r="F3" s="96"/>
      <c r="G3" s="96"/>
      <c r="H3" s="96"/>
    </row>
    <row r="4" spans="1:9" ht="62.25" customHeight="1" x14ac:dyDescent="0.25">
      <c r="A4" s="90" t="s">
        <v>194</v>
      </c>
      <c r="B4" s="92"/>
      <c r="C4" s="79" t="s">
        <v>358</v>
      </c>
      <c r="D4" s="80"/>
      <c r="E4" s="81" t="s">
        <v>0</v>
      </c>
      <c r="F4" s="82"/>
      <c r="G4" s="94" t="s">
        <v>354</v>
      </c>
      <c r="H4" s="95"/>
    </row>
    <row r="5" spans="1:9" ht="40.5" customHeight="1" x14ac:dyDescent="0.25">
      <c r="A5" s="91"/>
      <c r="B5" s="93"/>
      <c r="C5" s="15" t="s">
        <v>94</v>
      </c>
      <c r="D5" s="14" t="s">
        <v>374</v>
      </c>
      <c r="E5" s="15" t="s">
        <v>359</v>
      </c>
      <c r="F5" s="15" t="s">
        <v>360</v>
      </c>
      <c r="G5" s="15" t="s">
        <v>363</v>
      </c>
      <c r="H5" s="13" t="s">
        <v>364</v>
      </c>
    </row>
    <row r="6" spans="1:9" s="26" customFormat="1" ht="15.75" customHeight="1" x14ac:dyDescent="0.2">
      <c r="A6" s="61"/>
      <c r="B6" s="62" t="s">
        <v>111</v>
      </c>
      <c r="C6" s="63">
        <v>5010773.7227100004</v>
      </c>
      <c r="D6" s="43">
        <f>IF(5111634.66749="","-",5010773.72271/5111634.66749*100)</f>
        <v>98.026835810049661</v>
      </c>
      <c r="E6" s="43">
        <v>100</v>
      </c>
      <c r="F6" s="43">
        <v>100</v>
      </c>
      <c r="G6" s="43">
        <f>IF(3828107.2484="","-",(5111634.66749-3828107.2484)/3828107.2484*100)</f>
        <v>33.529034998339313</v>
      </c>
      <c r="H6" s="43">
        <f>IF(5111634.66749="","-",(5010773.72271-5111634.66749)/5111634.66749*100)</f>
        <v>-1.9731641899503347</v>
      </c>
      <c r="I6" s="37"/>
    </row>
    <row r="7" spans="1:9" x14ac:dyDescent="0.25">
      <c r="A7" s="53" t="s">
        <v>195</v>
      </c>
      <c r="B7" s="54" t="s">
        <v>167</v>
      </c>
      <c r="C7" s="18">
        <v>555378.63359999994</v>
      </c>
      <c r="D7" s="31">
        <f>IF(527714.28265="","-",555378.6336/527714.28265*100)</f>
        <v>105.24229717851847</v>
      </c>
      <c r="E7" s="31">
        <f>IF(527714.28265="","-",527714.28265/5111634.66749*100)</f>
        <v>10.323787143988657</v>
      </c>
      <c r="F7" s="31">
        <f>IF(555378.6336="","-",555378.6336/5010773.72271*100)</f>
        <v>11.083690151141607</v>
      </c>
      <c r="G7" s="31">
        <f>IF(3828107.2484="","-",(527714.28265-428766.94692)/3828107.2484*100)</f>
        <v>2.5847587151942011</v>
      </c>
      <c r="H7" s="31">
        <f>IF(5111634.66749="","-",(555378.6336-527714.28265)/5111634.66749*100)</f>
        <v>0.54120360216557117</v>
      </c>
    </row>
    <row r="8" spans="1:9" x14ac:dyDescent="0.25">
      <c r="A8" s="55" t="s">
        <v>196</v>
      </c>
      <c r="B8" s="56" t="s">
        <v>20</v>
      </c>
      <c r="C8" s="20">
        <v>5631.25443</v>
      </c>
      <c r="D8" s="32">
        <f>IF(OR(5578.46568="",5631.25443=""),"-",5631.25443/5578.46568*100)</f>
        <v>100.9462951468763</v>
      </c>
      <c r="E8" s="32">
        <f>IF(5578.46568="","-",5578.46568/5111634.66749*100)</f>
        <v>0.10913271473564114</v>
      </c>
      <c r="F8" s="32">
        <f>IF(5631.25443="","-",5631.25443/5010773.72271*100)</f>
        <v>0.1123829320904641</v>
      </c>
      <c r="G8" s="32">
        <f>IF(OR(3828107.2484="",3119.77473="",5578.46568=""),"-",(5578.46568-3119.77473)/3828107.2484*100)</f>
        <v>6.4227326729877743E-2</v>
      </c>
      <c r="H8" s="32">
        <f>IF(OR(5111634.66749="",5631.25443="",5578.46568=""),"-",(5631.25443-5578.46568)/5111634.66749*100)</f>
        <v>1.0327175831977232E-3</v>
      </c>
    </row>
    <row r="9" spans="1:9" x14ac:dyDescent="0.25">
      <c r="A9" s="55" t="s">
        <v>197</v>
      </c>
      <c r="B9" s="56" t="s">
        <v>168</v>
      </c>
      <c r="C9" s="20">
        <v>43258.53643</v>
      </c>
      <c r="D9" s="32">
        <f>IF(OR(48696.92037="",43258.53643=""),"-",43258.53643/48696.92037*100)</f>
        <v>88.832180970215219</v>
      </c>
      <c r="E9" s="32">
        <f>IF(48696.92037="","-",48696.92037/5111634.66749*100)</f>
        <v>0.95266824680786455</v>
      </c>
      <c r="F9" s="32">
        <f>IF(43258.53643="","-",43258.53643/5010773.72271*100)</f>
        <v>0.86331051497979605</v>
      </c>
      <c r="G9" s="32">
        <f>IF(OR(3828107.2484="",31565.02205="",48696.92037=""),"-",(48696.92037-31565.02205)/3828107.2484*100)</f>
        <v>0.44752921504904203</v>
      </c>
      <c r="H9" s="32">
        <f>IF(OR(5111634.66749="",43258.53643="",48696.92037=""),"-",(43258.53643-48696.92037)/5111634.66749*100)</f>
        <v>-0.10639226575772572</v>
      </c>
    </row>
    <row r="10" spans="1:9" s="2" customFormat="1" x14ac:dyDescent="0.25">
      <c r="A10" s="55" t="s">
        <v>198</v>
      </c>
      <c r="B10" s="56" t="s">
        <v>169</v>
      </c>
      <c r="C10" s="20">
        <v>71171.772230000002</v>
      </c>
      <c r="D10" s="32">
        <f>IF(OR(68430.7641="",71171.77223=""),"-",71171.77223/68430.7641*100)</f>
        <v>104.00552027446966</v>
      </c>
      <c r="E10" s="32">
        <f>IF(68430.7641="","-",68430.7641/5111634.66749*100)</f>
        <v>1.3387256435836408</v>
      </c>
      <c r="F10" s="32">
        <f>IF(71171.77223="","-",71171.77223/5010773.72271*100)</f>
        <v>1.4203748995376275</v>
      </c>
      <c r="G10" s="32">
        <f>IF(OR(3828107.2484="",51654.36086="",68430.7641=""),"-",(68430.7641-51654.36086)/3828107.2484*100)</f>
        <v>0.43824276989658228</v>
      </c>
      <c r="H10" s="32">
        <f>IF(OR(5111634.66749="",71171.77223="",68430.7641=""),"-",(71171.77223-68430.7641)/5111634.66749*100)</f>
        <v>5.3622927073267102E-2</v>
      </c>
    </row>
    <row r="11" spans="1:9" s="2" customFormat="1" x14ac:dyDescent="0.25">
      <c r="A11" s="55" t="s">
        <v>199</v>
      </c>
      <c r="B11" s="56" t="s">
        <v>170</v>
      </c>
      <c r="C11" s="20">
        <v>48627.59895</v>
      </c>
      <c r="D11" s="32">
        <f>IF(OR(43957.37168="",48627.59895=""),"-",48627.59895/43957.37168*100)</f>
        <v>110.62444612020535</v>
      </c>
      <c r="E11" s="32">
        <f>IF(43957.37168="","-",43957.37168/5111634.66749*100)</f>
        <v>0.85994744420153713</v>
      </c>
      <c r="F11" s="32">
        <f>IF(48627.59895="","-",48627.59895/5010773.72271*100)</f>
        <v>0.97046088370760653</v>
      </c>
      <c r="G11" s="32">
        <f>IF(OR(3828107.2484="",39166.65117="",43957.37168=""),"-",(43957.37168-39166.65117)/3828107.2484*100)</f>
        <v>0.12514593241875172</v>
      </c>
      <c r="H11" s="32">
        <f>IF(OR(5111634.66749="",48627.59895="",43957.37168=""),"-",(48627.59895-43957.37168)/5111634.66749*100)</f>
        <v>9.1364652871275251E-2</v>
      </c>
    </row>
    <row r="12" spans="1:9" s="2" customFormat="1" ht="24" x14ac:dyDescent="0.25">
      <c r="A12" s="55" t="s">
        <v>200</v>
      </c>
      <c r="B12" s="56" t="s">
        <v>171</v>
      </c>
      <c r="C12" s="20">
        <v>87179.721680000002</v>
      </c>
      <c r="D12" s="32">
        <f>IF(OR(89508.49792="",87179.72168=""),"-",87179.72168/89508.49792*100)</f>
        <v>97.398262406233897</v>
      </c>
      <c r="E12" s="32">
        <f>IF(89508.49792="","-",89508.49792/5111634.66749*100)</f>
        <v>1.7510738490227815</v>
      </c>
      <c r="F12" s="32">
        <f>IF(87179.72168="","-",87179.72168/5010773.72271*100)</f>
        <v>1.7398455109812898</v>
      </c>
      <c r="G12" s="32">
        <f>IF(OR(3828107.2484="",60986.02161="",89508.49792=""),"-",(89508.49792-60986.02161)/3828107.2484*100)</f>
        <v>0.74508038723108605</v>
      </c>
      <c r="H12" s="32">
        <f>IF(OR(5111634.66749="",87179.72168="",89508.49792=""),"-",(87179.72168-89508.49792)/5111634.66749*100)</f>
        <v>-4.5558346624632831E-2</v>
      </c>
    </row>
    <row r="13" spans="1:9" s="2" customFormat="1" x14ac:dyDescent="0.25">
      <c r="A13" s="55" t="s">
        <v>201</v>
      </c>
      <c r="B13" s="56" t="s">
        <v>172</v>
      </c>
      <c r="C13" s="20">
        <v>139724.16516999999</v>
      </c>
      <c r="D13" s="32">
        <f>IF(OR(118775.22108="",139724.16517=""),"-",139724.16517/118775.22108*100)</f>
        <v>117.63747008804977</v>
      </c>
      <c r="E13" s="32">
        <f>IF(118775.22108="","-",118775.22108/5111634.66749*100)</f>
        <v>2.3236250007343147</v>
      </c>
      <c r="F13" s="32">
        <f>IF(139724.16517="","-",139724.16517/5010773.72271*100)</f>
        <v>2.7884748524312193</v>
      </c>
      <c r="G13" s="32">
        <f>IF(OR(3828107.2484="",111575.24535="",118775.22108=""),"-",(118775.22108-111575.24535)/3828107.2484*100)</f>
        <v>0.18808187082557093</v>
      </c>
      <c r="H13" s="32">
        <f>IF(OR(5111634.66749="",139724.16517="",118775.22108=""),"-",(139724.16517-118775.22108)/5111634.66749*100)</f>
        <v>0.40982866446296112</v>
      </c>
    </row>
    <row r="14" spans="1:9" s="2" customFormat="1" ht="24" x14ac:dyDescent="0.25">
      <c r="A14" s="55" t="s">
        <v>202</v>
      </c>
      <c r="B14" s="56" t="s">
        <v>130</v>
      </c>
      <c r="C14" s="20">
        <v>15299.542240000001</v>
      </c>
      <c r="D14" s="32">
        <f>IF(OR(12007.91589="",15299.54224=""),"-",15299.54224/12007.91589*100)</f>
        <v>127.41213696159559</v>
      </c>
      <c r="E14" s="32">
        <f>IF(12007.91589="","-",12007.91589/5111634.66749*100)</f>
        <v>0.23491342146124711</v>
      </c>
      <c r="F14" s="32">
        <f>IF(15299.54224="","-",15299.54224/5010773.72271*100)</f>
        <v>0.30533293033486808</v>
      </c>
      <c r="G14" s="32">
        <f>IF(OR(3828107.2484="",10713.66519="",12007.91589=""),"-",(12007.91589-10713.66519)/3828107.2484*100)</f>
        <v>3.3809154655762244E-2</v>
      </c>
      <c r="H14" s="32">
        <f>IF(OR(5111634.66749="",15299.54224="",12007.91589=""),"-",(15299.54224-12007.91589)/5111634.66749*100)</f>
        <v>6.4394788832127348E-2</v>
      </c>
    </row>
    <row r="15" spans="1:9" s="2" customFormat="1" ht="24" x14ac:dyDescent="0.25">
      <c r="A15" s="55" t="s">
        <v>203</v>
      </c>
      <c r="B15" s="56" t="s">
        <v>173</v>
      </c>
      <c r="C15" s="20">
        <v>43911.289689999998</v>
      </c>
      <c r="D15" s="32">
        <f>IF(OR(38112.15325="",43911.28969=""),"-",43911.28969/38112.15325*100)</f>
        <v>115.21597691413564</v>
      </c>
      <c r="E15" s="32">
        <f>IF(38112.15325="","-",38112.15325/5111634.66749*100)</f>
        <v>0.74559618848336962</v>
      </c>
      <c r="F15" s="32">
        <f>IF(43911.28969="","-",43911.28969/5010773.72271*100)</f>
        <v>0.87633751033266083</v>
      </c>
      <c r="G15" s="32">
        <f>IF(OR(3828107.2484="",34681.80398="",38112.15325=""),"-",(38112.15325-34681.80398)/3828107.2484*100)</f>
        <v>8.9609539320868264E-2</v>
      </c>
      <c r="H15" s="32">
        <f>IF(OR(5111634.66749="",43911.28969="",38112.15325=""),"-",(43911.28969-38112.15325)/5111634.66749*100)</f>
        <v>0.11344974391230474</v>
      </c>
    </row>
    <row r="16" spans="1:9" s="2" customFormat="1" ht="24" x14ac:dyDescent="0.25">
      <c r="A16" s="55" t="s">
        <v>204</v>
      </c>
      <c r="B16" s="56" t="s">
        <v>131</v>
      </c>
      <c r="C16" s="20">
        <v>33113.108359999998</v>
      </c>
      <c r="D16" s="32">
        <f>IF(OR(32243.66217="",33113.10836=""),"-",33113.10836/32243.66217*100)</f>
        <v>102.69648709695558</v>
      </c>
      <c r="E16" s="32">
        <f>IF(32243.66217="","-",32243.66217/5111634.66749*100)</f>
        <v>0.63078964494606227</v>
      </c>
      <c r="F16" s="32">
        <f>IF(33113.10836="","-",33113.10836/5010773.72271*100)</f>
        <v>0.66083822963155636</v>
      </c>
      <c r="G16" s="32">
        <f>IF(OR(3828107.2484="",27948.86607="",32243.66217=""),"-",(32243.66217-27948.86607)/3828107.2484*100)</f>
        <v>0.11219111224731379</v>
      </c>
      <c r="H16" s="32">
        <f>IF(OR(5111634.66749="",33113.10836="",32243.66217=""),"-",(33113.10836-32243.66217)/5111634.66749*100)</f>
        <v>1.7009161384902508E-2</v>
      </c>
    </row>
    <row r="17" spans="1:8" s="2" customFormat="1" ht="24" x14ac:dyDescent="0.25">
      <c r="A17" s="55" t="s">
        <v>205</v>
      </c>
      <c r="B17" s="56" t="s">
        <v>174</v>
      </c>
      <c r="C17" s="20">
        <v>67461.644419999997</v>
      </c>
      <c r="D17" s="32">
        <f>IF(OR(70403.31051="",67461.64442=""),"-",67461.64442/70403.31051*100)</f>
        <v>95.821693513145007</v>
      </c>
      <c r="E17" s="32">
        <f>IF(70403.31051="","-",70403.31051/5111634.66749*100)</f>
        <v>1.377314990012199</v>
      </c>
      <c r="F17" s="32">
        <f>IF(67461.64442="","-",67461.64442/5010773.72271*100)</f>
        <v>1.3463318871145193</v>
      </c>
      <c r="G17" s="32">
        <f>IF(OR(3828107.2484="",57355.53591="",70403.31051=""),"-",(70403.31051-57355.53591)/3828107.2484*100)</f>
        <v>0.3408414068193481</v>
      </c>
      <c r="H17" s="32">
        <f>IF(OR(5111634.66749="",67461.64442="",70403.31051=""),"-",(67461.64442-70403.31051)/5111634.66749*100)</f>
        <v>-5.7548441572106021E-2</v>
      </c>
    </row>
    <row r="18" spans="1:8" s="2" customFormat="1" x14ac:dyDescent="0.25">
      <c r="A18" s="53" t="s">
        <v>206</v>
      </c>
      <c r="B18" s="54" t="s">
        <v>175</v>
      </c>
      <c r="C18" s="18">
        <v>80061.397889999993</v>
      </c>
      <c r="D18" s="31">
        <f>IF(72160.61106="","-",80061.39789/72160.61106*100)</f>
        <v>110.94889124959136</v>
      </c>
      <c r="E18" s="31">
        <f>IF(72160.61106="","-",72160.61106/5111634.66749*100)</f>
        <v>1.4116934357406552</v>
      </c>
      <c r="F18" s="31">
        <f>IF(80061.39789="","-",80061.39789/5010773.72271*100)</f>
        <v>1.5977851389924671</v>
      </c>
      <c r="G18" s="31">
        <f>IF(3828107.2484="","-",(72160.61106-70528.31025)/3828107.2484*100)</f>
        <v>4.2639892356261408E-2</v>
      </c>
      <c r="H18" s="31">
        <f>IF(5111634.66749="","-",(80061.39789-72160.61106)/5111634.66749*100)</f>
        <v>0.15456477905686428</v>
      </c>
    </row>
    <row r="19" spans="1:8" s="2" customFormat="1" x14ac:dyDescent="0.25">
      <c r="A19" s="55" t="s">
        <v>207</v>
      </c>
      <c r="B19" s="56" t="s">
        <v>176</v>
      </c>
      <c r="C19" s="20">
        <v>54338.5795</v>
      </c>
      <c r="D19" s="32">
        <f>IF(OR(48210.12691="",54338.5795=""),"-",54338.5795/48210.12691*100)</f>
        <v>112.71196112269268</v>
      </c>
      <c r="E19" s="32">
        <f>IF(48210.12691="","-",48210.12691/5111634.66749*100)</f>
        <v>0.94314500245129884</v>
      </c>
      <c r="F19" s="32">
        <f>IF(54338.5795="","-",54338.5795/5010773.72271*100)</f>
        <v>1.0844349097969606</v>
      </c>
      <c r="G19" s="32">
        <f>IF(OR(3828107.2484="",43985.99848="",48210.12691=""),"-",(48210.12691-43985.99848)/3828107.2484*100)</f>
        <v>0.11034509108295017</v>
      </c>
      <c r="H19" s="32">
        <f>IF(OR(5111634.66749="",54338.5795="",48210.12691=""),"-",(54338.5795-48210.12691)/5111634.66749*100)</f>
        <v>0.11989222604222802</v>
      </c>
    </row>
    <row r="20" spans="1:8" s="2" customFormat="1" x14ac:dyDescent="0.25">
      <c r="A20" s="55" t="s">
        <v>208</v>
      </c>
      <c r="B20" s="56" t="s">
        <v>177</v>
      </c>
      <c r="C20" s="20">
        <v>25722.81839</v>
      </c>
      <c r="D20" s="32">
        <f>IF(OR(23950.48415="",25722.81839=""),"-",25722.81839/23950.48415*100)</f>
        <v>107.39999337341162</v>
      </c>
      <c r="E20" s="32">
        <f>IF(23950.48415="","-",23950.48415/5111634.66749*100)</f>
        <v>0.46854843328935647</v>
      </c>
      <c r="F20" s="32">
        <f>IF(25722.81839="","-",25722.81839/5010773.72271*100)</f>
        <v>0.51335022919550655</v>
      </c>
      <c r="G20" s="32">
        <f>IF(OR(3828107.2484="",26542.31177="",23950.48415=""),"-",(23950.48415-26542.31177)/3828107.2484*100)</f>
        <v>-6.7705198726688842E-2</v>
      </c>
      <c r="H20" s="32">
        <f>IF(OR(5111634.66749="",25722.81839="",23950.48415=""),"-",(25722.81839-23950.48415)/5111634.66749*100)</f>
        <v>3.4672553014636336E-2</v>
      </c>
    </row>
    <row r="21" spans="1:8" s="2" customFormat="1" ht="24" x14ac:dyDescent="0.25">
      <c r="A21" s="53" t="s">
        <v>209</v>
      </c>
      <c r="B21" s="54" t="s">
        <v>21</v>
      </c>
      <c r="C21" s="18">
        <v>142082.10139</v>
      </c>
      <c r="D21" s="31">
        <f>IF(182516.14588="","-",142082.10139/182516.14588*100)</f>
        <v>77.846319132453942</v>
      </c>
      <c r="E21" s="31">
        <f>IF(182516.14588="","-",182516.14588/5111634.66749*100)</f>
        <v>3.570602317117904</v>
      </c>
      <c r="F21" s="31">
        <f>IF(142082.10139="","-",142082.10139/5010773.72271*100)</f>
        <v>2.8355321803108096</v>
      </c>
      <c r="G21" s="31">
        <f>IF(3828107.2484="","-",(182516.14588-117443.95534)/3828107.2484*100)</f>
        <v>1.6998528598486273</v>
      </c>
      <c r="H21" s="31">
        <f>IF(5111634.66749="","-",(142082.10139-182516.14588)/5111634.66749*100)</f>
        <v>-0.79101984238350509</v>
      </c>
    </row>
    <row r="22" spans="1:8" s="2" customFormat="1" x14ac:dyDescent="0.25">
      <c r="A22" s="55" t="s">
        <v>211</v>
      </c>
      <c r="B22" s="56" t="s">
        <v>178</v>
      </c>
      <c r="C22" s="20">
        <v>61701.029439999998</v>
      </c>
      <c r="D22" s="32">
        <f>IF(OR(98847.33437="",61701.02944=""),"-",61701.02944/98847.33437*100)</f>
        <v>62.420529428789692</v>
      </c>
      <c r="E22" s="32">
        <f>IF(98847.33437="","-",98847.33437/5111634.66749*100)</f>
        <v>1.9337714997253053</v>
      </c>
      <c r="F22" s="32">
        <f>IF(61701.02944="","-",61701.02944/5010773.72271*100)</f>
        <v>1.2313673068164399</v>
      </c>
      <c r="G22" s="32">
        <f>IF(OR(3828107.2484="",40246.50317="",98847.33437=""),"-",(98847.33437-40246.50317)/3828107.2484*100)</f>
        <v>1.5308043217569951</v>
      </c>
      <c r="H22" s="32">
        <f>IF(OR(5111634.66749="",61701.02944="",98847.33437=""),"-",(61701.02944-98847.33437)/5111634.66749*100)</f>
        <v>-0.72670109165372332</v>
      </c>
    </row>
    <row r="23" spans="1:8" s="2" customFormat="1" ht="24" x14ac:dyDescent="0.25">
      <c r="A23" s="55" t="s">
        <v>264</v>
      </c>
      <c r="B23" s="56" t="s">
        <v>179</v>
      </c>
      <c r="C23" s="20">
        <v>2558.1313300000002</v>
      </c>
      <c r="D23" s="32">
        <f>IF(OR(2612.97169="",2558.13133=""),"-",2558.13133/2612.97169*100)</f>
        <v>97.90122640019878</v>
      </c>
      <c r="E23" s="32">
        <f>IF(2612.97169="","-",2612.97169/5111634.66749*100)</f>
        <v>5.1118122870135882E-2</v>
      </c>
      <c r="F23" s="32">
        <f>IF(2558.13133="","-",2558.13133/5010773.72271*100)</f>
        <v>5.1052621243021803E-2</v>
      </c>
      <c r="G23" s="32">
        <f>IF(OR(3828107.2484="",1290.35665="",2612.97169=""),"-",(2612.97169-1290.35665)/3828107.2484*100)</f>
        <v>3.4550104116147784E-2</v>
      </c>
      <c r="H23" s="32">
        <f>IF(OR(5111634.66749="",2558.13133="",2612.97169=""),"-",(2558.13133-2612.97169)/5111634.66749*100)</f>
        <v>-1.07285366751236E-3</v>
      </c>
    </row>
    <row r="24" spans="1:8" s="2" customFormat="1" x14ac:dyDescent="0.25">
      <c r="A24" s="55" t="s">
        <v>212</v>
      </c>
      <c r="B24" s="56" t="s">
        <v>180</v>
      </c>
      <c r="C24" s="20">
        <v>24297.954539999999</v>
      </c>
      <c r="D24" s="32">
        <f>IF(OR(34225.91774="",24297.95454=""),"-",24297.95454/34225.91774*100)</f>
        <v>70.992850285509974</v>
      </c>
      <c r="E24" s="32">
        <f>IF(34225.91774="","-",34225.91774/5111634.66749*100)</f>
        <v>0.66956893374397153</v>
      </c>
      <c r="F24" s="32">
        <f>IF(24297.95454="","-",24297.95454/5010773.72271*100)</f>
        <v>0.48491422452137434</v>
      </c>
      <c r="G24" s="32">
        <f>IF(OR(3828107.2484="",25848.95239="",34225.91774=""),"-",(34225.91774-25848.95239)/3828107.2484*100)</f>
        <v>0.21882786469739698</v>
      </c>
      <c r="H24" s="32">
        <f>IF(OR(5111634.66749="",24297.95454="",34225.91774=""),"-",(24297.95454-34225.91774)/5111634.66749*100)</f>
        <v>-0.19422286305282832</v>
      </c>
    </row>
    <row r="25" spans="1:8" s="2" customFormat="1" x14ac:dyDescent="0.25">
      <c r="A25" s="55" t="s">
        <v>213</v>
      </c>
      <c r="B25" s="56" t="s">
        <v>132</v>
      </c>
      <c r="C25" s="20">
        <v>219.31789000000001</v>
      </c>
      <c r="D25" s="32">
        <f>IF(OR(436.48592="",219.31789=""),"-",219.31789/436.48592*100)</f>
        <v>50.246269112185793</v>
      </c>
      <c r="E25" s="32">
        <f>IF(436.48592="","-",436.48592/5111634.66749*100)</f>
        <v>8.5390672141741827E-3</v>
      </c>
      <c r="F25" s="32">
        <f>IF(219.31789="","-",219.31789/5010773.72271*100)</f>
        <v>4.3769266412091203E-3</v>
      </c>
      <c r="G25" s="32">
        <f>IF(OR(3828107.2484="",323.23287="",436.48592=""),"-",(436.48592-323.23287)/3828107.2484*100)</f>
        <v>2.9584607392422299E-3</v>
      </c>
      <c r="H25" s="32">
        <f>IF(OR(5111634.66749="",219.31789="",436.48592=""),"-",(219.31789-436.48592)/5111634.66749*100)</f>
        <v>-4.2485045220697955E-3</v>
      </c>
    </row>
    <row r="26" spans="1:8" s="2" customFormat="1" ht="36" x14ac:dyDescent="0.25">
      <c r="A26" s="55" t="s">
        <v>214</v>
      </c>
      <c r="B26" s="56" t="s">
        <v>133</v>
      </c>
      <c r="C26" s="20">
        <v>4565.5316499999999</v>
      </c>
      <c r="D26" s="32">
        <f>IF(OR(4654.53534="",4565.53165=""),"-",4565.53165/4654.53534*100)</f>
        <v>98.087807192371628</v>
      </c>
      <c r="E26" s="32">
        <f>IF(4654.53534="","-",4654.53534/5111634.66749*100)</f>
        <v>9.1057668295483798E-2</v>
      </c>
      <c r="F26" s="32">
        <f>IF(4565.53165="","-",4565.53165/5010773.72271*100)</f>
        <v>9.1114304948713629E-2</v>
      </c>
      <c r="G26" s="32">
        <f>IF(OR(3828107.2484="",5582.33772="",4654.53534=""),"-",(4654.53534-5582.33772)/3828107.2484*100)</f>
        <v>-2.4236582723427758E-2</v>
      </c>
      <c r="H26" s="32">
        <f>IF(OR(5111634.66749="",4565.53165="",4654.53534=""),"-",(4565.53165-4654.53534)/5111634.66749*100)</f>
        <v>-1.741198183940335E-3</v>
      </c>
    </row>
    <row r="27" spans="1:8" s="2" customFormat="1" ht="36" x14ac:dyDescent="0.25">
      <c r="A27" s="55" t="s">
        <v>215</v>
      </c>
      <c r="B27" s="56" t="s">
        <v>134</v>
      </c>
      <c r="C27" s="20">
        <v>12769.314909999999</v>
      </c>
      <c r="D27" s="32">
        <f>IF(OR(11318.30819="",12769.31491=""),"-",12769.31491/11318.30819*100)</f>
        <v>112.81999655462643</v>
      </c>
      <c r="E27" s="32">
        <f>IF(11318.30819="","-",11318.30819/5111634.66749*100)</f>
        <v>0.22142247883997751</v>
      </c>
      <c r="F27" s="32">
        <f>IF(12769.31491="","-",12769.31491/5010773.72271*100)</f>
        <v>0.25483718915756409</v>
      </c>
      <c r="G27" s="32">
        <f>IF(OR(3828107.2484="",11193.88487="",11318.30819=""),"-",(11318.30819-11193.88487)/3828107.2484*100)</f>
        <v>3.250256900508835E-3</v>
      </c>
      <c r="H27" s="32">
        <f>IF(OR(5111634.66749="",12769.31491="",11318.30819=""),"-",(12769.31491-11318.30819)/5111634.66749*100)</f>
        <v>2.8386354158453524E-2</v>
      </c>
    </row>
    <row r="28" spans="1:8" s="2" customFormat="1" ht="24" x14ac:dyDescent="0.25">
      <c r="A28" s="55" t="s">
        <v>216</v>
      </c>
      <c r="B28" s="56" t="s">
        <v>135</v>
      </c>
      <c r="C28" s="20">
        <v>2011.5294799999999</v>
      </c>
      <c r="D28" s="32">
        <f>IF(OR(1259.02513="",2011.52948=""),"-",2011.52948/1259.02513*100)</f>
        <v>159.76881096884856</v>
      </c>
      <c r="E28" s="32">
        <f>IF(1259.02513="","-",1259.02513/5111634.66749*100)</f>
        <v>2.463057733776243E-2</v>
      </c>
      <c r="F28" s="32">
        <f>IF(2011.52948="","-",2011.52948/5010773.72271*100)</f>
        <v>4.0144089342595481E-2</v>
      </c>
      <c r="G28" s="32">
        <f>IF(OR(3828107.2484="",822.90725="",1259.02513=""),"-",(1259.02513-822.90725)/3828107.2484*100)</f>
        <v>1.1392519898241627E-2</v>
      </c>
      <c r="H28" s="32">
        <f>IF(OR(5111634.66749="",2011.52948="",1259.02513=""),"-",(2011.52948-1259.02513)/5111634.66749*100)</f>
        <v>1.4721403209543281E-2</v>
      </c>
    </row>
    <row r="29" spans="1:8" s="2" customFormat="1" ht="24" x14ac:dyDescent="0.25">
      <c r="A29" s="55" t="s">
        <v>217</v>
      </c>
      <c r="B29" s="56" t="s">
        <v>136</v>
      </c>
      <c r="C29" s="20">
        <v>33959.292150000001</v>
      </c>
      <c r="D29" s="32">
        <f>IF(OR(29161.5675="",33959.29215=""),"-",33959.29215/29161.5675*100)</f>
        <v>116.45221797490824</v>
      </c>
      <c r="E29" s="32">
        <f>IF(29161.5675="","-",29161.5675/5111634.66749*100)</f>
        <v>0.57049396909109307</v>
      </c>
      <c r="F29" s="32">
        <f>IF(33959.29215="","-",33959.29215/5010773.72271*100)</f>
        <v>0.67772551763989131</v>
      </c>
      <c r="G29" s="32">
        <f>IF(OR(3828107.2484="",32121.146="",29161.5675=""),"-",(29161.5675-32121.146)/3828107.2484*100)</f>
        <v>-7.7311796873950928E-2</v>
      </c>
      <c r="H29" s="32">
        <f>IF(OR(5111634.66749="",33959.29215="",29161.5675=""),"-",(33959.29215-29161.5675)/5111634.66749*100)</f>
        <v>9.3858911328572298E-2</v>
      </c>
    </row>
    <row r="30" spans="1:8" s="2" customFormat="1" ht="24" x14ac:dyDescent="0.25">
      <c r="A30" s="53" t="s">
        <v>218</v>
      </c>
      <c r="B30" s="54" t="s">
        <v>137</v>
      </c>
      <c r="C30" s="18">
        <v>1210414.88004</v>
      </c>
      <c r="D30" s="31">
        <f>IF(1316261.91797="","-",1210414.88004/1316261.91797*100)</f>
        <v>91.958512474991124</v>
      </c>
      <c r="E30" s="31">
        <f>IF(1316261.91797="","-",1316261.91797/5111634.66749*100)</f>
        <v>25.750312837132643</v>
      </c>
      <c r="F30" s="31">
        <f>IF(1210414.88004="","-",1210414.88004/5010773.72271*100)</f>
        <v>24.156247059293783</v>
      </c>
      <c r="G30" s="31">
        <f>IF(3828107.2484="","-",(1316261.91797-456737.01671)/3828107.2484*100)</f>
        <v>22.452999497839254</v>
      </c>
      <c r="H30" s="31">
        <f>IF(5111634.66749="","-",(1210414.88004-1316261.91797)/5111634.66749*100)</f>
        <v>-2.0707081944487804</v>
      </c>
    </row>
    <row r="31" spans="1:8" s="2" customFormat="1" x14ac:dyDescent="0.25">
      <c r="A31" s="55" t="s">
        <v>219</v>
      </c>
      <c r="B31" s="56" t="s">
        <v>181</v>
      </c>
      <c r="C31" s="20">
        <v>11651.177079999999</v>
      </c>
      <c r="D31" s="32">
        <f>IF(OR(14273.66051="",11651.17708=""),"-",11651.17708/14273.66051*100)</f>
        <v>81.627113604371416</v>
      </c>
      <c r="E31" s="32">
        <f>IF(14273.66051="","-",14273.66051/5111634.66749*100)</f>
        <v>0.27923866705068912</v>
      </c>
      <c r="F31" s="32">
        <f>IF(11651.17708="","-",11651.17708/5010773.72271*100)</f>
        <v>0.2325225149799548</v>
      </c>
      <c r="G31" s="32">
        <f>IF(OR(3828107.2484="",7390.73056="",14273.66051=""),"-",(14273.66051-7390.73056)/3828107.2484*100)</f>
        <v>0.17979982020819291</v>
      </c>
      <c r="H31" s="32">
        <f>IF(OR(5111634.66749="",11651.17708="",14273.66051=""),"-",(11651.17708-14273.66051)/5111634.66749*100)</f>
        <v>-5.1304203069890662E-2</v>
      </c>
    </row>
    <row r="32" spans="1:8" s="2" customFormat="1" ht="24" x14ac:dyDescent="0.25">
      <c r="A32" s="55" t="s">
        <v>220</v>
      </c>
      <c r="B32" s="56" t="s">
        <v>138</v>
      </c>
      <c r="C32" s="20">
        <v>791351.74679999996</v>
      </c>
      <c r="D32" s="32">
        <f>IF(OR(810586.76459="",791351.7468=""),"-",791351.7468/810586.76459*100)</f>
        <v>97.627025430185839</v>
      </c>
      <c r="E32" s="32">
        <f>IF(810586.76459="","-",810586.76459/5111634.66749*100)</f>
        <v>15.857681882966567</v>
      </c>
      <c r="F32" s="32">
        <f>IF(791351.7468="","-",791351.7468/5010773.72271*100)</f>
        <v>15.793005044578415</v>
      </c>
      <c r="G32" s="32">
        <f>IF(OR(3828107.2484="",302758.86496="",810586.76459=""),"-",(810586.76459-302758.86496)/3828107.2484*100)</f>
        <v>13.265769913898112</v>
      </c>
      <c r="H32" s="32">
        <f>IF(OR(5111634.66749="",791351.7468="",810586.76459=""),"-",(791351.7468-810586.76459)/5111634.66749*100)</f>
        <v>-0.37629875844482386</v>
      </c>
    </row>
    <row r="33" spans="1:8" s="2" customFormat="1" ht="24" x14ac:dyDescent="0.25">
      <c r="A33" s="55" t="s">
        <v>265</v>
      </c>
      <c r="B33" s="56" t="s">
        <v>182</v>
      </c>
      <c r="C33" s="20">
        <v>380979.64798000001</v>
      </c>
      <c r="D33" s="32">
        <f>IF(OR(466251.56949="",380979.64798=""),"-",380979.64798/466251.56949*100)</f>
        <v>81.71117759383138</v>
      </c>
      <c r="E33" s="32">
        <f>IF(466251.56949="","-",466251.56949/5111634.66749*100)</f>
        <v>9.1213789681676651</v>
      </c>
      <c r="F33" s="32">
        <f>IF(380979.64798="","-",380979.64798/5010773.72271*100)</f>
        <v>7.6032099843844669</v>
      </c>
      <c r="G33" s="32">
        <f>IF(OR(3828107.2484="",141159.8312="",466251.56949=""),"-",(466251.56949-141159.8312)/3828107.2484*100)</f>
        <v>8.4922317269422294</v>
      </c>
      <c r="H33" s="32">
        <f>IF(OR(5111634.66749="",380979.64798="",466251.56949=""),"-",(380979.64798-466251.56949)/5111634.66749*100)</f>
        <v>-1.668192800481801</v>
      </c>
    </row>
    <row r="34" spans="1:8" s="2" customFormat="1" x14ac:dyDescent="0.25">
      <c r="A34" s="55" t="s">
        <v>270</v>
      </c>
      <c r="B34" s="56" t="s">
        <v>272</v>
      </c>
      <c r="C34" s="20">
        <v>26432.30818</v>
      </c>
      <c r="D34" s="32">
        <f>IF(OR(25149.92338="",26432.30818=""),"-",26432.30818/25149.92338*100)</f>
        <v>105.09896106093028</v>
      </c>
      <c r="E34" s="32">
        <f>IF(25149.92338="","-",25149.92338/5111634.66749*100)</f>
        <v>0.49201331894772393</v>
      </c>
      <c r="F34" s="32">
        <f>IF(26432.30818="","-",26432.30818/5010773.72271*100)</f>
        <v>0.52750951535094448</v>
      </c>
      <c r="G34" s="32">
        <f>IF(OR(3828107.2484="",5427.58999="",25149.92338=""),"-",(25149.92338-5427.58999)/3828107.2484*100)</f>
        <v>0.51519803679071874</v>
      </c>
      <c r="H34" s="32">
        <f>IF(OR(5111634.66749="",26432.30818="",25149.92338=""),"-",(26432.30818-25149.92338)/5111634.66749*100)</f>
        <v>2.508756754773513E-2</v>
      </c>
    </row>
    <row r="35" spans="1:8" s="2" customFormat="1" ht="24" x14ac:dyDescent="0.25">
      <c r="A35" s="53" t="s">
        <v>221</v>
      </c>
      <c r="B35" s="54" t="s">
        <v>139</v>
      </c>
      <c r="C35" s="18">
        <v>17018.37343</v>
      </c>
      <c r="D35" s="31">
        <f>IF(47788.93617="","-",17018.37343/47788.93617*100)</f>
        <v>35.61153437159679</v>
      </c>
      <c r="E35" s="31">
        <f>IF(47788.93617="","-",47788.93617/5111634.66749*100)</f>
        <v>0.9349051581079858</v>
      </c>
      <c r="F35" s="31">
        <f>IF(17018.37343="","-",17018.37343/5010773.72271*100)</f>
        <v>0.33963564055724055</v>
      </c>
      <c r="G35" s="31">
        <f>IF(3828107.2484="","-",(47788.93617-7789.42584999999)/3828107.2484*100)</f>
        <v>1.0448900128573528</v>
      </c>
      <c r="H35" s="31">
        <f>IF(5111634.66749="","-",(17018.37343-47788.93617)/5111634.66749*100)</f>
        <v>-0.60197108638652919</v>
      </c>
    </row>
    <row r="36" spans="1:8" s="2" customFormat="1" x14ac:dyDescent="0.25">
      <c r="A36" s="55" t="s">
        <v>222</v>
      </c>
      <c r="B36" s="56" t="s">
        <v>185</v>
      </c>
      <c r="C36" s="20">
        <v>1755.52334</v>
      </c>
      <c r="D36" s="32">
        <f>IF(OR(1353.36834="",1755.52334=""),"-",1755.52334/1353.36834*100)</f>
        <v>129.71511805869494</v>
      </c>
      <c r="E36" s="32">
        <f>IF(1353.36834="","-",1353.36834/5111634.66749*100)</f>
        <v>2.6476233691101275E-2</v>
      </c>
      <c r="F36" s="32">
        <f>IF(1755.52334="","-",1755.52334/5010773.72271*100)</f>
        <v>3.5034975378025093E-2</v>
      </c>
      <c r="G36" s="32">
        <f>IF(OR(3828107.2484="",939.07743="",1353.36834=""),"-",(1353.36834-939.07743)/3828107.2484*100)</f>
        <v>1.0822343344041823E-2</v>
      </c>
      <c r="H36" s="32">
        <f>IF(OR(5111634.66749="",1755.52334="",1353.36834=""),"-",(1755.52334-1353.36834)/5111634.66749*100)</f>
        <v>7.8674440988067088E-3</v>
      </c>
    </row>
    <row r="37" spans="1:8" s="2" customFormat="1" ht="24" x14ac:dyDescent="0.25">
      <c r="A37" s="55" t="s">
        <v>223</v>
      </c>
      <c r="B37" s="56" t="s">
        <v>140</v>
      </c>
      <c r="C37" s="20">
        <v>13327.03493</v>
      </c>
      <c r="D37" s="32">
        <f>IF(OR(44618.42431="",13327.03493=""),"-",13327.03493/44618.42431*100)</f>
        <v>29.868905359378878</v>
      </c>
      <c r="E37" s="32">
        <f>IF(44618.42431="","-",44618.42431/5111634.66749*100)</f>
        <v>0.87287975789375571</v>
      </c>
      <c r="F37" s="32">
        <f>IF(13327.03493="","-",13327.03493/5010773.72271*100)</f>
        <v>0.26596760635186451</v>
      </c>
      <c r="G37" s="32">
        <f>IF(OR(3828107.2484="",5823.53465="",44618.42431=""),"-",(44618.42431-5823.53465)/3828107.2484*100)</f>
        <v>1.0134222252058052</v>
      </c>
      <c r="H37" s="32">
        <f>IF(OR(5111634.66749="",13327.03493="",44618.42431=""),"-",(13327.03493-44618.42431)/5111634.66749*100)</f>
        <v>-0.61216012910729434</v>
      </c>
    </row>
    <row r="38" spans="1:8" s="2" customFormat="1" ht="60" x14ac:dyDescent="0.25">
      <c r="A38" s="55" t="s">
        <v>224</v>
      </c>
      <c r="B38" s="56" t="s">
        <v>183</v>
      </c>
      <c r="C38" s="20">
        <v>1935.8151600000001</v>
      </c>
      <c r="D38" s="32">
        <f>IF(OR(1817.14352="",1935.81516=""),"-",1935.81516/1817.14352*100)</f>
        <v>106.53066963032177</v>
      </c>
      <c r="E38" s="32">
        <f>IF(1817.14352="","-",1817.14352/5111634.66749*100)</f>
        <v>3.5549166523128777E-2</v>
      </c>
      <c r="F38" s="32">
        <f>IF(1935.81516="","-",1935.81516/5010773.72271*100)</f>
        <v>3.8633058827350998E-2</v>
      </c>
      <c r="G38" s="32">
        <f>IF(OR(3828107.2484="",1026.81377="",1817.14352=""),"-",(1817.14352-1026.81377)/3828107.2484*100)</f>
        <v>2.0645444307505419E-2</v>
      </c>
      <c r="H38" s="32">
        <f>IF(OR(5111634.66749="",1935.81516="",1817.14352=""),"-",(1935.81516-1817.14352)/5111634.66749*100)</f>
        <v>2.321598621958485E-3</v>
      </c>
    </row>
    <row r="39" spans="1:8" s="2" customFormat="1" ht="24" x14ac:dyDescent="0.25">
      <c r="A39" s="53" t="s">
        <v>225</v>
      </c>
      <c r="B39" s="54" t="s">
        <v>141</v>
      </c>
      <c r="C39" s="18">
        <v>654658.56472999998</v>
      </c>
      <c r="D39" s="31">
        <f>IF(649101.98812="","-",654658.56473/649101.98812*100)</f>
        <v>100.85604060867131</v>
      </c>
      <c r="E39" s="31">
        <f>IF(649101.98812="","-",649101.98812/5111634.66749*100)</f>
        <v>12.698520734439203</v>
      </c>
      <c r="F39" s="31">
        <f>IF(654658.56473="","-",654658.56473/5010773.72271*100)</f>
        <v>13.065019515108695</v>
      </c>
      <c r="G39" s="31">
        <f>IF(3828107.2484="","-",(649101.98812-583831.44263)/3828107.2484*100)</f>
        <v>1.7050344009374503</v>
      </c>
      <c r="H39" s="31">
        <f>IF(5111634.66749="","-",(654658.56473-649101.98812)/5111634.66749*100)</f>
        <v>0.10870449418734519</v>
      </c>
    </row>
    <row r="40" spans="1:8" s="2" customFormat="1" x14ac:dyDescent="0.25">
      <c r="A40" s="55" t="s">
        <v>226</v>
      </c>
      <c r="B40" s="56" t="s">
        <v>22</v>
      </c>
      <c r="C40" s="20">
        <v>9101.61643</v>
      </c>
      <c r="D40" s="32">
        <f>IF(OR(10134.74744="",9101.61643=""),"-",9101.61643/10134.74744*100)</f>
        <v>89.806050756406421</v>
      </c>
      <c r="E40" s="32">
        <f>IF(10134.74744="","-",10134.74744/5111634.66749*100)</f>
        <v>0.19826822727486768</v>
      </c>
      <c r="F40" s="32">
        <f>IF(9101.61643="","-",9101.61643/5010773.72271*100)</f>
        <v>0.18164093877856313</v>
      </c>
      <c r="G40" s="32">
        <f>IF(OR(3828107.2484="",7141.52855="",10134.74744=""),"-",(10134.74744-7141.52855)/3828107.2484*100)</f>
        <v>7.8190570320386094E-2</v>
      </c>
      <c r="H40" s="32">
        <f>IF(OR(5111634.66749="",9101.61643="",10134.74744=""),"-",(9101.61643-10134.74744)/5111634.66749*100)</f>
        <v>-2.0211362454572761E-2</v>
      </c>
    </row>
    <row r="41" spans="1:8" s="2" customFormat="1" x14ac:dyDescent="0.25">
      <c r="A41" s="55" t="s">
        <v>227</v>
      </c>
      <c r="B41" s="56" t="s">
        <v>23</v>
      </c>
      <c r="C41" s="20">
        <v>21776.281360000001</v>
      </c>
      <c r="D41" s="32">
        <f>IF(OR(17353.08583="",21776.28136=""),"-",21776.28136/17353.08583*100)</f>
        <v>125.48938888064039</v>
      </c>
      <c r="E41" s="32">
        <f>IF(17353.08583="","-",17353.08583/5111634.66749*100)</f>
        <v>0.33948212184187648</v>
      </c>
      <c r="F41" s="32">
        <f>IF(21776.28136="","-",21776.28136/5010773.72271*100)</f>
        <v>0.43458919849652744</v>
      </c>
      <c r="G41" s="32">
        <f>IF(OR(3828107.2484="",9100.60003="",17353.08583=""),"-",(17353.08583-9100.60003)/3828107.2484*100)</f>
        <v>0.2155761389247707</v>
      </c>
      <c r="H41" s="32">
        <f>IF(OR(5111634.66749="",21776.28136="",17353.08583=""),"-",(21776.28136-17353.08583)/5111634.66749*100)</f>
        <v>8.6531918216525283E-2</v>
      </c>
    </row>
    <row r="42" spans="1:8" s="2" customFormat="1" x14ac:dyDescent="0.25">
      <c r="A42" s="55" t="s">
        <v>228</v>
      </c>
      <c r="B42" s="56" t="s">
        <v>142</v>
      </c>
      <c r="C42" s="20">
        <v>29426.627670000002</v>
      </c>
      <c r="D42" s="32">
        <f>IF(OR(27706.17197="",29426.62767=""),"-",29426.62767/27706.17197*100)</f>
        <v>106.20964780649919</v>
      </c>
      <c r="E42" s="32">
        <f>IF(27706.17197="","-",27706.17197/5111634.66749*100)</f>
        <v>0.5420217557058854</v>
      </c>
      <c r="F42" s="32">
        <f>IF(29426.62767="","-",29426.62767/5010773.72271*100)</f>
        <v>0.58726714272950764</v>
      </c>
      <c r="G42" s="32">
        <f>IF(OR(3828107.2484="",27910.5333="",27706.17197=""),"-",(27706.17197-27910.5333)/3828107.2484*100)</f>
        <v>-5.3384431715024399E-3</v>
      </c>
      <c r="H42" s="32">
        <f>IF(OR(5111634.66749="",29426.62767="",27706.17197=""),"-",(29426.62767-27706.17197)/5111634.66749*100)</f>
        <v>3.3657642063938988E-2</v>
      </c>
    </row>
    <row r="43" spans="1:8" s="2" customFormat="1" x14ac:dyDescent="0.25">
      <c r="A43" s="55" t="s">
        <v>229</v>
      </c>
      <c r="B43" s="56" t="s">
        <v>143</v>
      </c>
      <c r="C43" s="20">
        <v>171685.93804000001</v>
      </c>
      <c r="D43" s="32">
        <f>IF(OR(166109.0428="",171685.93804=""),"-",171685.93804/166109.0428*100)</f>
        <v>103.35737004198786</v>
      </c>
      <c r="E43" s="32">
        <f>IF(166109.0428="","-",166109.0428/5111634.66749*100)</f>
        <v>3.2496266577197628</v>
      </c>
      <c r="F43" s="32">
        <f>IF(171685.93804="","-",171685.93804/5010773.72271*100)</f>
        <v>3.4263358822586443</v>
      </c>
      <c r="G43" s="32">
        <f>IF(OR(3828107.2484="",177471.22774="",166109.0428=""),"-",(166109.0428-177471.22774)/3828107.2484*100)</f>
        <v>-0.29680947274267089</v>
      </c>
      <c r="H43" s="32">
        <f>IF(OR(5111634.66749="",171685.93804="",166109.0428=""),"-",(171685.93804-166109.0428)/5111634.66749*100)</f>
        <v>0.10910199188273509</v>
      </c>
    </row>
    <row r="44" spans="1:8" s="2" customFormat="1" ht="48" x14ac:dyDescent="0.25">
      <c r="A44" s="55" t="s">
        <v>230</v>
      </c>
      <c r="B44" s="56" t="s">
        <v>144</v>
      </c>
      <c r="C44" s="20">
        <v>96719.348270000002</v>
      </c>
      <c r="D44" s="32">
        <f>IF(OR(82371.85249="",96719.34827=""),"-",96719.34827/82371.85249*100)</f>
        <v>117.41795934690408</v>
      </c>
      <c r="E44" s="32">
        <f>IF(82371.85249="","-",82371.85249/5111634.66749*100)</f>
        <v>1.61145813126836</v>
      </c>
      <c r="F44" s="32">
        <f>IF(96719.34827="","-",96719.34827/5010773.72271*100)</f>
        <v>1.9302278175453276</v>
      </c>
      <c r="G44" s="32">
        <f>IF(OR(3828107.2484="",76351.09583="",82371.85249=""),"-",(82371.85249-76351.09583)/3828107.2484*100)</f>
        <v>0.15727763798980401</v>
      </c>
      <c r="H44" s="32">
        <f>IF(OR(5111634.66749="",96719.34827="",82371.85249=""),"-",(96719.34827-82371.85249)/5111634.66749*100)</f>
        <v>0.28068312219670316</v>
      </c>
    </row>
    <row r="45" spans="1:8" s="2" customFormat="1" x14ac:dyDescent="0.25">
      <c r="A45" s="55" t="s">
        <v>231</v>
      </c>
      <c r="B45" s="56" t="s">
        <v>145</v>
      </c>
      <c r="C45" s="20">
        <v>90692.0962</v>
      </c>
      <c r="D45" s="32">
        <f>IF(OR(89477.13226="",90692.0962=""),"-",90692.0962/89477.13226*100)</f>
        <v>101.35784854667627</v>
      </c>
      <c r="E45" s="32">
        <f>IF(89477.13226="","-",89477.13226/5111634.66749*100)</f>
        <v>1.750460235921683</v>
      </c>
      <c r="F45" s="32">
        <f>IF(90692.0962="","-",90692.0962/5010773.72271*100)</f>
        <v>1.8099419614372563</v>
      </c>
      <c r="G45" s="32">
        <f>IF(OR(3828107.2484="",47702.19904="",89477.13226=""),"-",(89477.13226-47702.19904)/3828107.2484*100)</f>
        <v>1.091268622044492</v>
      </c>
      <c r="H45" s="32">
        <f>IF(OR(5111634.66749="",90692.0962="",89477.13226=""),"-",(90692.0962-89477.13226)/5111634.66749*100)</f>
        <v>2.376859887360834E-2</v>
      </c>
    </row>
    <row r="46" spans="1:8" s="2" customFormat="1" ht="12.75" customHeight="1" x14ac:dyDescent="0.25">
      <c r="A46" s="55" t="s">
        <v>232</v>
      </c>
      <c r="B46" s="56" t="s">
        <v>24</v>
      </c>
      <c r="C46" s="20">
        <v>40010.374989999997</v>
      </c>
      <c r="D46" s="32">
        <f>IF(OR(44442.82459="",40010.37499=""),"-",40010.37499/44442.82459*100)</f>
        <v>90.026624903140515</v>
      </c>
      <c r="E46" s="32">
        <f>IF(44442.82459="","-",44442.82459/5111634.66749*100)</f>
        <v>0.86944446309233314</v>
      </c>
      <c r="F46" s="32">
        <f>IF(40010.37499="","-",40010.37499/5010773.72271*100)</f>
        <v>0.79848696437166189</v>
      </c>
      <c r="G46" s="32">
        <f>IF(OR(3828107.2484="",38354.63752="",44442.82459=""),"-",(44442.82459-38354.63752)/3828107.2484*100)</f>
        <v>0.15903909360284055</v>
      </c>
      <c r="H46" s="32">
        <f>IF(OR(5111634.66749="",40010.37499="",44442.82459=""),"-",(40010.37499-44442.82459)/5111634.66749*100)</f>
        <v>-8.6712957563074344E-2</v>
      </c>
    </row>
    <row r="47" spans="1:8" s="2" customFormat="1" x14ac:dyDescent="0.25">
      <c r="A47" s="55" t="s">
        <v>233</v>
      </c>
      <c r="B47" s="56" t="s">
        <v>25</v>
      </c>
      <c r="C47" s="20">
        <v>81143.472899999993</v>
      </c>
      <c r="D47" s="32">
        <f>IF(OR(85875.444="",81143.4729=""),"-",81143.4729/85875.444*100)</f>
        <v>94.489727354422755</v>
      </c>
      <c r="E47" s="32">
        <f>IF(85875.444="","-",85875.444/5111634.66749*100)</f>
        <v>1.6799996397662744</v>
      </c>
      <c r="F47" s="32">
        <f>IF(81143.4729="","-",81143.4729/5010773.72271*100)</f>
        <v>1.619380107551829</v>
      </c>
      <c r="G47" s="32">
        <f>IF(OR(3828107.2484="",88105.86741="",85875.444=""),"-",(85875.444-88105.86741)/3828107.2484*100)</f>
        <v>-5.826439191149186E-2</v>
      </c>
      <c r="H47" s="32">
        <f>IF(OR(5111634.66749="",81143.4729="",85875.444=""),"-",(81143.4729-85875.444)/5111634.66749*100)</f>
        <v>-9.2572560595837364E-2</v>
      </c>
    </row>
    <row r="48" spans="1:8" s="2" customFormat="1" x14ac:dyDescent="0.25">
      <c r="A48" s="55" t="s">
        <v>234</v>
      </c>
      <c r="B48" s="56" t="s">
        <v>146</v>
      </c>
      <c r="C48" s="20">
        <v>114102.80886999999</v>
      </c>
      <c r="D48" s="32">
        <f>IF(OR(125631.68674="",114102.80887=""),"-",114102.80887/125631.68674*100)</f>
        <v>90.82327224193088</v>
      </c>
      <c r="E48" s="32">
        <f>IF(125631.68674="","-",125631.68674/5111634.66749*100)</f>
        <v>2.4577595018481588</v>
      </c>
      <c r="F48" s="32">
        <f>IF(114102.80887="","-",114102.80887/5010773.72271*100)</f>
        <v>2.2771495019393777</v>
      </c>
      <c r="G48" s="32">
        <f>IF(OR(3828107.2484="",111693.75321="",125631.68674=""),"-",(125631.68674-111693.75321)/3828107.2484*100)</f>
        <v>0.36409464588082069</v>
      </c>
      <c r="H48" s="32">
        <f>IF(OR(5111634.66749="",114102.80887="",125631.68674=""),"-",(114102.80887-125631.68674)/5111634.66749*100)</f>
        <v>-0.2255418984326811</v>
      </c>
    </row>
    <row r="49" spans="1:8" s="2" customFormat="1" ht="24" x14ac:dyDescent="0.25">
      <c r="A49" s="53" t="s">
        <v>235</v>
      </c>
      <c r="B49" s="54" t="s">
        <v>369</v>
      </c>
      <c r="C49" s="18">
        <v>687259.30163</v>
      </c>
      <c r="D49" s="31">
        <f>IF(750391.7877="","-",687259.30163/750391.7877*100)</f>
        <v>91.586730144861377</v>
      </c>
      <c r="E49" s="31">
        <f>IF(750391.7877="","-",750391.7877/5111634.66749*100)</f>
        <v>14.680074702374416</v>
      </c>
      <c r="F49" s="31">
        <f>IF(687259.30163="","-",687259.30163/5010773.72271*100)</f>
        <v>13.715632348656653</v>
      </c>
      <c r="G49" s="31">
        <f>IF(3828107.2484="","-",(750391.7877-730941.73354)/3828107.2484*100)</f>
        <v>0.5080854035144734</v>
      </c>
      <c r="H49" s="31">
        <f>IF(5111634.66749="","-",(687259.30163-750391.7877)/5111634.66749*100)</f>
        <v>-1.235074299646699</v>
      </c>
    </row>
    <row r="50" spans="1:8" s="2" customFormat="1" x14ac:dyDescent="0.25">
      <c r="A50" s="55" t="s">
        <v>236</v>
      </c>
      <c r="B50" s="56" t="s">
        <v>147</v>
      </c>
      <c r="C50" s="20">
        <v>26347.975780000001</v>
      </c>
      <c r="D50" s="32">
        <f>IF(OR(33257.56208="",26347.97578=""),"-",26347.97578/33257.56208*100)</f>
        <v>79.224014426014705</v>
      </c>
      <c r="E50" s="32">
        <f>IF(33257.56208="","-",33257.56208/5111634.66749*100)</f>
        <v>0.65062478528675216</v>
      </c>
      <c r="F50" s="32">
        <f>IF(26347.97578="","-",26347.97578/5010773.72271*100)</f>
        <v>0.52582649383237567</v>
      </c>
      <c r="G50" s="32">
        <f>IF(OR(3828107.2484="",33198.45501="",33257.56208=""),"-",(33257.56208-33198.45501)/3828107.2484*100)</f>
        <v>1.5440285803045341E-3</v>
      </c>
      <c r="H50" s="32">
        <f>IF(OR(5111634.66749="",26347.97578="",33257.56208=""),"-",(26347.97578-33257.56208)/5111634.66749*100)</f>
        <v>-0.1351737115319484</v>
      </c>
    </row>
    <row r="51" spans="1:8" s="2" customFormat="1" x14ac:dyDescent="0.25">
      <c r="A51" s="55" t="s">
        <v>237</v>
      </c>
      <c r="B51" s="56" t="s">
        <v>26</v>
      </c>
      <c r="C51" s="20">
        <v>40910.230170000003</v>
      </c>
      <c r="D51" s="32">
        <f>IF(OR(47610.45354="",40910.23017=""),"-",40910.23017/47610.45354*100)</f>
        <v>85.92699108742832</v>
      </c>
      <c r="E51" s="32">
        <f>IF(47610.45354="","-",47610.45354/5111634.66749*100)</f>
        <v>0.93141346432292038</v>
      </c>
      <c r="F51" s="32">
        <f>IF(40910.23017="","-",40910.23017/5010773.72271*100)</f>
        <v>0.81644537219043145</v>
      </c>
      <c r="G51" s="32">
        <f>IF(OR(3828107.2484="",36572.82529="",47610.45354=""),"-",(47610.45354-36572.82529)/3828107.2484*100)</f>
        <v>0.2883312178521984</v>
      </c>
      <c r="H51" s="32">
        <f>IF(OR(5111634.66749="",40910.23017="",47610.45354=""),"-",(40910.23017-47610.45354)/5111634.66749*100)</f>
        <v>-0.13107789984705723</v>
      </c>
    </row>
    <row r="52" spans="1:8" s="2" customFormat="1" x14ac:dyDescent="0.25">
      <c r="A52" s="55" t="s">
        <v>238</v>
      </c>
      <c r="B52" s="56" t="s">
        <v>148</v>
      </c>
      <c r="C52" s="20">
        <v>58369.399599999997</v>
      </c>
      <c r="D52" s="32">
        <f>IF(OR(60196.77005="",58369.3996=""),"-",58369.3996/60196.77005*100)</f>
        <v>96.964338039263282</v>
      </c>
      <c r="E52" s="32">
        <f>IF(60196.77005="","-",60196.77005/5111634.66749*100)</f>
        <v>1.1776422605639543</v>
      </c>
      <c r="F52" s="32">
        <f>IF(58369.3996="","-",58369.3996/5010773.72271*100)</f>
        <v>1.1648779775358087</v>
      </c>
      <c r="G52" s="32">
        <f>IF(OR(3828107.2484="",59566.88262="",60196.77005=""),"-",(60196.77005-59566.88262)/3828107.2484*100)</f>
        <v>1.6454278554062743E-2</v>
      </c>
      <c r="H52" s="32">
        <f>IF(OR(5111634.66749="",58369.3996="",60196.77005=""),"-",(58369.3996-60196.77005)/5111634.66749*100)</f>
        <v>-3.5749238137499917E-2</v>
      </c>
    </row>
    <row r="53" spans="1:8" s="2" customFormat="1" ht="24" x14ac:dyDescent="0.25">
      <c r="A53" s="55" t="s">
        <v>239</v>
      </c>
      <c r="B53" s="56" t="s">
        <v>149</v>
      </c>
      <c r="C53" s="20">
        <v>71636.822029999996</v>
      </c>
      <c r="D53" s="32">
        <f>IF(OR(79981.35242="",71636.82203=""),"-",71636.82203/79981.35242*100)</f>
        <v>89.566905112855551</v>
      </c>
      <c r="E53" s="32">
        <f>IF(79981.35242="","-",79981.35242/5111634.66749*100)</f>
        <v>1.5646922681834337</v>
      </c>
      <c r="F53" s="32">
        <f>IF(71636.82203="","-",71636.82203/5010773.72271*100)</f>
        <v>1.429655897358229</v>
      </c>
      <c r="G53" s="32">
        <f>IF(OR(3828107.2484="",60590.1728="",79981.35242=""),"-",(79981.35242-60590.1728)/3828107.2484*100)</f>
        <v>0.50654744921539896</v>
      </c>
      <c r="H53" s="32">
        <f>IF(OR(5111634.66749="",71636.82203="",79981.35242=""),"-",(71636.82203-79981.35242)/5111634.66749*100)</f>
        <v>-0.16324582903139026</v>
      </c>
    </row>
    <row r="54" spans="1:8" s="2" customFormat="1" ht="36" x14ac:dyDescent="0.25">
      <c r="A54" s="55" t="s">
        <v>240</v>
      </c>
      <c r="B54" s="56" t="s">
        <v>150</v>
      </c>
      <c r="C54" s="20">
        <v>178104.94195000001</v>
      </c>
      <c r="D54" s="32">
        <f>IF(OR(192023.16829="",178104.94195=""),"-",178104.94195/192023.16829*100)</f>
        <v>92.751798408523172</v>
      </c>
      <c r="E54" s="32">
        <f>IF(192023.16829="","-",192023.16829/5111634.66749*100)</f>
        <v>3.7565902256526176</v>
      </c>
      <c r="F54" s="32">
        <f>IF(178104.94195="","-",178104.94195/5010773.72271*100)</f>
        <v>3.5544399289631996</v>
      </c>
      <c r="G54" s="32">
        <f>IF(OR(3828107.2484="",186960.14708="",192023.16829=""),"-",(192023.16829-186960.14708)/3828107.2484*100)</f>
        <v>0.13225912654657604</v>
      </c>
      <c r="H54" s="32">
        <f>IF(OR(5111634.66749="",178104.94195="",192023.16829=""),"-",(178104.94195-192023.16829)/5111634.66749*100)</f>
        <v>-0.27228523252101572</v>
      </c>
    </row>
    <row r="55" spans="1:8" s="2" customFormat="1" x14ac:dyDescent="0.25">
      <c r="A55" s="55" t="s">
        <v>241</v>
      </c>
      <c r="B55" s="56" t="s">
        <v>27</v>
      </c>
      <c r="C55" s="20">
        <v>102463.75516</v>
      </c>
      <c r="D55" s="32">
        <f>IF(OR(91888.57768="",102463.75516=""),"-",102463.75516/91888.57768*100)</f>
        <v>111.50869645281465</v>
      </c>
      <c r="E55" s="32">
        <f>IF(91888.57768="","-",91888.57768/5111634.66749*100)</f>
        <v>1.7976358573591229</v>
      </c>
      <c r="F55" s="32">
        <f>IF(102463.75516="","-",102463.75516/5010773.72271*100)</f>
        <v>2.0448689330274537</v>
      </c>
      <c r="G55" s="32">
        <f>IF(OR(3828107.2484="",91226.63846="",91888.57768=""),"-",(91888.57768-91226.63846)/3828107.2484*100)</f>
        <v>1.7291553685614868E-2</v>
      </c>
      <c r="H55" s="32">
        <f>IF(OR(5111634.66749="",102463.75516="",91888.57768=""),"-",(102463.75516-91888.57768)/5111634.66749*100)</f>
        <v>0.20688445415041365</v>
      </c>
    </row>
    <row r="56" spans="1:8" s="2" customFormat="1" x14ac:dyDescent="0.25">
      <c r="A56" s="55" t="s">
        <v>242</v>
      </c>
      <c r="B56" s="56" t="s">
        <v>151</v>
      </c>
      <c r="C56" s="20">
        <v>81154.140490000005</v>
      </c>
      <c r="D56" s="32">
        <f>IF(OR(111279.12992="",81154.14049=""),"-",81154.14049/111279.12992*100)</f>
        <v>72.928446284889858</v>
      </c>
      <c r="E56" s="32">
        <f>IF(111279.12992="","-",111279.12992/5111634.66749*100)</f>
        <v>2.1769773694457339</v>
      </c>
      <c r="F56" s="32">
        <f>IF(81154.14049="","-",81154.14049/5010773.72271*100)</f>
        <v>1.619593000621649</v>
      </c>
      <c r="G56" s="32">
        <f>IF(OR(3828107.2484="",97325.18165="",111279.12992=""),"-",(111279.12992-97325.18165)/3828107.2484*100)</f>
        <v>0.36451299204932713</v>
      </c>
      <c r="H56" s="32">
        <f>IF(OR(5111634.66749="",81154.14049="",111279.12992=""),"-",(81154.14049-111279.12992)/5111634.66749*100)</f>
        <v>-0.58934159793529373</v>
      </c>
    </row>
    <row r="57" spans="1:8" s="2" customFormat="1" x14ac:dyDescent="0.25">
      <c r="A57" s="55" t="s">
        <v>243</v>
      </c>
      <c r="B57" s="56" t="s">
        <v>28</v>
      </c>
      <c r="C57" s="20">
        <v>20665.838469999999</v>
      </c>
      <c r="D57" s="32">
        <f>IF(OR(19978.93475="",20665.83847=""),"-",20665.83847/19978.93475*100)</f>
        <v>103.43813986378827</v>
      </c>
      <c r="E57" s="32">
        <f>IF(19978.93475="","-",19978.93475/5111634.66749*100)</f>
        <v>0.39085216471094936</v>
      </c>
      <c r="F57" s="32">
        <f>IF(20665.83847="","-",20665.83847/5010773.72271*100)</f>
        <v>0.41242809221932292</v>
      </c>
      <c r="G57" s="32">
        <f>IF(OR(3828107.2484="",46229.18814="",19978.93475=""),"-",(19978.93475-46229.18814)/3828107.2484*100)</f>
        <v>-0.68572408468889123</v>
      </c>
      <c r="H57" s="32">
        <f>IF(OR(5111634.66749="",20665.83847="",19978.93475=""),"-",(20665.83847-19978.93475)/5111634.66749*100)</f>
        <v>1.3438044083406559E-2</v>
      </c>
    </row>
    <row r="58" spans="1:8" s="2" customFormat="1" x14ac:dyDescent="0.25">
      <c r="A58" s="55" t="s">
        <v>244</v>
      </c>
      <c r="B58" s="56" t="s">
        <v>29</v>
      </c>
      <c r="C58" s="20">
        <v>107606.19798</v>
      </c>
      <c r="D58" s="32">
        <f>IF(OR(114175.83897="",107606.19798=""),"-",107606.19798/114175.83897*100)</f>
        <v>94.246032217266034</v>
      </c>
      <c r="E58" s="32">
        <f>IF(114175.83897="","-",114175.83897/5111634.66749*100)</f>
        <v>2.2336463068489305</v>
      </c>
      <c r="F58" s="32">
        <f>IF(107606.19798="","-",107606.19798/5010773.72271*100)</f>
        <v>2.1474966529081825</v>
      </c>
      <c r="G58" s="32">
        <f>IF(OR(3828107.2484="",119272.24249="",114175.83897=""),"-",(114175.83897-119272.24249)/3828107.2484*100)</f>
        <v>-0.13313115828011626</v>
      </c>
      <c r="H58" s="32">
        <f>IF(OR(5111634.66749="",107606.19798="",114175.83897=""),"-",(107606.19798-114175.83897)/5111634.66749*100)</f>
        <v>-0.12852328887631428</v>
      </c>
    </row>
    <row r="59" spans="1:8" s="2" customFormat="1" ht="24" x14ac:dyDescent="0.25">
      <c r="A59" s="53" t="s">
        <v>245</v>
      </c>
      <c r="B59" s="54" t="s">
        <v>152</v>
      </c>
      <c r="C59" s="18">
        <v>1190704.9110999999</v>
      </c>
      <c r="D59" s="31">
        <f>IF(1112921.69395="","-",1190704.9111/1112921.69395*100)</f>
        <v>106.98910063240213</v>
      </c>
      <c r="E59" s="31">
        <f>IF(1112921.69395="","-",1112921.69395/5111634.66749*100)</f>
        <v>21.772324634782347</v>
      </c>
      <c r="F59" s="31">
        <f>IF(1190704.9111="","-",1190704.9111/5010773.72271*100)</f>
        <v>23.76289525315115</v>
      </c>
      <c r="G59" s="31">
        <f>IF(3828107.2484="","-",(1112921.69395-985735.43973)/3828107.2484*100)</f>
        <v>3.3224318433909841</v>
      </c>
      <c r="H59" s="31">
        <f>IF(5111634.66749="","-",(1190704.9111-1112921.69395)/5111634.66749*100)</f>
        <v>1.5216896787382175</v>
      </c>
    </row>
    <row r="60" spans="1:8" s="2" customFormat="1" ht="24" x14ac:dyDescent="0.25">
      <c r="A60" s="55" t="s">
        <v>246</v>
      </c>
      <c r="B60" s="56" t="s">
        <v>153</v>
      </c>
      <c r="C60" s="20">
        <v>27171.985100000002</v>
      </c>
      <c r="D60" s="32" t="s">
        <v>98</v>
      </c>
      <c r="E60" s="32">
        <f>IF(15935.81652="","-",15935.81652/5111634.66749*100)</f>
        <v>0.31175577983598485</v>
      </c>
      <c r="F60" s="32">
        <f>IF(27171.9851="","-",27171.9851/5010773.72271*100)</f>
        <v>0.54227124599241427</v>
      </c>
      <c r="G60" s="32">
        <f>IF(OR(3828107.2484="",16956.78812="",15935.81652=""),"-",(15935.81652-16956.78812)/3828107.2484*100)</f>
        <v>-2.6670402205338613E-2</v>
      </c>
      <c r="H60" s="32">
        <f>IF(OR(5111634.66749="",27171.9851="",15935.81652=""),"-",(27171.9851-15935.81652)/5111634.66749*100)</f>
        <v>0.21981556411810962</v>
      </c>
    </row>
    <row r="61" spans="1:8" s="2" customFormat="1" ht="24" x14ac:dyDescent="0.25">
      <c r="A61" s="55" t="s">
        <v>247</v>
      </c>
      <c r="B61" s="56" t="s">
        <v>154</v>
      </c>
      <c r="C61" s="20">
        <v>131175.56140000001</v>
      </c>
      <c r="D61" s="32">
        <f>IF(OR(191631.86984="",131175.5614=""),"-",131175.5614/191631.86984*100)</f>
        <v>68.451850680955602</v>
      </c>
      <c r="E61" s="32">
        <f>IF(191631.86984="","-",191631.86984/5111634.66749*100)</f>
        <v>3.7489351705586245</v>
      </c>
      <c r="F61" s="32">
        <f>IF(131175.5614="","-",131175.5614/5010773.72271*100)</f>
        <v>2.6178703860739434</v>
      </c>
      <c r="G61" s="32">
        <f>IF(OR(3828107.2484="",121765.478="",191631.86984=""),"-",(191631.86984-121765.478)/3828107.2484*100)</f>
        <v>1.8250897194482061</v>
      </c>
      <c r="H61" s="32">
        <f>IF(OR(5111634.66749="",131175.5614="",191631.86984=""),"-",(131175.5614-191631.86984)/5111634.66749*100)</f>
        <v>-1.1827196654820062</v>
      </c>
    </row>
    <row r="62" spans="1:8" s="2" customFormat="1" ht="24" x14ac:dyDescent="0.25">
      <c r="A62" s="55" t="s">
        <v>248</v>
      </c>
      <c r="B62" s="56" t="s">
        <v>155</v>
      </c>
      <c r="C62" s="20">
        <v>9519.8315199999997</v>
      </c>
      <c r="D62" s="32">
        <f>IF(OR(7016.8847="",9519.83152=""),"-",9519.83152/7016.8847*100)</f>
        <v>135.67034270920826</v>
      </c>
      <c r="E62" s="32">
        <f>IF(7016.8847="","-",7016.8847/5111634.66749*100)</f>
        <v>0.13727281303234348</v>
      </c>
      <c r="F62" s="32">
        <f>IF(9519.83152="","-",9519.83152/5010773.72271*100)</f>
        <v>0.18998725639623065</v>
      </c>
      <c r="G62" s="32">
        <f>IF(OR(3828107.2484="",11070.63442="",7016.8847=""),"-",(7016.8847-11070.63442)/3828107.2484*100)</f>
        <v>-0.10589436128505308</v>
      </c>
      <c r="H62" s="32">
        <f>IF(OR(5111634.66749="",9519.83152="",7016.8847=""),"-",(9519.83152-7016.8847)/5111634.66749*100)</f>
        <v>4.8965682855207623E-2</v>
      </c>
    </row>
    <row r="63" spans="1:8" s="2" customFormat="1" ht="36" x14ac:dyDescent="0.25">
      <c r="A63" s="55" t="s">
        <v>249</v>
      </c>
      <c r="B63" s="56" t="s">
        <v>156</v>
      </c>
      <c r="C63" s="20">
        <v>142187.26952</v>
      </c>
      <c r="D63" s="32">
        <f>IF(OR(139964.8339="",142187.26952=""),"-",142187.26952/139964.8339*100)</f>
        <v>101.58785286137505</v>
      </c>
      <c r="E63" s="32">
        <f>IF(139964.8339="","-",139964.8339/5111634.66749*100)</f>
        <v>2.7381619189293089</v>
      </c>
      <c r="F63" s="32">
        <f>IF(142187.26952="","-",142187.26952/5010773.72271*100)</f>
        <v>2.8376310204464827</v>
      </c>
      <c r="G63" s="32">
        <f>IF(OR(3828107.2484="",139863.46801="",139964.8339=""),"-",(139964.8339-139863.46801)/3828107.2484*100)</f>
        <v>2.6479375686862846E-3</v>
      </c>
      <c r="H63" s="32">
        <f>IF(OR(5111634.66749="",142187.26952="",139964.8339=""),"-",(142187.26952-139964.8339)/5111634.66749*100)</f>
        <v>4.3477982378801364E-2</v>
      </c>
    </row>
    <row r="64" spans="1:8" s="2" customFormat="1" ht="24.75" customHeight="1" x14ac:dyDescent="0.25">
      <c r="A64" s="55" t="s">
        <v>250</v>
      </c>
      <c r="B64" s="56" t="s">
        <v>157</v>
      </c>
      <c r="C64" s="20">
        <v>48761.636910000001</v>
      </c>
      <c r="D64" s="32">
        <f>IF(OR(48878.4561="",48761.63691=""),"-",48761.63691/48878.4561*100)</f>
        <v>99.761000654846782</v>
      </c>
      <c r="E64" s="32">
        <f>IF(48878.4561="","-",48878.4561/5111634.66749*100)</f>
        <v>0.95621966903986744</v>
      </c>
      <c r="F64" s="32">
        <f>IF(48761.63691="","-",48761.63691/5010773.72271*100)</f>
        <v>0.97313587897615172</v>
      </c>
      <c r="G64" s="32">
        <f>IF(OR(3828107.2484="",42626.65552="",48878.4561=""),"-",(48878.4561-42626.65552)/3828107.2484*100)</f>
        <v>0.16331309898940299</v>
      </c>
      <c r="H64" s="32">
        <f>IF(OR(5111634.66749="",48761.63691="",48878.4561=""),"-",(48761.63691-48878.4561)/5111634.66749*100)</f>
        <v>-2.2853587472315287E-3</v>
      </c>
    </row>
    <row r="65" spans="1:8" s="2" customFormat="1" ht="48" x14ac:dyDescent="0.25">
      <c r="A65" s="55" t="s">
        <v>251</v>
      </c>
      <c r="B65" s="56" t="s">
        <v>158</v>
      </c>
      <c r="C65" s="20">
        <v>120758.04936999999</v>
      </c>
      <c r="D65" s="32">
        <f>IF(OR(99483.82052="",120758.04937=""),"-",120758.04937/99483.82052*100)</f>
        <v>121.3846118281345</v>
      </c>
      <c r="E65" s="32">
        <f>IF(99483.82052="","-",99483.82052/5111634.66749*100)</f>
        <v>1.9462232141259461</v>
      </c>
      <c r="F65" s="32">
        <f>IF(120758.04937="","-",120758.04937/5010773.72271*100)</f>
        <v>2.4099681217432796</v>
      </c>
      <c r="G65" s="32">
        <f>IF(OR(3828107.2484="",101364.21759="",99483.82052=""),"-",(99483.82052-101364.21759)/3828107.2484*100)</f>
        <v>-4.9120804303117147E-2</v>
      </c>
      <c r="H65" s="32">
        <f>IF(OR(5111634.66749="",120758.04937="",99483.82052=""),"-",(120758.04937-99483.82052)/5111634.66749*100)</f>
        <v>0.41619227964987621</v>
      </c>
    </row>
    <row r="66" spans="1:8" s="2" customFormat="1" ht="48" x14ac:dyDescent="0.25">
      <c r="A66" s="55" t="s">
        <v>252</v>
      </c>
      <c r="B66" s="56" t="s">
        <v>159</v>
      </c>
      <c r="C66" s="20">
        <v>377273.93634999997</v>
      </c>
      <c r="D66" s="32">
        <f>IF(OR(313728.01168="",377273.93635=""),"-",377273.93635/313728.01168*100)</f>
        <v>120.25510069365954</v>
      </c>
      <c r="E66" s="32">
        <f>IF(313728.01168="","-",313728.01168/5111634.66749*100)</f>
        <v>6.137528052920338</v>
      </c>
      <c r="F66" s="32">
        <f>IF(377273.93635="","-",377273.93635/5010773.72271*100)</f>
        <v>7.5292551056557615</v>
      </c>
      <c r="G66" s="32">
        <f>IF(OR(3828107.2484="",304901.13668="",313728.01168=""),"-",(313728.01168-304901.13668)/3828107.2484*100)</f>
        <v>0.23058066107445896</v>
      </c>
      <c r="H66" s="32">
        <f>IF(OR(5111634.66749="",377273.93635="",313728.01168=""),"-",(377273.93635-313728.01168)/5111634.66749*100)</f>
        <v>1.2431624872206166</v>
      </c>
    </row>
    <row r="67" spans="1:8" s="2" customFormat="1" ht="24" x14ac:dyDescent="0.25">
      <c r="A67" s="55" t="s">
        <v>253</v>
      </c>
      <c r="B67" s="56" t="s">
        <v>160</v>
      </c>
      <c r="C67" s="20">
        <v>329149.16139000002</v>
      </c>
      <c r="D67" s="32">
        <f>IF(OR(291408.53076="",329149.16139=""),"-",329149.16139/291408.53076*100)</f>
        <v>112.95110700142223</v>
      </c>
      <c r="E67" s="32">
        <f>IF(291408.53076="","-",291408.53076/5111634.66749*100)</f>
        <v>5.7008872839320555</v>
      </c>
      <c r="F67" s="32">
        <f>IF(329149.16139="","-",329149.16139/5010773.72271*100)</f>
        <v>6.5688290791942761</v>
      </c>
      <c r="G67" s="32">
        <f>IF(OR(3828107.2484="",245262.25849="",291408.53076=""),"-",(291408.53076-245262.25849)/3828107.2484*100)</f>
        <v>1.2054592328699081</v>
      </c>
      <c r="H67" s="32">
        <f>IF(OR(5111634.66749="",329149.16139="",291408.53076=""),"-",(329149.16139-291408.53076)/5111634.66749*100)</f>
        <v>0.73832801217251431</v>
      </c>
    </row>
    <row r="68" spans="1:8" s="2" customFormat="1" x14ac:dyDescent="0.25">
      <c r="A68" s="55" t="s">
        <v>254</v>
      </c>
      <c r="B68" s="56" t="s">
        <v>30</v>
      </c>
      <c r="C68" s="20">
        <v>4707.4795400000003</v>
      </c>
      <c r="D68" s="32">
        <f>IF(OR(4873.46993="",4707.47954=""),"-",4707.47954/4873.46993*100)</f>
        <v>96.593999914143311</v>
      </c>
      <c r="E68" s="32">
        <f>IF(4873.46993="","-",4873.46993/5111634.66749*100)</f>
        <v>9.5340732407878687E-2</v>
      </c>
      <c r="F68" s="32">
        <f>IF(4707.47954="","-",4707.47954/5010773.72271*100)</f>
        <v>9.3947158672613773E-2</v>
      </c>
      <c r="G68" s="32">
        <f>IF(OR(3828107.2484="",1924.8029="",4873.46993=""),"-",(4873.46993-1924.8029)/3828107.2484*100)</f>
        <v>7.7026761233829816E-2</v>
      </c>
      <c r="H68" s="32">
        <f>IF(OR(5111634.66749="",4707.47954="",4873.46993=""),"-",(4707.47954-4873.46993)/5111634.66749*100)</f>
        <v>-3.2473054276687444E-3</v>
      </c>
    </row>
    <row r="69" spans="1:8" s="2" customFormat="1" x14ac:dyDescent="0.25">
      <c r="A69" s="53" t="s">
        <v>255</v>
      </c>
      <c r="B69" s="54" t="s">
        <v>31</v>
      </c>
      <c r="C69" s="18">
        <v>469975.75777000003</v>
      </c>
      <c r="D69" s="31">
        <f>IF(438883.88729="","-",469975.75777/438883.88729*100)</f>
        <v>107.08430438674445</v>
      </c>
      <c r="E69" s="31">
        <f>IF(438883.88729="","-",438883.88729/5111634.66749*100)</f>
        <v>8.5859791600777307</v>
      </c>
      <c r="F69" s="31">
        <f>IF(469975.75777="","-",469975.75777/5010773.72271*100)</f>
        <v>9.3793051488228212</v>
      </c>
      <c r="G69" s="31">
        <f>IF(3828107.2484="","-",(438883.88729-446243.7518)/3828107.2484*100)</f>
        <v>-0.1922585766915538</v>
      </c>
      <c r="H69" s="31">
        <f>IF(5111634.66749="","-",(469975.75777-438883.88729)/5111634.66749*100)</f>
        <v>0.60825689828235097</v>
      </c>
    </row>
    <row r="70" spans="1:8" ht="36" x14ac:dyDescent="0.25">
      <c r="A70" s="55" t="s">
        <v>256</v>
      </c>
      <c r="B70" s="56" t="s">
        <v>186</v>
      </c>
      <c r="C70" s="20">
        <v>25741.794089999999</v>
      </c>
      <c r="D70" s="32">
        <f>IF(OR(34524.64428="",25741.79409=""),"-",25741.79409/34524.64428*100)</f>
        <v>74.560635241395161</v>
      </c>
      <c r="E70" s="32">
        <f>IF(34524.64428="","-",34524.64428/5111634.66749*100)</f>
        <v>0.67541298480458234</v>
      </c>
      <c r="F70" s="32">
        <f>IF(25741.79409="","-",25741.79409/5010773.72271*100)</f>
        <v>0.51372892719805252</v>
      </c>
      <c r="G70" s="32">
        <f>IF(OR(3828107.2484="",37051.88857="",34524.64428=""),"-",(34524.64428-37051.88857)/3828107.2484*100)</f>
        <v>-6.6018116160572363E-2</v>
      </c>
      <c r="H70" s="32">
        <f>IF(OR(5111634.66749="",25741.79409="",34524.64428=""),"-",(25741.79409-34524.64428)/5111634.66749*100)</f>
        <v>-0.17182077283141797</v>
      </c>
    </row>
    <row r="71" spans="1:8" x14ac:dyDescent="0.25">
      <c r="A71" s="55" t="s">
        <v>257</v>
      </c>
      <c r="B71" s="56" t="s">
        <v>161</v>
      </c>
      <c r="C71" s="20">
        <v>39604.271189999999</v>
      </c>
      <c r="D71" s="32">
        <f>IF(OR(41657.64975="",39604.2711899999=""),"-",39604.2711899999/41657.64975*100)</f>
        <v>95.070824752901245</v>
      </c>
      <c r="E71" s="32">
        <f>IF(41657.64975="","-",41657.64975/5111634.66749*100)</f>
        <v>0.8149574932446304</v>
      </c>
      <c r="F71" s="32">
        <f>IF(39604.2711899999="","-",39604.2711899999/5010773.72271*100)</f>
        <v>0.79038235174148985</v>
      </c>
      <c r="G71" s="32">
        <f>IF(OR(3828107.2484="",39367.95251="",41657.64975=""),"-",(41657.64975-39367.95251)/3828107.2484*100)</f>
        <v>5.9812776691588208E-2</v>
      </c>
      <c r="H71" s="32">
        <f>IF(OR(5111634.66749="",39604.2711899999="",41657.64975=""),"-",(39604.2711899999-41657.64975)/5111634.66749*100)</f>
        <v>-4.0170683031390882E-2</v>
      </c>
    </row>
    <row r="72" spans="1:8" x14ac:dyDescent="0.25">
      <c r="A72" s="55" t="s">
        <v>258</v>
      </c>
      <c r="B72" s="56" t="s">
        <v>162</v>
      </c>
      <c r="C72" s="20">
        <v>10342.45298</v>
      </c>
      <c r="D72" s="32">
        <f>IF(OR(10200.74677="",10342.45298=""),"-",10342.45298/10200.74677*100)</f>
        <v>101.38917486332228</v>
      </c>
      <c r="E72" s="32">
        <f>IF(10200.74677="","-",10200.74677/5111634.66749*100)</f>
        <v>0.19955938625420078</v>
      </c>
      <c r="F72" s="32">
        <f>IF(10342.45298="","-",10342.45298/5010773.72271*100)</f>
        <v>0.20640431103734702</v>
      </c>
      <c r="G72" s="32">
        <f>IF(OR(3828107.2484="",7133.09753="",10200.74677=""),"-",(10200.74677-7133.09753)/3828107.2484*100)</f>
        <v>8.0134882356865986E-2</v>
      </c>
      <c r="H72" s="32">
        <f>IF(OR(5111634.66749="",10342.45298="",10200.74677=""),"-",(10342.45298-10200.74677)/5111634.66749*100)</f>
        <v>2.7722288312435916E-3</v>
      </c>
    </row>
    <row r="73" spans="1:8" x14ac:dyDescent="0.25">
      <c r="A73" s="55" t="s">
        <v>259</v>
      </c>
      <c r="B73" s="56" t="s">
        <v>163</v>
      </c>
      <c r="C73" s="20">
        <v>111920.29609</v>
      </c>
      <c r="D73" s="32">
        <f>IF(OR(106259.03382="",111920.29609=""),"-",111920.29609/106259.03382*100)</f>
        <v>105.32779385100568</v>
      </c>
      <c r="E73" s="32">
        <f>IF(106259.03382="","-",106259.03382/5111634.66749*100)</f>
        <v>2.078768157979042</v>
      </c>
      <c r="F73" s="32">
        <f>IF(111920.29609="","-",111920.29609/5010773.72271*100)</f>
        <v>2.2335930992603199</v>
      </c>
      <c r="G73" s="32">
        <f>IF(OR(3828107.2484="",103310.2768="",106259.03382=""),"-",(106259.03382-103310.2768)/3828107.2484*100)</f>
        <v>7.7029112003914088E-2</v>
      </c>
      <c r="H73" s="32">
        <f>IF(OR(5111634.66749="",111920.29609="",106259.03382=""),"-",(111920.29609-106259.03382)/5111634.66749*100)</f>
        <v>0.11075248209747146</v>
      </c>
    </row>
    <row r="74" spans="1:8" x14ac:dyDescent="0.25">
      <c r="A74" s="55" t="s">
        <v>260</v>
      </c>
      <c r="B74" s="56" t="s">
        <v>164</v>
      </c>
      <c r="C74" s="20">
        <v>34420.787799999998</v>
      </c>
      <c r="D74" s="32">
        <f>IF(OR(33377.25648="",34420.7878=""),"-",34420.7878/33377.25648*100)</f>
        <v>103.12647422242537</v>
      </c>
      <c r="E74" s="32">
        <f>IF(33377.25648="","-",33377.25648/5111634.66749*100)</f>
        <v>0.65296639238088294</v>
      </c>
      <c r="F74" s="32">
        <f>IF(34420.7878="","-",34420.7878/5010773.72271*100)</f>
        <v>0.68693558529687593</v>
      </c>
      <c r="G74" s="32">
        <f>IF(OR(3828107.2484="",28327.4099="",33377.25648=""),"-",(33377.25648-28327.4099)/3828107.2484*100)</f>
        <v>0.13191497135067565</v>
      </c>
      <c r="H74" s="32">
        <f>IF(OR(5111634.66749="",34420.7878="",33377.25648=""),"-",(34420.7878-33377.25648)/5111634.66749*100)</f>
        <v>2.041482593888921E-2</v>
      </c>
    </row>
    <row r="75" spans="1:8" ht="24" x14ac:dyDescent="0.25">
      <c r="A75" s="55" t="s">
        <v>261</v>
      </c>
      <c r="B75" s="56" t="s">
        <v>295</v>
      </c>
      <c r="C75" s="20">
        <v>45050.278810000003</v>
      </c>
      <c r="D75" s="32">
        <f>IF(OR(39756.65813="",45050.27881=""),"-",45050.27881/39756.65813*100)</f>
        <v>113.31505445626347</v>
      </c>
      <c r="E75" s="32">
        <f>IF(39756.65813="","-",39756.65813/5111634.66749*100)</f>
        <v>0.77776798844511275</v>
      </c>
      <c r="F75" s="32">
        <f>IF(45050.27881="","-",45050.27881/5010773.72271*100)</f>
        <v>0.89906831365825968</v>
      </c>
      <c r="G75" s="32">
        <f>IF(OR(3828107.2484="",55114.06626="",39756.65813=""),"-",(39756.65813-55114.06626)/3828107.2484*100)</f>
        <v>-0.40117497064427327</v>
      </c>
      <c r="H75" s="32">
        <f>IF(OR(5111634.66749="",45050.27881="",39756.65813=""),"-",(45050.27881-39756.65813)/5111634.66749*100)</f>
        <v>0.10356023120485178</v>
      </c>
    </row>
    <row r="76" spans="1:8" ht="24" x14ac:dyDescent="0.25">
      <c r="A76" s="55" t="s">
        <v>262</v>
      </c>
      <c r="B76" s="56" t="s">
        <v>165</v>
      </c>
      <c r="C76" s="20">
        <v>11390.030580000001</v>
      </c>
      <c r="D76" s="32">
        <f>IF(OR(8109.40543="",11390.03058=""),"-",11390.03058/8109.40543*100)</f>
        <v>140.45457066264845</v>
      </c>
      <c r="E76" s="32">
        <f>IF(8109.40543="","-",8109.40543/5111634.66749*100)</f>
        <v>0.15864602925509963</v>
      </c>
      <c r="F76" s="32">
        <f>IF(11390.03058="","-",11390.03058/5010773.72271*100)</f>
        <v>0.22731081486233781</v>
      </c>
      <c r="G76" s="32">
        <f>IF(OR(3828107.2484="",10307.87743="",8109.40543=""),"-",(8109.40543-10307.87743)/3828107.2484*100)</f>
        <v>-5.7429738963527641E-2</v>
      </c>
      <c r="H76" s="32">
        <f>IF(OR(5111634.66749="",11390.03058="",8109.40543=""),"-",(11390.03058-8109.40543)/5111634.66749*100)</f>
        <v>6.4179570008490214E-2</v>
      </c>
    </row>
    <row r="77" spans="1:8" x14ac:dyDescent="0.25">
      <c r="A77" s="55" t="s">
        <v>263</v>
      </c>
      <c r="B77" s="56" t="s">
        <v>32</v>
      </c>
      <c r="C77" s="20">
        <v>191505.84623</v>
      </c>
      <c r="D77" s="32">
        <f>IF(OR(164998.49263="",191505.84623=""),"-",191505.84623/164998.49263*100)</f>
        <v>116.06520955281772</v>
      </c>
      <c r="E77" s="32">
        <f>IF(164998.49263="","-",164998.49263/5111634.66749*100)</f>
        <v>3.2279007277141796</v>
      </c>
      <c r="F77" s="32">
        <f>IF(191505.84623="","-",191505.84623/5010773.72271*100)</f>
        <v>3.821881745768136</v>
      </c>
      <c r="G77" s="32">
        <f>IF(OR(3828107.2484="",165631.1828="",164998.49263=""),"-",(164998.49263-165631.1828)/3828107.2484*100)</f>
        <v>-1.6527493326224236E-2</v>
      </c>
      <c r="H77" s="32">
        <f>IF(OR(5111634.66749="",191505.84623="",164998.49263=""),"-",(191505.84623-164998.49263)/5111634.66749*100)</f>
        <v>0.51856901606421113</v>
      </c>
    </row>
    <row r="78" spans="1:8" ht="24" x14ac:dyDescent="0.25">
      <c r="A78" s="58" t="s">
        <v>266</v>
      </c>
      <c r="B78" s="59" t="s">
        <v>166</v>
      </c>
      <c r="C78" s="60">
        <v>3219.8011299999998</v>
      </c>
      <c r="D78" s="67">
        <f>IF(13893.4167="","-",3219.80113/13893.4167*100)</f>
        <v>23.175013026133449</v>
      </c>
      <c r="E78" s="67">
        <f>IF(13893.4167="","-",13893.4167/5111634.66749*100)</f>
        <v>0.2717998762384593</v>
      </c>
      <c r="F78" s="67">
        <f>IF(3219.80113="","-",3219.80113/5010773.72271*100)</f>
        <v>6.4257563964764702E-2</v>
      </c>
      <c r="G78" s="67">
        <f>IF(3828107.2484="","-",(13893.4167-89.22563)/3828107.2484*100)</f>
        <v>0.36060094909226004</v>
      </c>
      <c r="H78" s="67">
        <f>IF(5111634.66749="","-",(3219.80113-13893.4167)/5111634.66749*100)</f>
        <v>-0.20881021951518175</v>
      </c>
    </row>
    <row r="79" spans="1:8" x14ac:dyDescent="0.25">
      <c r="A79" s="22" t="s">
        <v>269</v>
      </c>
      <c r="B79" s="23"/>
    </row>
    <row r="80" spans="1:8" x14ac:dyDescent="0.25">
      <c r="A80" s="23" t="s">
        <v>330</v>
      </c>
      <c r="B80" s="23"/>
    </row>
  </sheetData>
  <mergeCells count="8">
    <mergeCell ref="B1:H1"/>
    <mergeCell ref="B2:H2"/>
    <mergeCell ref="A4:A5"/>
    <mergeCell ref="B4:B5"/>
    <mergeCell ref="C4:D4"/>
    <mergeCell ref="E4:F4"/>
    <mergeCell ref="G4:H4"/>
    <mergeCell ref="A3:H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82"/>
  <sheetViews>
    <sheetView zoomScale="99" zoomScaleNormal="99" workbookViewId="0">
      <selection activeCell="B1" sqref="B1:E1"/>
    </sheetView>
  </sheetViews>
  <sheetFormatPr defaultRowHeight="15.75" x14ac:dyDescent="0.25"/>
  <cols>
    <col min="1" max="1" width="5.625" style="42" customWidth="1"/>
    <col min="2" max="2" width="42.875" style="42" customWidth="1"/>
    <col min="3" max="4" width="13.5" style="42" customWidth="1"/>
    <col min="5" max="5" width="11.375" style="42" customWidth="1"/>
  </cols>
  <sheetData>
    <row r="1" spans="1:5" s="49" customFormat="1" ht="12.75" x14ac:dyDescent="0.2">
      <c r="A1" s="48"/>
      <c r="B1" s="86" t="s">
        <v>356</v>
      </c>
      <c r="C1" s="86"/>
      <c r="D1" s="86"/>
      <c r="E1" s="86"/>
    </row>
    <row r="2" spans="1:5" s="49" customFormat="1" ht="12.75" x14ac:dyDescent="0.2">
      <c r="A2" s="48"/>
      <c r="B2" s="86" t="s">
        <v>268</v>
      </c>
      <c r="C2" s="86"/>
      <c r="D2" s="86"/>
      <c r="E2" s="86"/>
    </row>
    <row r="3" spans="1:5" x14ac:dyDescent="0.25">
      <c r="A3" s="96"/>
      <c r="B3" s="96"/>
      <c r="C3" s="96"/>
      <c r="D3" s="96"/>
      <c r="E3" s="96"/>
    </row>
    <row r="4" spans="1:5" ht="66.75" customHeight="1" x14ac:dyDescent="0.25">
      <c r="A4" s="38" t="s">
        <v>267</v>
      </c>
      <c r="B4" s="64"/>
      <c r="C4" s="38" t="s">
        <v>371</v>
      </c>
      <c r="D4" s="38" t="s">
        <v>372</v>
      </c>
      <c r="E4" s="39" t="s">
        <v>373</v>
      </c>
    </row>
    <row r="5" spans="1:5" s="49" customFormat="1" ht="15" customHeight="1" x14ac:dyDescent="0.2">
      <c r="A5" s="69"/>
      <c r="B5" s="62" t="s">
        <v>273</v>
      </c>
      <c r="C5" s="43">
        <v>-2482021.4225099999</v>
      </c>
      <c r="D5" s="43">
        <v>-2664320.0204099999</v>
      </c>
      <c r="E5" s="43">
        <f>IF(-2482021.42251="","-",-2664320.02041/-2482021.42251*100)</f>
        <v>107.34476327426886</v>
      </c>
    </row>
    <row r="6" spans="1:5" ht="12.75" customHeight="1" x14ac:dyDescent="0.25">
      <c r="A6" s="65"/>
      <c r="B6" s="66" t="s">
        <v>114</v>
      </c>
      <c r="C6" s="74"/>
      <c r="D6" s="74"/>
      <c r="E6" s="31"/>
    </row>
    <row r="7" spans="1:5" x14ac:dyDescent="0.25">
      <c r="A7" s="53" t="s">
        <v>195</v>
      </c>
      <c r="B7" s="54" t="s">
        <v>167</v>
      </c>
      <c r="C7" s="31">
        <v>122611.68425000001</v>
      </c>
      <c r="D7" s="31">
        <v>-79138.039380000002</v>
      </c>
      <c r="E7" s="31" t="s">
        <v>19</v>
      </c>
    </row>
    <row r="8" spans="1:5" x14ac:dyDescent="0.25">
      <c r="A8" s="55" t="s">
        <v>196</v>
      </c>
      <c r="B8" s="56" t="s">
        <v>20</v>
      </c>
      <c r="C8" s="32">
        <v>-1534.30512</v>
      </c>
      <c r="D8" s="32">
        <v>683.07101</v>
      </c>
      <c r="E8" s="32" t="s">
        <v>19</v>
      </c>
    </row>
    <row r="9" spans="1:5" x14ac:dyDescent="0.25">
      <c r="A9" s="55" t="s">
        <v>197</v>
      </c>
      <c r="B9" s="56" t="s">
        <v>168</v>
      </c>
      <c r="C9" s="32">
        <v>-46677.37227</v>
      </c>
      <c r="D9" s="32">
        <v>-41132.060089999999</v>
      </c>
      <c r="E9" s="32">
        <f>IF(OR(-46677.37227="",-41132.06009="",-46677.37227=0,-41132.06009=0),"-",-41132.06009/-46677.37227*100)</f>
        <v>88.119913546281552</v>
      </c>
    </row>
    <row r="10" spans="1:5" x14ac:dyDescent="0.25">
      <c r="A10" s="55" t="s">
        <v>198</v>
      </c>
      <c r="B10" s="56" t="s">
        <v>169</v>
      </c>
      <c r="C10" s="32">
        <v>-59628.426339999998</v>
      </c>
      <c r="D10" s="32">
        <v>-60870.893389999997</v>
      </c>
      <c r="E10" s="32">
        <f>IF(OR(-59628.42634="",-60870.89339="",-59628.42634=0,-60870.89339=0),"-",-60870.89339/-59628.42634*100)</f>
        <v>102.08368244185328</v>
      </c>
    </row>
    <row r="11" spans="1:5" x14ac:dyDescent="0.25">
      <c r="A11" s="55" t="s">
        <v>199</v>
      </c>
      <c r="B11" s="56" t="s">
        <v>170</v>
      </c>
      <c r="C11" s="32">
        <v>-43901.491159999998</v>
      </c>
      <c r="D11" s="32">
        <v>-48431.946479999999</v>
      </c>
      <c r="E11" s="32">
        <f>IF(OR(-43901.49116="",-48431.94648="",-43901.49116=0,-48431.94648=0),"-",-48431.94648/-43901.49116*100)</f>
        <v>110.31959325365204</v>
      </c>
    </row>
    <row r="12" spans="1:5" x14ac:dyDescent="0.25">
      <c r="A12" s="55" t="s">
        <v>200</v>
      </c>
      <c r="B12" s="56" t="s">
        <v>171</v>
      </c>
      <c r="C12" s="32">
        <v>269446.52441000001</v>
      </c>
      <c r="D12" s="32">
        <v>122867.72577</v>
      </c>
      <c r="E12" s="32">
        <f>IF(OR(269446.52441="",122867.72577="",269446.52441=0,122867.72577=0),"-",122867.72577/269446.52441*100)</f>
        <v>45.60004106159478</v>
      </c>
    </row>
    <row r="13" spans="1:5" x14ac:dyDescent="0.25">
      <c r="A13" s="55" t="s">
        <v>201</v>
      </c>
      <c r="B13" s="56" t="s">
        <v>172</v>
      </c>
      <c r="C13" s="32">
        <v>96727.70925</v>
      </c>
      <c r="D13" s="32">
        <v>44461.972289999998</v>
      </c>
      <c r="E13" s="32">
        <f>IF(OR(96727.70925="",44461.97229="",96727.70925=0,44461.97229=0),"-",44461.97229/96727.70925*100)</f>
        <v>45.966117294357403</v>
      </c>
    </row>
    <row r="14" spans="1:5" x14ac:dyDescent="0.25">
      <c r="A14" s="55" t="s">
        <v>202</v>
      </c>
      <c r="B14" s="56" t="s">
        <v>130</v>
      </c>
      <c r="C14" s="32">
        <v>1892.77871</v>
      </c>
      <c r="D14" s="32">
        <v>-3115.5664900000002</v>
      </c>
      <c r="E14" s="32" t="s">
        <v>19</v>
      </c>
    </row>
    <row r="15" spans="1:5" ht="17.25" customHeight="1" x14ac:dyDescent="0.25">
      <c r="A15" s="55" t="s">
        <v>203</v>
      </c>
      <c r="B15" s="56" t="s">
        <v>173</v>
      </c>
      <c r="C15" s="32">
        <v>-31705.01684</v>
      </c>
      <c r="D15" s="32">
        <v>-37645.612269999998</v>
      </c>
      <c r="E15" s="32">
        <f>IF(OR(-31705.01684="",-37645.61227="",-31705.01684=0,-37645.61227=0),"-",-37645.61227/-31705.01684*100)</f>
        <v>118.73708334545077</v>
      </c>
    </row>
    <row r="16" spans="1:5" ht="15.75" customHeight="1" x14ac:dyDescent="0.25">
      <c r="A16" s="55" t="s">
        <v>204</v>
      </c>
      <c r="B16" s="56" t="s">
        <v>131</v>
      </c>
      <c r="C16" s="32">
        <v>3753.62005</v>
      </c>
      <c r="D16" s="32">
        <v>5478.3797199999999</v>
      </c>
      <c r="E16" s="32">
        <f>IF(OR(3753.62005="",5478.37972="",3753.62005=0,5478.37972=0),"-",5478.37972/3753.62005*100)</f>
        <v>145.94923425987133</v>
      </c>
    </row>
    <row r="17" spans="1:5" x14ac:dyDescent="0.25">
      <c r="A17" s="55" t="s">
        <v>205</v>
      </c>
      <c r="B17" s="56" t="s">
        <v>174</v>
      </c>
      <c r="C17" s="32">
        <v>-65762.336439999999</v>
      </c>
      <c r="D17" s="32">
        <v>-61433.109450000004</v>
      </c>
      <c r="E17" s="32">
        <f>IF(OR(-65762.33644="",-61433.10945="",-65762.33644=0,-61433.10945=0),"-",-61433.10945/-65762.33644*100)</f>
        <v>93.416859521179148</v>
      </c>
    </row>
    <row r="18" spans="1:5" x14ac:dyDescent="0.25">
      <c r="A18" s="53" t="s">
        <v>206</v>
      </c>
      <c r="B18" s="54" t="s">
        <v>175</v>
      </c>
      <c r="C18" s="31">
        <v>23781.057489999999</v>
      </c>
      <c r="D18" s="31">
        <v>42986.456169999998</v>
      </c>
      <c r="E18" s="31" t="s">
        <v>188</v>
      </c>
    </row>
    <row r="19" spans="1:5" x14ac:dyDescent="0.25">
      <c r="A19" s="55" t="s">
        <v>207</v>
      </c>
      <c r="B19" s="56" t="s">
        <v>176</v>
      </c>
      <c r="C19" s="32">
        <v>42079.104939999997</v>
      </c>
      <c r="D19" s="32">
        <v>62136.521330000003</v>
      </c>
      <c r="E19" s="32">
        <f>IF(OR(42079.10494="",62136.52133="",42079.10494=0,62136.52133=0),"-",62136.52133/42079.10494*100)</f>
        <v>147.66597678016106</v>
      </c>
    </row>
    <row r="20" spans="1:5" x14ac:dyDescent="0.25">
      <c r="A20" s="55" t="s">
        <v>208</v>
      </c>
      <c r="B20" s="56" t="s">
        <v>177</v>
      </c>
      <c r="C20" s="32">
        <v>-18298.047449999998</v>
      </c>
      <c r="D20" s="32">
        <v>-19150.065159999998</v>
      </c>
      <c r="E20" s="32">
        <f>IF(OR(-18298.04745="",-19150.0651599999="",-18298.04745=0,-19150.0651599999=0),"-",-19150.0651599999/-18298.04745*100)</f>
        <v>104.65633129615641</v>
      </c>
    </row>
    <row r="21" spans="1:5" ht="16.5" customHeight="1" x14ac:dyDescent="0.25">
      <c r="A21" s="53" t="s">
        <v>209</v>
      </c>
      <c r="B21" s="54" t="s">
        <v>21</v>
      </c>
      <c r="C21" s="31">
        <v>153283.8186</v>
      </c>
      <c r="D21" s="31">
        <v>40983.821430000004</v>
      </c>
      <c r="E21" s="31">
        <f>IF(153283.8186="","-",40983.82143/153283.8186*100)</f>
        <v>26.737213232499681</v>
      </c>
    </row>
    <row r="22" spans="1:5" x14ac:dyDescent="0.25">
      <c r="A22" s="55" t="s">
        <v>210</v>
      </c>
      <c r="B22" s="56" t="s">
        <v>184</v>
      </c>
      <c r="C22" s="32">
        <v>847.87945000000002</v>
      </c>
      <c r="D22" s="32">
        <v>840.67039999999997</v>
      </c>
      <c r="E22" s="32">
        <f>IF(OR(847.87945="",840.6704="",847.87945=0,840.6704=0),"-",840.6704/847.87945*100)</f>
        <v>99.149755310144613</v>
      </c>
    </row>
    <row r="23" spans="1:5" x14ac:dyDescent="0.25">
      <c r="A23" s="55" t="s">
        <v>211</v>
      </c>
      <c r="B23" s="56" t="s">
        <v>178</v>
      </c>
      <c r="C23" s="32">
        <v>178430.16438999999</v>
      </c>
      <c r="D23" s="32">
        <v>78404.355949999997</v>
      </c>
      <c r="E23" s="32">
        <f>IF(OR(178430.16439="",78404.35595="",178430.16439=0,78404.35595=0),"-",78404.35595/178430.16439*100)</f>
        <v>43.941200311080429</v>
      </c>
    </row>
    <row r="24" spans="1:5" ht="17.25" customHeight="1" x14ac:dyDescent="0.25">
      <c r="A24" s="55" t="s">
        <v>264</v>
      </c>
      <c r="B24" s="56" t="s">
        <v>179</v>
      </c>
      <c r="C24" s="32">
        <v>-2608.2506100000001</v>
      </c>
      <c r="D24" s="32">
        <v>-2537.8236000000002</v>
      </c>
      <c r="E24" s="32">
        <f>IF(OR(-2608.25061="",-2537.8236="",-2608.25061=0,-2537.8236=0),"-",-2537.8236/-2608.25061*100)</f>
        <v>97.299837303594089</v>
      </c>
    </row>
    <row r="25" spans="1:5" x14ac:dyDescent="0.25">
      <c r="A25" s="55" t="s">
        <v>212</v>
      </c>
      <c r="B25" s="56" t="s">
        <v>180</v>
      </c>
      <c r="C25" s="32">
        <v>-32253.084009999999</v>
      </c>
      <c r="D25" s="32">
        <v>-22070.53887</v>
      </c>
      <c r="E25" s="32">
        <f>IF(OR(-32253.08401="",-22070.53887="",-32253.08401=0,-22070.53887=0),"-",-22070.53887/-32253.08401*100)</f>
        <v>68.429235676058383</v>
      </c>
    </row>
    <row r="26" spans="1:5" x14ac:dyDescent="0.25">
      <c r="A26" s="55" t="s">
        <v>213</v>
      </c>
      <c r="B26" s="56" t="s">
        <v>132</v>
      </c>
      <c r="C26" s="32">
        <v>2845.6321499999999</v>
      </c>
      <c r="D26" s="32">
        <v>1781.28405</v>
      </c>
      <c r="E26" s="32">
        <f>IF(OR(2845.63215="",1781.28405="",2845.63215=0,1781.28405=0),"-",1781.28405/2845.63215*100)</f>
        <v>62.597129780108794</v>
      </c>
    </row>
    <row r="27" spans="1:5" ht="28.5" customHeight="1" x14ac:dyDescent="0.25">
      <c r="A27" s="55" t="s">
        <v>214</v>
      </c>
      <c r="B27" s="56" t="s">
        <v>133</v>
      </c>
      <c r="C27" s="32">
        <v>-4598.4386100000002</v>
      </c>
      <c r="D27" s="32">
        <v>-4379.5241299999998</v>
      </c>
      <c r="E27" s="32">
        <f>IF(OR(-4598.43861="",-4379.52413="",-4598.43861=0,-4379.52413=0),"-",-4379.52413/-4598.43861*100)</f>
        <v>95.239373653397536</v>
      </c>
    </row>
    <row r="28" spans="1:5" ht="24" x14ac:dyDescent="0.25">
      <c r="A28" s="55" t="s">
        <v>215</v>
      </c>
      <c r="B28" s="56" t="s">
        <v>134</v>
      </c>
      <c r="C28" s="32">
        <v>-3739.3728299999998</v>
      </c>
      <c r="D28" s="32">
        <v>-310.82281999999998</v>
      </c>
      <c r="E28" s="32">
        <f>IF(OR(-3739.37283="",-310.82282="",-3739.37283=0,-310.82282=0),"-",-310.82282/-3739.37283*100)</f>
        <v>8.3121644759878084</v>
      </c>
    </row>
    <row r="29" spans="1:5" x14ac:dyDescent="0.25">
      <c r="A29" s="55" t="s">
        <v>216</v>
      </c>
      <c r="B29" s="56" t="s">
        <v>135</v>
      </c>
      <c r="C29" s="32">
        <v>41232.736219999999</v>
      </c>
      <c r="D29" s="32">
        <v>20196.383900000001</v>
      </c>
      <c r="E29" s="32">
        <f>IF(OR(41232.73622="",20196.3839="",41232.73622=0,20196.3839=0),"-",20196.3839/41232.73622*100)</f>
        <v>48.981430172959797</v>
      </c>
    </row>
    <row r="30" spans="1:5" x14ac:dyDescent="0.25">
      <c r="A30" s="55" t="s">
        <v>217</v>
      </c>
      <c r="B30" s="56" t="s">
        <v>136</v>
      </c>
      <c r="C30" s="32">
        <v>-26873.447550000001</v>
      </c>
      <c r="D30" s="32">
        <v>-30940.16345</v>
      </c>
      <c r="E30" s="32">
        <f>IF(OR(-26873.44755="",-30940.16345="",-26873.44755=0,-30940.16345=0),"-",-30940.16345/-26873.44755*100)</f>
        <v>115.13284029685281</v>
      </c>
    </row>
    <row r="31" spans="1:5" ht="15.75" customHeight="1" x14ac:dyDescent="0.25">
      <c r="A31" s="53" t="s">
        <v>218</v>
      </c>
      <c r="B31" s="54" t="s">
        <v>137</v>
      </c>
      <c r="C31" s="31">
        <v>-1045459.43759</v>
      </c>
      <c r="D31" s="31">
        <v>-897256.66686</v>
      </c>
      <c r="E31" s="31">
        <f>IF(-1045459.43759="","-",-897256.66686/-1045459.43759*100)</f>
        <v>85.824149134696412</v>
      </c>
    </row>
    <row r="32" spans="1:5" x14ac:dyDescent="0.25">
      <c r="A32" s="55" t="s">
        <v>219</v>
      </c>
      <c r="B32" s="56" t="s">
        <v>181</v>
      </c>
      <c r="C32" s="32">
        <v>-13917.279490000001</v>
      </c>
      <c r="D32" s="32">
        <v>-11545.045190000001</v>
      </c>
      <c r="E32" s="32">
        <f>IF(OR(-13917.27949="",-11545.04519="",-13917.27949=0,-11545.04519=0),"-",-11545.04519/-13917.27949*100)</f>
        <v>82.954755620848715</v>
      </c>
    </row>
    <row r="33" spans="1:5" x14ac:dyDescent="0.25">
      <c r="A33" s="55" t="s">
        <v>220</v>
      </c>
      <c r="B33" s="56" t="s">
        <v>138</v>
      </c>
      <c r="C33" s="32">
        <v>-549942.85867999995</v>
      </c>
      <c r="D33" s="32">
        <v>-505172.47821999999</v>
      </c>
      <c r="E33" s="32">
        <f>IF(OR(-549942.85868="",-505172.47822="",-549942.85868=0,-505172.47822=0),"-",-505172.47822/-549942.85868*100)</f>
        <v>91.859085038860215</v>
      </c>
    </row>
    <row r="34" spans="1:5" x14ac:dyDescent="0.25">
      <c r="A34" s="55" t="s">
        <v>265</v>
      </c>
      <c r="B34" s="56" t="s">
        <v>182</v>
      </c>
      <c r="C34" s="32">
        <v>-461226.47675999999</v>
      </c>
      <c r="D34" s="32">
        <v>-377049.12284999999</v>
      </c>
      <c r="E34" s="32">
        <f>IF(OR(-461226.47676="",-377049.12285="",-461226.47676=0,-377049.12285=0),"-",-377049.12285/-461226.47676*100)</f>
        <v>81.749236405220117</v>
      </c>
    </row>
    <row r="35" spans="1:5" x14ac:dyDescent="0.25">
      <c r="A35" s="55" t="s">
        <v>270</v>
      </c>
      <c r="B35" s="56" t="s">
        <v>272</v>
      </c>
      <c r="C35" s="32">
        <v>-20372.822660000002</v>
      </c>
      <c r="D35" s="32">
        <v>-3490.0205999999998</v>
      </c>
      <c r="E35" s="32">
        <f>IF(OR(-20372.82266="",-3490.0206="",-20372.82266=0,-3490.0206=0),"-",-3490.0206/-20372.82266*100)</f>
        <v>17.130766110541501</v>
      </c>
    </row>
    <row r="36" spans="1:5" x14ac:dyDescent="0.25">
      <c r="A36" s="53" t="s">
        <v>221</v>
      </c>
      <c r="B36" s="54" t="s">
        <v>139</v>
      </c>
      <c r="C36" s="31">
        <v>210142.44594000001</v>
      </c>
      <c r="D36" s="31">
        <v>139242.76884</v>
      </c>
      <c r="E36" s="31">
        <f>IF(210142.44594="","-",139242.76884/210142.44594*100)</f>
        <v>66.261134544782394</v>
      </c>
    </row>
    <row r="37" spans="1:5" x14ac:dyDescent="0.25">
      <c r="A37" s="55" t="s">
        <v>222</v>
      </c>
      <c r="B37" s="56" t="s">
        <v>185</v>
      </c>
      <c r="C37" s="32">
        <v>-1351.7724000000001</v>
      </c>
      <c r="D37" s="32">
        <v>-1753.59033</v>
      </c>
      <c r="E37" s="32">
        <f>IF(OR(-1351.7724="",-1753.59033="",-1351.7724=0,-1753.59033=0),"-",-1753.59033/-1351.7724*100)</f>
        <v>129.72526514078848</v>
      </c>
    </row>
    <row r="38" spans="1:5" ht="14.25" customHeight="1" x14ac:dyDescent="0.25">
      <c r="A38" s="55" t="s">
        <v>223</v>
      </c>
      <c r="B38" s="56" t="s">
        <v>140</v>
      </c>
      <c r="C38" s="32">
        <v>213304.56950000001</v>
      </c>
      <c r="D38" s="32">
        <v>142923.01191999999</v>
      </c>
      <c r="E38" s="32">
        <f>IF(OR(213304.5695="",142923.01192="",213304.5695=0,142923.01192=0),"-",142923.01192/213304.5695*100)</f>
        <v>67.004196044660915</v>
      </c>
    </row>
    <row r="39" spans="1:5" ht="40.5" customHeight="1" x14ac:dyDescent="0.25">
      <c r="A39" s="55" t="s">
        <v>224</v>
      </c>
      <c r="B39" s="56" t="s">
        <v>183</v>
      </c>
      <c r="C39" s="32">
        <v>-1810.3511599999999</v>
      </c>
      <c r="D39" s="32">
        <v>-1926.65275</v>
      </c>
      <c r="E39" s="32">
        <f>IF(OR(-1810.35116="",-1926.65275="",-1810.35116=0,-1926.65275=0),"-",-1926.65275/-1810.35116*100)</f>
        <v>106.42425583332684</v>
      </c>
    </row>
    <row r="40" spans="1:5" ht="15" customHeight="1" x14ac:dyDescent="0.25">
      <c r="A40" s="53" t="s">
        <v>225</v>
      </c>
      <c r="B40" s="54" t="s">
        <v>141</v>
      </c>
      <c r="C40" s="31">
        <v>-569668.40486999997</v>
      </c>
      <c r="D40" s="31">
        <v>-577295.25855000003</v>
      </c>
      <c r="E40" s="31">
        <f>IF(-569668.40487="","-",-577295.25855/-569668.40487*100)</f>
        <v>101.33882336018627</v>
      </c>
    </row>
    <row r="41" spans="1:5" x14ac:dyDescent="0.25">
      <c r="A41" s="55" t="s">
        <v>226</v>
      </c>
      <c r="B41" s="56" t="s">
        <v>22</v>
      </c>
      <c r="C41" s="32">
        <v>18244.686389999999</v>
      </c>
      <c r="D41" s="32">
        <v>7321.3307999999997</v>
      </c>
      <c r="E41" s="32">
        <f>IF(OR(18244.68639="",7321.3308="",18244.68639=0,7321.3308=0),"-",7321.3308/18244.68639*100)</f>
        <v>40.128564796887147</v>
      </c>
    </row>
    <row r="42" spans="1:5" x14ac:dyDescent="0.25">
      <c r="A42" s="55" t="s">
        <v>227</v>
      </c>
      <c r="B42" s="56" t="s">
        <v>23</v>
      </c>
      <c r="C42" s="32">
        <v>-13808.279780000001</v>
      </c>
      <c r="D42" s="32">
        <v>-16291.851790000001</v>
      </c>
      <c r="E42" s="32">
        <f>IF(OR(-13808.27978="",-16291.85179="",-13808.27978=0,-16291.85179=0),"-",-16291.85179/-13808.27978*100)</f>
        <v>117.98610724557609</v>
      </c>
    </row>
    <row r="43" spans="1:5" x14ac:dyDescent="0.25">
      <c r="A43" s="55" t="s">
        <v>228</v>
      </c>
      <c r="B43" s="56" t="s">
        <v>142</v>
      </c>
      <c r="C43" s="32">
        <v>-26143.90034</v>
      </c>
      <c r="D43" s="32">
        <v>-26342.834439999999</v>
      </c>
      <c r="E43" s="32">
        <f>IF(OR(-26143.90034="",-26342.83444="",-26143.90034=0,-26342.83444=0),"-",-26342.83444/-26143.90034*100)</f>
        <v>100.76091974576428</v>
      </c>
    </row>
    <row r="44" spans="1:5" x14ac:dyDescent="0.25">
      <c r="A44" s="55" t="s">
        <v>229</v>
      </c>
      <c r="B44" s="56" t="s">
        <v>143</v>
      </c>
      <c r="C44" s="32">
        <v>-137065.12143</v>
      </c>
      <c r="D44" s="32">
        <v>-146088.55400999999</v>
      </c>
      <c r="E44" s="32">
        <f>IF(OR(-137065.12143="",-146088.55401="",-137065.12143=0,-146088.55401=0),"-",-146088.55401/-137065.12143*100)</f>
        <v>106.58331783159608</v>
      </c>
    </row>
    <row r="45" spans="1:5" ht="28.5" customHeight="1" x14ac:dyDescent="0.25">
      <c r="A45" s="55" t="s">
        <v>230</v>
      </c>
      <c r="B45" s="56" t="s">
        <v>144</v>
      </c>
      <c r="C45" s="32">
        <v>-73457.963889999999</v>
      </c>
      <c r="D45" s="32">
        <v>-87694.054459999999</v>
      </c>
      <c r="E45" s="32">
        <f>IF(OR(-73457.96389="",-87694.05446="",-73457.96389=0,-87694.05446=0),"-",-87694.05446/-73457.96389*100)</f>
        <v>119.37991446552741</v>
      </c>
    </row>
    <row r="46" spans="1:5" x14ac:dyDescent="0.25">
      <c r="A46" s="55" t="s">
        <v>231</v>
      </c>
      <c r="B46" s="56" t="s">
        <v>145</v>
      </c>
      <c r="C46" s="32">
        <v>-89405.914300000004</v>
      </c>
      <c r="D46" s="32">
        <v>-90422.882629999993</v>
      </c>
      <c r="E46" s="32">
        <f>IF(OR(-89405.9143="",-90422.88263="",-89405.9143=0,-90422.88263=0),"-",-90422.88263/-89405.9143*100)</f>
        <v>101.13747321747371</v>
      </c>
    </row>
    <row r="47" spans="1:5" x14ac:dyDescent="0.25">
      <c r="A47" s="55" t="s">
        <v>232</v>
      </c>
      <c r="B47" s="56" t="s">
        <v>24</v>
      </c>
      <c r="C47" s="32">
        <v>-42376.564550000003</v>
      </c>
      <c r="D47" s="32">
        <v>-29403.782360000001</v>
      </c>
      <c r="E47" s="32">
        <f>IF(OR(-42376.56455="",-29403.78236="",-42376.56455=0,-29403.78236=0),"-",-29403.78236/-42376.56455*100)</f>
        <v>69.386895026156608</v>
      </c>
    </row>
    <row r="48" spans="1:5" x14ac:dyDescent="0.25">
      <c r="A48" s="55" t="s">
        <v>233</v>
      </c>
      <c r="B48" s="56" t="s">
        <v>25</v>
      </c>
      <c r="C48" s="32">
        <v>-82782.735400000005</v>
      </c>
      <c r="D48" s="32">
        <v>-78238.272830000002</v>
      </c>
      <c r="E48" s="32">
        <f>IF(OR(-82782.7354="",-78238.27283="",-82782.7354=0,-78238.27283=0),"-",-78238.27283/-82782.7354*100)</f>
        <v>94.510373995203835</v>
      </c>
    </row>
    <row r="49" spans="1:5" x14ac:dyDescent="0.25">
      <c r="A49" s="55" t="s">
        <v>234</v>
      </c>
      <c r="B49" s="56" t="s">
        <v>146</v>
      </c>
      <c r="C49" s="32">
        <v>-122872.61156999999</v>
      </c>
      <c r="D49" s="32">
        <v>-110134.35683</v>
      </c>
      <c r="E49" s="32">
        <f>IF(OR(-122872.61157="",-110134.35683="",-122872.61157=0,-110134.35683=0),"-",-110134.35683/-122872.61157*100)</f>
        <v>89.632958413402761</v>
      </c>
    </row>
    <row r="50" spans="1:5" ht="24" x14ac:dyDescent="0.25">
      <c r="A50" s="53" t="s">
        <v>235</v>
      </c>
      <c r="B50" s="54" t="s">
        <v>369</v>
      </c>
      <c r="C50" s="31">
        <v>-582506.10733000003</v>
      </c>
      <c r="D50" s="31">
        <v>-514759.26672000001</v>
      </c>
      <c r="E50" s="31">
        <f>IF(-582506.10733="","-",-514759.26672/-582506.10733*100)</f>
        <v>88.369763036386459</v>
      </c>
    </row>
    <row r="51" spans="1:5" x14ac:dyDescent="0.25">
      <c r="A51" s="55" t="s">
        <v>236</v>
      </c>
      <c r="B51" s="56" t="s">
        <v>147</v>
      </c>
      <c r="C51" s="32">
        <v>-31781.32718</v>
      </c>
      <c r="D51" s="32">
        <v>-25772.791020000001</v>
      </c>
      <c r="E51" s="32">
        <f>IF(OR(-31781.32718="",-25772.79102="",-31781.32718=0,-25772.79102=0),"-",-25772.79102/-31781.32718*100)</f>
        <v>81.094130758072396</v>
      </c>
    </row>
    <row r="52" spans="1:5" x14ac:dyDescent="0.25">
      <c r="A52" s="55" t="s">
        <v>237</v>
      </c>
      <c r="B52" s="56" t="s">
        <v>26</v>
      </c>
      <c r="C52" s="32">
        <v>-46916.192260000003</v>
      </c>
      <c r="D52" s="32">
        <v>-39293.331890000001</v>
      </c>
      <c r="E52" s="32">
        <f>IF(OR(-46916.19226="",-39293.33189="",-46916.19226=0,-39293.33189=0),"-",-39293.33189/-46916.19226*100)</f>
        <v>83.752175948645487</v>
      </c>
    </row>
    <row r="53" spans="1:5" x14ac:dyDescent="0.25">
      <c r="A53" s="55" t="s">
        <v>238</v>
      </c>
      <c r="B53" s="56" t="s">
        <v>148</v>
      </c>
      <c r="C53" s="32">
        <v>-42894.52579</v>
      </c>
      <c r="D53" s="32">
        <v>-44246.228419999999</v>
      </c>
      <c r="E53" s="32">
        <f>IF(OR(-42894.52579="",-44246.22842="",-42894.52579=0,-44246.22842=0),"-",-44246.22842/-42894.52579*100)</f>
        <v>103.15122409003324</v>
      </c>
    </row>
    <row r="54" spans="1:5" ht="24" x14ac:dyDescent="0.25">
      <c r="A54" s="55" t="s">
        <v>239</v>
      </c>
      <c r="B54" s="56" t="s">
        <v>149</v>
      </c>
      <c r="C54" s="32">
        <v>-68525.152570000006</v>
      </c>
      <c r="D54" s="32">
        <v>-59691.77</v>
      </c>
      <c r="E54" s="32">
        <f>IF(OR(-68525.15257="",-59691.77="",-68525.15257=0,-59691.77=0),"-",-59691.77/-68525.15257*100)</f>
        <v>87.10928434493232</v>
      </c>
    </row>
    <row r="55" spans="1:5" ht="24" x14ac:dyDescent="0.25">
      <c r="A55" s="55" t="s">
        <v>240</v>
      </c>
      <c r="B55" s="56" t="s">
        <v>150</v>
      </c>
      <c r="C55" s="32">
        <v>-138175.37195999999</v>
      </c>
      <c r="D55" s="32">
        <v>-129142.47276999999</v>
      </c>
      <c r="E55" s="32">
        <f>IF(OR(-138175.37196="",-129142.47277="",-138175.37196=0,-129142.47277=0),"-",-129142.47277/-138175.37196*100)</f>
        <v>93.462728515313927</v>
      </c>
    </row>
    <row r="56" spans="1:5" x14ac:dyDescent="0.25">
      <c r="A56" s="55" t="s">
        <v>241</v>
      </c>
      <c r="B56" s="56" t="s">
        <v>27</v>
      </c>
      <c r="C56" s="32">
        <v>-39997.757919999996</v>
      </c>
      <c r="D56" s="32">
        <v>-34317.823279999997</v>
      </c>
      <c r="E56" s="32">
        <f>IF(OR(-39997.75792="",-34317.82328="",-39997.75792=0,-34317.82328=0),"-",-34317.82328/-39997.75792*100)</f>
        <v>85.799367426142965</v>
      </c>
    </row>
    <row r="57" spans="1:5" x14ac:dyDescent="0.25">
      <c r="A57" s="55" t="s">
        <v>242</v>
      </c>
      <c r="B57" s="56" t="s">
        <v>151</v>
      </c>
      <c r="C57" s="32">
        <v>-105888.41434</v>
      </c>
      <c r="D57" s="32">
        <v>-74876.033339999994</v>
      </c>
      <c r="E57" s="32">
        <f>IF(OR(-105888.41434="",-74876.03334="",-105888.41434=0,-74876.03334=0),"-",-74876.03334/-105888.41434*100)</f>
        <v>70.712205680574741</v>
      </c>
    </row>
    <row r="58" spans="1:5" x14ac:dyDescent="0.25">
      <c r="A58" s="55" t="s">
        <v>243</v>
      </c>
      <c r="B58" s="56" t="s">
        <v>28</v>
      </c>
      <c r="C58" s="32">
        <v>-18769.676940000001</v>
      </c>
      <c r="D58" s="32">
        <v>-19817.718629999999</v>
      </c>
      <c r="E58" s="32">
        <f>IF(OR(-18769.67694="",-19817.71863="",-18769.67694=0,-19817.71863=0),"-",-19817.71863/-18769.67694*100)</f>
        <v>105.58369594399635</v>
      </c>
    </row>
    <row r="59" spans="1:5" x14ac:dyDescent="0.25">
      <c r="A59" s="55" t="s">
        <v>244</v>
      </c>
      <c r="B59" s="56" t="s">
        <v>29</v>
      </c>
      <c r="C59" s="32">
        <v>-89557.688370000003</v>
      </c>
      <c r="D59" s="32">
        <v>-87601.097370000003</v>
      </c>
      <c r="E59" s="32">
        <f>IF(OR(-89557.68837="",-87601.09737="",-89557.68837=0,-87601.09737=0),"-",-87601.09737/-89557.68837*100)</f>
        <v>97.81527299820813</v>
      </c>
    </row>
    <row r="60" spans="1:5" x14ac:dyDescent="0.25">
      <c r="A60" s="53" t="s">
        <v>245</v>
      </c>
      <c r="B60" s="54" t="s">
        <v>152</v>
      </c>
      <c r="C60" s="31">
        <v>-709955.30582000001</v>
      </c>
      <c r="D60" s="31">
        <v>-716680.86568000005</v>
      </c>
      <c r="E60" s="31">
        <f>IF(-709955.30582="","-",-716680.86568/-709955.30582*100)</f>
        <v>100.94732158557953</v>
      </c>
    </row>
    <row r="61" spans="1:5" ht="16.5" customHeight="1" x14ac:dyDescent="0.25">
      <c r="A61" s="55" t="s">
        <v>246</v>
      </c>
      <c r="B61" s="56" t="s">
        <v>153</v>
      </c>
      <c r="C61" s="32">
        <v>-13502.50308</v>
      </c>
      <c r="D61" s="32">
        <v>-23291.164830000002</v>
      </c>
      <c r="E61" s="32" t="s">
        <v>98</v>
      </c>
    </row>
    <row r="62" spans="1:5" ht="15" customHeight="1" x14ac:dyDescent="0.25">
      <c r="A62" s="55" t="s">
        <v>247</v>
      </c>
      <c r="B62" s="56" t="s">
        <v>154</v>
      </c>
      <c r="C62" s="32">
        <v>-183644.30032000001</v>
      </c>
      <c r="D62" s="32">
        <v>-111587.12937</v>
      </c>
      <c r="E62" s="32">
        <f>IF(OR(-183644.30032="",-111587.12937="",-183644.30032=0,-111587.12937=0),"-",-111587.12937/-183644.30032*100)</f>
        <v>60.762642333881054</v>
      </c>
    </row>
    <row r="63" spans="1:5" x14ac:dyDescent="0.25">
      <c r="A63" s="55" t="s">
        <v>248</v>
      </c>
      <c r="B63" s="56" t="s">
        <v>155</v>
      </c>
      <c r="C63" s="32">
        <v>-4241.7193799999995</v>
      </c>
      <c r="D63" s="32">
        <v>-6345.5235499999999</v>
      </c>
      <c r="E63" s="32">
        <f>IF(OR(-4241.71938="",-6345.52355="",-4241.71938=0,-6345.52355=0),"-",-6345.52355/-4241.71938*100)</f>
        <v>149.59791022290588</v>
      </c>
    </row>
    <row r="64" spans="1:5" ht="24" x14ac:dyDescent="0.25">
      <c r="A64" s="55" t="s">
        <v>249</v>
      </c>
      <c r="B64" s="56" t="s">
        <v>156</v>
      </c>
      <c r="C64" s="32">
        <v>-124404.01152</v>
      </c>
      <c r="D64" s="32">
        <v>-117711.15138</v>
      </c>
      <c r="E64" s="32">
        <f>IF(OR(-124404.01152="",-117711.15138="",-124404.01152=0,-117711.15138=0),"-",-117711.15138/-124404.01152*100)</f>
        <v>94.620060833871094</v>
      </c>
    </row>
    <row r="65" spans="1:5" ht="27.75" customHeight="1" x14ac:dyDescent="0.25">
      <c r="A65" s="55" t="s">
        <v>250</v>
      </c>
      <c r="B65" s="56" t="s">
        <v>157</v>
      </c>
      <c r="C65" s="32">
        <v>-46539.13882</v>
      </c>
      <c r="D65" s="32">
        <v>-43459.744180000002</v>
      </c>
      <c r="E65" s="32">
        <f>IF(OR(-46539.13882="",-43459.74418="",-46539.13882=0,-43459.74418=0),"-",-43459.74418/-46539.13882*100)</f>
        <v>93.383215250479367</v>
      </c>
    </row>
    <row r="66" spans="1:5" ht="29.25" customHeight="1" x14ac:dyDescent="0.25">
      <c r="A66" s="55" t="s">
        <v>251</v>
      </c>
      <c r="B66" s="56" t="s">
        <v>158</v>
      </c>
      <c r="C66" s="32">
        <v>-97692.167119999998</v>
      </c>
      <c r="D66" s="32">
        <v>-118399.07748000001</v>
      </c>
      <c r="E66" s="32">
        <f>IF(OR(-97692.16712="",-118399.07748="",-97692.16712=0,-118399.07748=0),"-",-118399.07748/-97692.16712*100)</f>
        <v>121.19608047446089</v>
      </c>
    </row>
    <row r="67" spans="1:5" ht="15" customHeight="1" x14ac:dyDescent="0.25">
      <c r="A67" s="55" t="s">
        <v>252</v>
      </c>
      <c r="B67" s="56" t="s">
        <v>159</v>
      </c>
      <c r="C67" s="32">
        <v>3238.63321</v>
      </c>
      <c r="D67" s="32">
        <v>-12305.59636</v>
      </c>
      <c r="E67" s="32" t="s">
        <v>19</v>
      </c>
    </row>
    <row r="68" spans="1:5" x14ac:dyDescent="0.25">
      <c r="A68" s="55" t="s">
        <v>253</v>
      </c>
      <c r="B68" s="56" t="s">
        <v>160</v>
      </c>
      <c r="C68" s="32">
        <v>-239854.41886000001</v>
      </c>
      <c r="D68" s="32">
        <v>-284391.65084000002</v>
      </c>
      <c r="E68" s="32">
        <f>IF(OR(-239854.41886="",-284391.65084="",-239854.41886=0,-284391.65084=0),"-",-284391.65084/-239854.41886*100)</f>
        <v>118.56844338815198</v>
      </c>
    </row>
    <row r="69" spans="1:5" x14ac:dyDescent="0.25">
      <c r="A69" s="55" t="s">
        <v>254</v>
      </c>
      <c r="B69" s="56" t="s">
        <v>30</v>
      </c>
      <c r="C69" s="32">
        <v>-3315.6799299999998</v>
      </c>
      <c r="D69" s="32">
        <v>810.17231000000004</v>
      </c>
      <c r="E69" s="32" t="s">
        <v>19</v>
      </c>
    </row>
    <row r="70" spans="1:5" x14ac:dyDescent="0.25">
      <c r="A70" s="53" t="s">
        <v>255</v>
      </c>
      <c r="B70" s="54" t="s">
        <v>31</v>
      </c>
      <c r="C70" s="31">
        <v>-72634.762480000005</v>
      </c>
      <c r="D70" s="31">
        <v>-104287.30789</v>
      </c>
      <c r="E70" s="31">
        <f>IF(-72634.76248="","-",-104287.30789/-72634.76248*100)</f>
        <v>143.57768144242988</v>
      </c>
    </row>
    <row r="71" spans="1:5" ht="24" x14ac:dyDescent="0.25">
      <c r="A71" s="55" t="s">
        <v>256</v>
      </c>
      <c r="B71" s="56" t="s">
        <v>186</v>
      </c>
      <c r="C71" s="32">
        <v>-24391.21833</v>
      </c>
      <c r="D71" s="32">
        <v>-17063.659670000001</v>
      </c>
      <c r="E71" s="32">
        <f>IF(OR(-24391.21833="",-17063.65967="",-24391.21833=0,-17063.65967=0),"-",-17063.65967/-24391.21833*100)</f>
        <v>69.958209709486056</v>
      </c>
    </row>
    <row r="72" spans="1:5" x14ac:dyDescent="0.25">
      <c r="A72" s="55" t="s">
        <v>257</v>
      </c>
      <c r="B72" s="56" t="s">
        <v>161</v>
      </c>
      <c r="C72" s="32">
        <v>43838.61333</v>
      </c>
      <c r="D72" s="32">
        <v>44092.888160000002</v>
      </c>
      <c r="E72" s="32">
        <f>IF(OR(43838.61333="",44092.88816="",43838.61333=0,44092.88816=0),"-",44092.88816/43838.61333*100)</f>
        <v>100.58002480161934</v>
      </c>
    </row>
    <row r="73" spans="1:5" x14ac:dyDescent="0.25">
      <c r="A73" s="55" t="s">
        <v>258</v>
      </c>
      <c r="B73" s="56" t="s">
        <v>162</v>
      </c>
      <c r="C73" s="32">
        <v>-905.76846999999998</v>
      </c>
      <c r="D73" s="32">
        <v>-2111.7993000000001</v>
      </c>
      <c r="E73" s="32" t="s">
        <v>289</v>
      </c>
    </row>
    <row r="74" spans="1:5" x14ac:dyDescent="0.25">
      <c r="A74" s="55" t="s">
        <v>259</v>
      </c>
      <c r="B74" s="56" t="s">
        <v>163</v>
      </c>
      <c r="C74" s="32">
        <v>69431.687319999997</v>
      </c>
      <c r="D74" s="32">
        <v>62495.595300000001</v>
      </c>
      <c r="E74" s="32">
        <f>IF(OR(69431.68732="",62495.5953="",69431.68732=0,62495.5953=0),"-",62495.5953/69431.68732*100)</f>
        <v>90.010192337638856</v>
      </c>
    </row>
    <row r="75" spans="1:5" x14ac:dyDescent="0.25">
      <c r="A75" s="55" t="s">
        <v>260</v>
      </c>
      <c r="B75" s="56" t="s">
        <v>164</v>
      </c>
      <c r="C75" s="32">
        <v>-9539.5635299999994</v>
      </c>
      <c r="D75" s="32">
        <v>-14475.281080000001</v>
      </c>
      <c r="E75" s="32">
        <f>IF(OR(-9539.56353="",-14475.28108="",-9539.56353=0,-14475.28108=0),"-",-14475.28108/-9539.56353*100)</f>
        <v>151.73944839801283</v>
      </c>
    </row>
    <row r="76" spans="1:5" x14ac:dyDescent="0.25">
      <c r="A76" s="55" t="s">
        <v>261</v>
      </c>
      <c r="B76" s="56" t="s">
        <v>295</v>
      </c>
      <c r="C76" s="32">
        <v>-28283.45491</v>
      </c>
      <c r="D76" s="32">
        <v>-29783.189139999999</v>
      </c>
      <c r="E76" s="32">
        <f>IF(OR(-28283.45491="",-29783.18914="",-28283.45491=0,-29783.18914=0),"-",-29783.18914/-28283.45491*100)</f>
        <v>105.30251426062432</v>
      </c>
    </row>
    <row r="77" spans="1:5" ht="24" x14ac:dyDescent="0.25">
      <c r="A77" s="55" t="s">
        <v>262</v>
      </c>
      <c r="B77" s="56" t="s">
        <v>165</v>
      </c>
      <c r="C77" s="32">
        <v>-5175.1035199999997</v>
      </c>
      <c r="D77" s="32">
        <v>-7024.3946800000003</v>
      </c>
      <c r="E77" s="32">
        <f>IF(OR(-5175.10352="",-7024.39468="",-5175.10352=0,-7024.39468=0),"-",-7024.39468/-5175.10352*100)</f>
        <v>135.73438005352213</v>
      </c>
    </row>
    <row r="78" spans="1:5" x14ac:dyDescent="0.25">
      <c r="A78" s="55" t="s">
        <v>263</v>
      </c>
      <c r="B78" s="56" t="s">
        <v>32</v>
      </c>
      <c r="C78" s="32">
        <v>-117609.95437000001</v>
      </c>
      <c r="D78" s="32">
        <v>-140417.46747999999</v>
      </c>
      <c r="E78" s="32">
        <f>IF(OR(-117609.95437="",-140417.46748="",-117609.95437=0,-140417.46748=0),"-",-140417.46748/-117609.95437*100)</f>
        <v>119.39250230320448</v>
      </c>
    </row>
    <row r="79" spans="1:5" x14ac:dyDescent="0.25">
      <c r="A79" s="58" t="s">
        <v>266</v>
      </c>
      <c r="B79" s="59" t="s">
        <v>166</v>
      </c>
      <c r="C79" s="67">
        <v>-11616.4107</v>
      </c>
      <c r="D79" s="67">
        <v>1884.3382300000001</v>
      </c>
      <c r="E79" s="67" t="s">
        <v>19</v>
      </c>
    </row>
    <row r="80" spans="1:5" s="28" customFormat="1" ht="11.25" x14ac:dyDescent="0.2">
      <c r="A80" s="10" t="s">
        <v>269</v>
      </c>
      <c r="B80" s="11"/>
      <c r="C80" s="51"/>
      <c r="D80" s="51"/>
      <c r="E80" s="51"/>
    </row>
    <row r="81" spans="3:5" x14ac:dyDescent="0.25">
      <c r="C81" s="32"/>
      <c r="D81" s="32"/>
      <c r="E81" s="68"/>
    </row>
    <row r="82" spans="3:5" x14ac:dyDescent="0.25">
      <c r="C82" s="32"/>
      <c r="D82" s="32"/>
      <c r="E82" s="68"/>
    </row>
  </sheetData>
  <mergeCells count="3">
    <mergeCell ref="B1:E1"/>
    <mergeCell ref="B2:E2"/>
    <mergeCell ref="A3:E3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Comerciala_Tari'!Print_Titles</vt:lpstr>
      <vt:lpstr>Balanta_Comerciala_Gr_Marf_CSCI!Print_Titles</vt:lpstr>
      <vt:lpstr>Export_Grupe_Marfuri_CSCI!Print_Titles</vt:lpstr>
      <vt:lpstr>Export_Tari!Print_Titles</vt:lpstr>
      <vt:lpstr>Import_Grupe_Marfuri_CSCI!Print_Titles</vt:lpstr>
      <vt:lpstr>Import_Tari!Print_Titles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Corina Vicol</cp:lastModifiedBy>
  <cp:lastPrinted>2023-09-13T06:45:34Z</cp:lastPrinted>
  <dcterms:created xsi:type="dcterms:W3CDTF">2016-09-01T07:59:47Z</dcterms:created>
  <dcterms:modified xsi:type="dcterms:W3CDTF">2023-09-15T05:46:43Z</dcterms:modified>
</cp:coreProperties>
</file>