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_Ext\"/>
    </mc:Choice>
  </mc:AlternateContent>
  <xr:revisionPtr revIDLastSave="0" documentId="13_ncr:1_{F7572F0D-A713-4CC2-B203-EF274D0392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 Export_Tari" sheetId="1" r:id="rId1"/>
    <sheet name="2. Import_Tari" sheetId="2" r:id="rId2"/>
    <sheet name="3. Balanta Comerciala_Tari" sheetId="3" r:id="rId3"/>
    <sheet name="4. Export_Moduri_Transport" sheetId="7" r:id="rId4"/>
    <sheet name="5. Import_Moduri_Transport" sheetId="8" r:id="rId5"/>
    <sheet name="6. Export_Grupe_Marfuri_CSCI" sheetId="5" r:id="rId6"/>
    <sheet name="7. Import_Grupe_Marfuri_CSCI" sheetId="6" r:id="rId7"/>
    <sheet name="8. Balanta_Comerciala_CSCI" sheetId="4" r:id="rId8"/>
  </sheets>
  <definedNames>
    <definedName name="_xlnm.Print_Titles" localSheetId="0">'1. Export_Tari'!$3:$4</definedName>
    <definedName name="_xlnm.Print_Titles" localSheetId="1">'2. Import_Tari'!$3:$4</definedName>
    <definedName name="_xlnm.Print_Titles" localSheetId="2">'3. Balanta Comerciala_Tari'!$3:$4</definedName>
    <definedName name="_xlnm.Print_Titles" localSheetId="5">'6. Export_Grupe_Marfuri_CSCI'!$4:$5</definedName>
    <definedName name="_xlnm.Print_Titles" localSheetId="6">'7. Import_Grupe_Marfuri_CSCI'!$4:$5</definedName>
    <definedName name="_xlnm.Print_Titles" localSheetId="7">'8. Balanta_Comerciala_CSCI'!$4:$4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4" l="1"/>
  <c r="E78" i="4"/>
  <c r="E77" i="4"/>
  <c r="E75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2" i="4"/>
  <c r="E21" i="4"/>
  <c r="E20" i="4"/>
  <c r="E19" i="4"/>
  <c r="E18" i="4"/>
  <c r="E16" i="4"/>
  <c r="E14" i="4"/>
  <c r="E13" i="4"/>
  <c r="E12" i="4"/>
  <c r="E11" i="4"/>
  <c r="E10" i="4"/>
  <c r="E9" i="4"/>
  <c r="E6" i="4"/>
  <c r="I79" i="6" l="1"/>
  <c r="H79" i="6"/>
  <c r="G79" i="6"/>
  <c r="F79" i="6"/>
  <c r="E79" i="6"/>
  <c r="I78" i="6"/>
  <c r="H78" i="6"/>
  <c r="G78" i="6"/>
  <c r="F78" i="6"/>
  <c r="E78" i="6"/>
  <c r="I77" i="6"/>
  <c r="H77" i="6"/>
  <c r="G77" i="6"/>
  <c r="F77" i="6"/>
  <c r="E77" i="6"/>
  <c r="I76" i="6"/>
  <c r="H76" i="6"/>
  <c r="G76" i="6"/>
  <c r="F76" i="6"/>
  <c r="E76" i="6"/>
  <c r="I75" i="6"/>
  <c r="H75" i="6"/>
  <c r="G75" i="6"/>
  <c r="F75" i="6"/>
  <c r="E75" i="6"/>
  <c r="I74" i="6"/>
  <c r="H74" i="6"/>
  <c r="G74" i="6"/>
  <c r="F74" i="6"/>
  <c r="E74" i="6"/>
  <c r="I73" i="6"/>
  <c r="H73" i="6"/>
  <c r="G73" i="6"/>
  <c r="F73" i="6"/>
  <c r="E73" i="6"/>
  <c r="I72" i="6"/>
  <c r="H72" i="6"/>
  <c r="G72" i="6"/>
  <c r="F72" i="6"/>
  <c r="E72" i="6"/>
  <c r="I71" i="6"/>
  <c r="H71" i="6"/>
  <c r="G71" i="6"/>
  <c r="F71" i="6"/>
  <c r="E71" i="6"/>
  <c r="I70" i="6"/>
  <c r="H70" i="6"/>
  <c r="G70" i="6"/>
  <c r="F70" i="6"/>
  <c r="E70" i="6"/>
  <c r="I69" i="6"/>
  <c r="H69" i="6"/>
  <c r="G69" i="6"/>
  <c r="F69" i="6"/>
  <c r="E69" i="6"/>
  <c r="I68" i="6"/>
  <c r="H68" i="6"/>
  <c r="G68" i="6"/>
  <c r="F68" i="6"/>
  <c r="E68" i="6"/>
  <c r="I67" i="6"/>
  <c r="H67" i="6"/>
  <c r="G67" i="6"/>
  <c r="F67" i="6"/>
  <c r="E67" i="6"/>
  <c r="I66" i="6"/>
  <c r="H66" i="6"/>
  <c r="G66" i="6"/>
  <c r="F66" i="6"/>
  <c r="E66" i="6"/>
  <c r="I65" i="6"/>
  <c r="H65" i="6"/>
  <c r="G65" i="6"/>
  <c r="F65" i="6"/>
  <c r="E65" i="6"/>
  <c r="I64" i="6"/>
  <c r="H64" i="6"/>
  <c r="G64" i="6"/>
  <c r="F64" i="6"/>
  <c r="E64" i="6"/>
  <c r="I63" i="6"/>
  <c r="H63" i="6"/>
  <c r="G63" i="6"/>
  <c r="F63" i="6"/>
  <c r="E63" i="6"/>
  <c r="I62" i="6"/>
  <c r="H62" i="6"/>
  <c r="G62" i="6"/>
  <c r="F62" i="6"/>
  <c r="E62" i="6"/>
  <c r="I61" i="6"/>
  <c r="H61" i="6"/>
  <c r="G61" i="6"/>
  <c r="F61" i="6"/>
  <c r="E61" i="6"/>
  <c r="I60" i="6"/>
  <c r="H60" i="6"/>
  <c r="G60" i="6"/>
  <c r="F60" i="6"/>
  <c r="E60" i="6"/>
  <c r="I59" i="6"/>
  <c r="H59" i="6"/>
  <c r="G59" i="6"/>
  <c r="F59" i="6"/>
  <c r="E59" i="6"/>
  <c r="I58" i="6"/>
  <c r="H58" i="6"/>
  <c r="G58" i="6"/>
  <c r="F58" i="6"/>
  <c r="E58" i="6"/>
  <c r="I57" i="6"/>
  <c r="H57" i="6"/>
  <c r="G57" i="6"/>
  <c r="F57" i="6"/>
  <c r="E57" i="6"/>
  <c r="I56" i="6"/>
  <c r="H56" i="6"/>
  <c r="G56" i="6"/>
  <c r="F56" i="6"/>
  <c r="E56" i="6"/>
  <c r="I55" i="6"/>
  <c r="H55" i="6"/>
  <c r="G55" i="6"/>
  <c r="F55" i="6"/>
  <c r="E55" i="6"/>
  <c r="I54" i="6"/>
  <c r="H54" i="6"/>
  <c r="G54" i="6"/>
  <c r="F54" i="6"/>
  <c r="E54" i="6"/>
  <c r="I53" i="6"/>
  <c r="H53" i="6"/>
  <c r="G53" i="6"/>
  <c r="F53" i="6"/>
  <c r="E53" i="6"/>
  <c r="I52" i="6"/>
  <c r="H52" i="6"/>
  <c r="G52" i="6"/>
  <c r="F52" i="6"/>
  <c r="E52" i="6"/>
  <c r="I51" i="6"/>
  <c r="H51" i="6"/>
  <c r="G51" i="6"/>
  <c r="F51" i="6"/>
  <c r="E51" i="6"/>
  <c r="I50" i="6"/>
  <c r="H50" i="6"/>
  <c r="G50" i="6"/>
  <c r="F50" i="6"/>
  <c r="E50" i="6"/>
  <c r="I49" i="6"/>
  <c r="H49" i="6"/>
  <c r="G49" i="6"/>
  <c r="F49" i="6"/>
  <c r="E49" i="6"/>
  <c r="I48" i="6"/>
  <c r="H48" i="6"/>
  <c r="G48" i="6"/>
  <c r="F48" i="6"/>
  <c r="E48" i="6"/>
  <c r="I47" i="6"/>
  <c r="H47" i="6"/>
  <c r="G47" i="6"/>
  <c r="F47" i="6"/>
  <c r="E47" i="6"/>
  <c r="I46" i="6"/>
  <c r="H46" i="6"/>
  <c r="G46" i="6"/>
  <c r="F46" i="6"/>
  <c r="E46" i="6"/>
  <c r="I45" i="6"/>
  <c r="H45" i="6"/>
  <c r="G45" i="6"/>
  <c r="F45" i="6"/>
  <c r="E45" i="6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10" i="6"/>
  <c r="H10" i="6"/>
  <c r="G10" i="6"/>
  <c r="F10" i="6"/>
  <c r="E10" i="6"/>
  <c r="I9" i="6"/>
  <c r="H9" i="6"/>
  <c r="G9" i="6"/>
  <c r="F9" i="6"/>
  <c r="E9" i="6"/>
  <c r="I8" i="6"/>
  <c r="H8" i="6"/>
  <c r="G8" i="6"/>
  <c r="F8" i="6"/>
  <c r="E8" i="6"/>
  <c r="I6" i="6"/>
  <c r="H6" i="6"/>
  <c r="E6" i="6"/>
  <c r="I80" i="5"/>
  <c r="H80" i="5"/>
  <c r="G80" i="5"/>
  <c r="F80" i="5"/>
  <c r="I79" i="5"/>
  <c r="H79" i="5"/>
  <c r="G79" i="5"/>
  <c r="F79" i="5"/>
  <c r="E79" i="5"/>
  <c r="I78" i="5"/>
  <c r="H78" i="5"/>
  <c r="G78" i="5"/>
  <c r="F78" i="5"/>
  <c r="E78" i="5"/>
  <c r="I77" i="5"/>
  <c r="H77" i="5"/>
  <c r="G77" i="5"/>
  <c r="F77" i="5"/>
  <c r="E77" i="5"/>
  <c r="I76" i="5"/>
  <c r="H76" i="5"/>
  <c r="G76" i="5"/>
  <c r="F76" i="5"/>
  <c r="E76" i="5"/>
  <c r="I75" i="5"/>
  <c r="H75" i="5"/>
  <c r="G75" i="5"/>
  <c r="F75" i="5"/>
  <c r="E75" i="5"/>
  <c r="I74" i="5"/>
  <c r="H74" i="5"/>
  <c r="G74" i="5"/>
  <c r="F74" i="5"/>
  <c r="E74" i="5"/>
  <c r="I73" i="5"/>
  <c r="H73" i="5"/>
  <c r="G73" i="5"/>
  <c r="F73" i="5"/>
  <c r="E73" i="5"/>
  <c r="I72" i="5"/>
  <c r="H72" i="5"/>
  <c r="G72" i="5"/>
  <c r="F72" i="5"/>
  <c r="E72" i="5"/>
  <c r="I71" i="5"/>
  <c r="H71" i="5"/>
  <c r="G71" i="5"/>
  <c r="F71" i="5"/>
  <c r="E71" i="5"/>
  <c r="I70" i="5"/>
  <c r="H70" i="5"/>
  <c r="G70" i="5"/>
  <c r="F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E67" i="5"/>
  <c r="I66" i="5"/>
  <c r="H66" i="5"/>
  <c r="G66" i="5"/>
  <c r="F66" i="5"/>
  <c r="I65" i="5"/>
  <c r="H65" i="5"/>
  <c r="G65" i="5"/>
  <c r="F65" i="5"/>
  <c r="E65" i="5"/>
  <c r="I64" i="5"/>
  <c r="H64" i="5"/>
  <c r="G64" i="5"/>
  <c r="F64" i="5"/>
  <c r="E64" i="5"/>
  <c r="I63" i="5"/>
  <c r="H63" i="5"/>
  <c r="G63" i="5"/>
  <c r="F63" i="5"/>
  <c r="I62" i="5"/>
  <c r="H62" i="5"/>
  <c r="G62" i="5"/>
  <c r="F62" i="5"/>
  <c r="E62" i="5"/>
  <c r="I61" i="5"/>
  <c r="H61" i="5"/>
  <c r="G61" i="5"/>
  <c r="F61" i="5"/>
  <c r="E61" i="5"/>
  <c r="I60" i="5"/>
  <c r="H60" i="5"/>
  <c r="G60" i="5"/>
  <c r="F60" i="5"/>
  <c r="E60" i="5"/>
  <c r="I59" i="5"/>
  <c r="H59" i="5"/>
  <c r="G59" i="5"/>
  <c r="F59" i="5"/>
  <c r="E59" i="5"/>
  <c r="I58" i="5"/>
  <c r="H58" i="5"/>
  <c r="G58" i="5"/>
  <c r="F58" i="5"/>
  <c r="E58" i="5"/>
  <c r="I57" i="5"/>
  <c r="H57" i="5"/>
  <c r="G57" i="5"/>
  <c r="F57" i="5"/>
  <c r="E57" i="5"/>
  <c r="I56" i="5"/>
  <c r="H56" i="5"/>
  <c r="G56" i="5"/>
  <c r="F56" i="5"/>
  <c r="E56" i="5"/>
  <c r="I55" i="5"/>
  <c r="H55" i="5"/>
  <c r="G55" i="5"/>
  <c r="F55" i="5"/>
  <c r="E55" i="5"/>
  <c r="I54" i="5"/>
  <c r="H54" i="5"/>
  <c r="G54" i="5"/>
  <c r="F54" i="5"/>
  <c r="E54" i="5"/>
  <c r="I53" i="5"/>
  <c r="H53" i="5"/>
  <c r="G53" i="5"/>
  <c r="F53" i="5"/>
  <c r="I52" i="5"/>
  <c r="H52" i="5"/>
  <c r="G52" i="5"/>
  <c r="F52" i="5"/>
  <c r="E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I48" i="5"/>
  <c r="H48" i="5"/>
  <c r="G48" i="5"/>
  <c r="F48" i="5"/>
  <c r="I47" i="5"/>
  <c r="H47" i="5"/>
  <c r="G47" i="5"/>
  <c r="F47" i="5"/>
  <c r="I46" i="5"/>
  <c r="H46" i="5"/>
  <c r="G46" i="5"/>
  <c r="F46" i="5"/>
  <c r="E46" i="5"/>
  <c r="I45" i="5"/>
  <c r="H45" i="5"/>
  <c r="G45" i="5"/>
  <c r="F45" i="5"/>
  <c r="E45" i="5"/>
  <c r="I44" i="5"/>
  <c r="H44" i="5"/>
  <c r="G44" i="5"/>
  <c r="F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I11" i="5"/>
  <c r="H11" i="5"/>
  <c r="G11" i="5"/>
  <c r="F11" i="5"/>
  <c r="E11" i="5"/>
  <c r="I10" i="5"/>
  <c r="H10" i="5"/>
  <c r="G10" i="5"/>
  <c r="F10" i="5"/>
  <c r="E10" i="5"/>
  <c r="I9" i="5"/>
  <c r="H9" i="5"/>
  <c r="G9" i="5"/>
  <c r="F9" i="5"/>
  <c r="E9" i="5"/>
  <c r="I8" i="5"/>
  <c r="H8" i="5"/>
  <c r="G8" i="5"/>
  <c r="F8" i="5"/>
  <c r="E8" i="5"/>
  <c r="I6" i="5"/>
  <c r="H6" i="5"/>
  <c r="E6" i="5"/>
  <c r="F39" i="8" l="1"/>
  <c r="E39" i="8"/>
  <c r="F38" i="8"/>
  <c r="E38" i="8"/>
  <c r="F37" i="8"/>
  <c r="E37" i="8"/>
  <c r="F36" i="8"/>
  <c r="E36" i="8"/>
  <c r="F35" i="8"/>
  <c r="E35" i="8"/>
  <c r="F34" i="8"/>
  <c r="E34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39" i="7"/>
  <c r="E39" i="7"/>
  <c r="F38" i="7"/>
  <c r="E38" i="7"/>
  <c r="F37" i="7"/>
  <c r="E37" i="7"/>
  <c r="F36" i="7"/>
  <c r="E36" i="7"/>
  <c r="F35" i="7"/>
  <c r="E35" i="7"/>
  <c r="F34" i="7"/>
  <c r="E34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D5" i="3" l="1"/>
  <c r="D152" i="3"/>
  <c r="D150" i="3"/>
  <c r="D149" i="3"/>
  <c r="D146" i="3"/>
  <c r="D145" i="3"/>
  <c r="D144" i="3"/>
  <c r="D143" i="3"/>
  <c r="D141" i="3"/>
  <c r="D140" i="3"/>
  <c r="D138" i="3"/>
  <c r="D136" i="3"/>
  <c r="D135" i="3"/>
  <c r="B135" i="3"/>
  <c r="D134" i="3"/>
  <c r="D130" i="3"/>
  <c r="B130" i="3"/>
  <c r="D129" i="3"/>
  <c r="D128" i="3"/>
  <c r="D126" i="3"/>
  <c r="D123" i="3"/>
  <c r="D122" i="3"/>
  <c r="D120" i="3"/>
  <c r="D118" i="3"/>
  <c r="D117" i="3"/>
  <c r="D114" i="3"/>
  <c r="D113" i="3"/>
  <c r="D109" i="3"/>
  <c r="D108" i="3"/>
  <c r="D107" i="3"/>
  <c r="D106" i="3"/>
  <c r="D103" i="3"/>
  <c r="D100" i="3"/>
  <c r="D99" i="3"/>
  <c r="D98" i="3"/>
  <c r="D96" i="3"/>
  <c r="D94" i="3"/>
  <c r="D91" i="3"/>
  <c r="D89" i="3"/>
  <c r="D86" i="3"/>
  <c r="D84" i="3"/>
  <c r="D83" i="3"/>
  <c r="D82" i="3"/>
  <c r="D81" i="3"/>
  <c r="D78" i="3"/>
  <c r="D77" i="3"/>
  <c r="D76" i="3"/>
  <c r="D75" i="3"/>
  <c r="D74" i="3"/>
  <c r="D70" i="3"/>
  <c r="D69" i="3"/>
  <c r="D67" i="3"/>
  <c r="D66" i="3"/>
  <c r="D65" i="3"/>
  <c r="D64" i="3"/>
  <c r="D63" i="3"/>
  <c r="D62" i="3"/>
  <c r="D61" i="3"/>
  <c r="D60" i="3"/>
  <c r="D59" i="3"/>
  <c r="D58" i="3"/>
  <c r="D57" i="3"/>
  <c r="D54" i="3"/>
  <c r="D53" i="3"/>
  <c r="D52" i="3"/>
  <c r="D51" i="3"/>
  <c r="D50" i="3"/>
  <c r="D48" i="3"/>
  <c r="D47" i="3"/>
  <c r="D44" i="3"/>
  <c r="D43" i="3"/>
  <c r="D42" i="3"/>
  <c r="D41" i="3"/>
  <c r="D38" i="3"/>
  <c r="D36" i="3"/>
  <c r="D35" i="3"/>
  <c r="D28" i="3"/>
  <c r="D27" i="3"/>
  <c r="D26" i="3"/>
  <c r="D25" i="3"/>
  <c r="D24" i="3"/>
  <c r="D23" i="3"/>
  <c r="D21" i="3"/>
  <c r="D19" i="3"/>
  <c r="D18" i="3"/>
  <c r="D17" i="3"/>
  <c r="D15" i="3"/>
  <c r="D12" i="3"/>
  <c r="D11" i="3"/>
  <c r="D10" i="3"/>
  <c r="D8" i="3"/>
  <c r="D7" i="3"/>
  <c r="D35" i="2"/>
  <c r="H131" i="2"/>
  <c r="G131" i="2"/>
  <c r="F131" i="2"/>
  <c r="E131" i="2"/>
  <c r="H130" i="2"/>
  <c r="G130" i="2"/>
  <c r="F130" i="2"/>
  <c r="E130" i="2"/>
  <c r="D130" i="2"/>
  <c r="H129" i="2"/>
  <c r="G129" i="2"/>
  <c r="F129" i="2"/>
  <c r="E129" i="2"/>
  <c r="D129" i="2"/>
  <c r="H128" i="2"/>
  <c r="G128" i="2"/>
  <c r="F128" i="2"/>
  <c r="E128" i="2"/>
  <c r="D128" i="2"/>
  <c r="H127" i="2"/>
  <c r="G127" i="2"/>
  <c r="F127" i="2"/>
  <c r="E127" i="2"/>
  <c r="H126" i="2"/>
  <c r="G126" i="2"/>
  <c r="F126" i="2"/>
  <c r="E126" i="2"/>
  <c r="D126" i="2"/>
  <c r="H125" i="2"/>
  <c r="G125" i="2"/>
  <c r="F125" i="2"/>
  <c r="E125" i="2"/>
  <c r="D125" i="2"/>
  <c r="H124" i="2"/>
  <c r="G124" i="2"/>
  <c r="F124" i="2"/>
  <c r="E124" i="2"/>
  <c r="H123" i="2"/>
  <c r="G123" i="2"/>
  <c r="F123" i="2"/>
  <c r="E123" i="2"/>
  <c r="D123" i="2"/>
  <c r="H122" i="2"/>
  <c r="G122" i="2"/>
  <c r="F122" i="2"/>
  <c r="E122" i="2"/>
  <c r="D122" i="2"/>
  <c r="H121" i="2"/>
  <c r="G121" i="2"/>
  <c r="F121" i="2"/>
  <c r="E121" i="2"/>
  <c r="D121" i="2"/>
  <c r="H120" i="2"/>
  <c r="G120" i="2"/>
  <c r="F120" i="2"/>
  <c r="E120" i="2"/>
  <c r="D120" i="2"/>
  <c r="H119" i="2"/>
  <c r="G119" i="2"/>
  <c r="F119" i="2"/>
  <c r="E119" i="2"/>
  <c r="H118" i="2"/>
  <c r="G118" i="2"/>
  <c r="F118" i="2"/>
  <c r="E118" i="2"/>
  <c r="D118" i="2"/>
  <c r="H117" i="2"/>
  <c r="G117" i="2"/>
  <c r="F117" i="2"/>
  <c r="E117" i="2"/>
  <c r="D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D114" i="2"/>
  <c r="H113" i="2"/>
  <c r="G113" i="2"/>
  <c r="F113" i="2"/>
  <c r="E113" i="2"/>
  <c r="D113" i="2"/>
  <c r="H112" i="2"/>
  <c r="G112" i="2"/>
  <c r="F112" i="2"/>
  <c r="E112" i="2"/>
  <c r="D112" i="2"/>
  <c r="H111" i="2"/>
  <c r="G111" i="2"/>
  <c r="F111" i="2"/>
  <c r="E111" i="2"/>
  <c r="H110" i="2"/>
  <c r="G110" i="2"/>
  <c r="F110" i="2"/>
  <c r="E110" i="2"/>
  <c r="D110" i="2"/>
  <c r="H109" i="2"/>
  <c r="G109" i="2"/>
  <c r="F109" i="2"/>
  <c r="E109" i="2"/>
  <c r="H108" i="2"/>
  <c r="G108" i="2"/>
  <c r="F108" i="2"/>
  <c r="E108" i="2"/>
  <c r="D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D105" i="2"/>
  <c r="H104" i="2"/>
  <c r="G104" i="2"/>
  <c r="F104" i="2"/>
  <c r="E104" i="2"/>
  <c r="D104" i="2"/>
  <c r="H103" i="2"/>
  <c r="G103" i="2"/>
  <c r="F103" i="2"/>
  <c r="E103" i="2"/>
  <c r="D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D98" i="2"/>
  <c r="H97" i="2"/>
  <c r="G97" i="2"/>
  <c r="F97" i="2"/>
  <c r="E97" i="2"/>
  <c r="D97" i="2"/>
  <c r="H96" i="2"/>
  <c r="G96" i="2"/>
  <c r="F96" i="2"/>
  <c r="E96" i="2"/>
  <c r="D96" i="2"/>
  <c r="H95" i="2"/>
  <c r="G95" i="2"/>
  <c r="F95" i="2"/>
  <c r="E95" i="2"/>
  <c r="D95" i="2"/>
  <c r="H94" i="2"/>
  <c r="G94" i="2"/>
  <c r="F94" i="2"/>
  <c r="E94" i="2"/>
  <c r="H93" i="2"/>
  <c r="G93" i="2"/>
  <c r="F93" i="2"/>
  <c r="E93" i="2"/>
  <c r="D93" i="2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F87" i="2"/>
  <c r="E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G75" i="2"/>
  <c r="F75" i="2"/>
  <c r="E75" i="2"/>
  <c r="H74" i="2"/>
  <c r="G74" i="2"/>
  <c r="F74" i="2"/>
  <c r="E74" i="2"/>
  <c r="D74" i="2"/>
  <c r="H73" i="2"/>
  <c r="G73" i="2"/>
  <c r="F73" i="2"/>
  <c r="E73" i="2"/>
  <c r="D73" i="2"/>
  <c r="H72" i="2"/>
  <c r="G72" i="2"/>
  <c r="F72" i="2"/>
  <c r="E72" i="2"/>
  <c r="H71" i="2"/>
  <c r="G71" i="2"/>
  <c r="F71" i="2"/>
  <c r="E71" i="2"/>
  <c r="D71" i="2"/>
  <c r="H70" i="2"/>
  <c r="G70" i="2"/>
  <c r="F70" i="2"/>
  <c r="E70" i="2"/>
  <c r="H69" i="2"/>
  <c r="G69" i="2"/>
  <c r="F69" i="2"/>
  <c r="E69" i="2"/>
  <c r="D69" i="2"/>
  <c r="H68" i="2"/>
  <c r="G68" i="2"/>
  <c r="F68" i="2"/>
  <c r="E68" i="2"/>
  <c r="D68" i="2"/>
  <c r="H67" i="2"/>
  <c r="G67" i="2"/>
  <c r="F67" i="2"/>
  <c r="E67" i="2"/>
  <c r="D67" i="2"/>
  <c r="H66" i="2"/>
  <c r="G66" i="2"/>
  <c r="F66" i="2"/>
  <c r="E66" i="2"/>
  <c r="D66" i="2"/>
  <c r="H65" i="2"/>
  <c r="G65" i="2"/>
  <c r="F65" i="2"/>
  <c r="E65" i="2"/>
  <c r="D65" i="2"/>
  <c r="H64" i="2"/>
  <c r="G64" i="2"/>
  <c r="F64" i="2"/>
  <c r="E64" i="2"/>
  <c r="H63" i="2"/>
  <c r="G63" i="2"/>
  <c r="F63" i="2"/>
  <c r="E63" i="2"/>
  <c r="D63" i="2"/>
  <c r="H62" i="2"/>
  <c r="G62" i="2"/>
  <c r="F62" i="2"/>
  <c r="E62" i="2"/>
  <c r="D62" i="2"/>
  <c r="H61" i="2"/>
  <c r="G61" i="2"/>
  <c r="F61" i="2"/>
  <c r="E61" i="2"/>
  <c r="D61" i="2"/>
  <c r="H60" i="2"/>
  <c r="G60" i="2"/>
  <c r="F60" i="2"/>
  <c r="E60" i="2"/>
  <c r="D60" i="2"/>
  <c r="H59" i="2"/>
  <c r="G59" i="2"/>
  <c r="F59" i="2"/>
  <c r="E59" i="2"/>
  <c r="D59" i="2"/>
  <c r="H58" i="2"/>
  <c r="G58" i="2"/>
  <c r="F58" i="2"/>
  <c r="E58" i="2"/>
  <c r="D58" i="2"/>
  <c r="H57" i="2"/>
  <c r="G57" i="2"/>
  <c r="F57" i="2"/>
  <c r="E57" i="2"/>
  <c r="D57" i="2"/>
  <c r="H56" i="2"/>
  <c r="G56" i="2"/>
  <c r="F56" i="2"/>
  <c r="E56" i="2"/>
  <c r="H55" i="2"/>
  <c r="G55" i="2"/>
  <c r="F55" i="2"/>
  <c r="E55" i="2"/>
  <c r="D55" i="2"/>
  <c r="H54" i="2"/>
  <c r="G54" i="2"/>
  <c r="F54" i="2"/>
  <c r="E54" i="2"/>
  <c r="D54" i="2"/>
  <c r="H53" i="2"/>
  <c r="G53" i="2"/>
  <c r="F53" i="2"/>
  <c r="E53" i="2"/>
  <c r="D53" i="2"/>
  <c r="H52" i="2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H44" i="2"/>
  <c r="G44" i="2"/>
  <c r="F44" i="2"/>
  <c r="E44" i="2"/>
  <c r="D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H40" i="2"/>
  <c r="G40" i="2"/>
  <c r="F40" i="2"/>
  <c r="E40" i="2"/>
  <c r="H39" i="2"/>
  <c r="G39" i="2"/>
  <c r="F39" i="2"/>
  <c r="E39" i="2"/>
  <c r="D39" i="2"/>
  <c r="H38" i="2"/>
  <c r="G38" i="2"/>
  <c r="F38" i="2"/>
  <c r="E38" i="2"/>
  <c r="D38" i="2"/>
  <c r="H37" i="2"/>
  <c r="G37" i="2"/>
  <c r="F37" i="2"/>
  <c r="E37" i="2"/>
  <c r="D37" i="2"/>
  <c r="H36" i="2"/>
  <c r="G36" i="2"/>
  <c r="F36" i="2"/>
  <c r="E36" i="2"/>
  <c r="D36" i="2"/>
  <c r="H35" i="2"/>
  <c r="G35" i="2"/>
  <c r="F35" i="2"/>
  <c r="E35" i="2"/>
  <c r="H34" i="2"/>
  <c r="G34" i="2"/>
  <c r="F34" i="2"/>
  <c r="E34" i="2"/>
  <c r="D34" i="2"/>
  <c r="H33" i="2"/>
  <c r="G33" i="2"/>
  <c r="F33" i="2"/>
  <c r="E33" i="2"/>
  <c r="D33" i="2"/>
  <c r="H32" i="2"/>
  <c r="G32" i="2"/>
  <c r="F32" i="2"/>
  <c r="E32" i="2"/>
  <c r="D32" i="2"/>
  <c r="H31" i="2"/>
  <c r="G31" i="2"/>
  <c r="F31" i="2"/>
  <c r="E31" i="2"/>
  <c r="D31" i="2"/>
  <c r="H30" i="2"/>
  <c r="G30" i="2"/>
  <c r="F30" i="2"/>
  <c r="E30" i="2"/>
  <c r="D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G26" i="2"/>
  <c r="F26" i="2"/>
  <c r="E26" i="2"/>
  <c r="D26" i="2"/>
  <c r="H25" i="2"/>
  <c r="G25" i="2"/>
  <c r="F25" i="2"/>
  <c r="E25" i="2"/>
  <c r="D25" i="2"/>
  <c r="H24" i="2"/>
  <c r="G24" i="2"/>
  <c r="F24" i="2"/>
  <c r="E24" i="2"/>
  <c r="D24" i="2"/>
  <c r="H23" i="2"/>
  <c r="G23" i="2"/>
  <c r="F23" i="2"/>
  <c r="E23" i="2"/>
  <c r="D23" i="2"/>
  <c r="H22" i="2"/>
  <c r="G22" i="2"/>
  <c r="F22" i="2"/>
  <c r="E22" i="2"/>
  <c r="D22" i="2"/>
  <c r="H21" i="2"/>
  <c r="G21" i="2"/>
  <c r="F21" i="2"/>
  <c r="E21" i="2"/>
  <c r="D21" i="2"/>
  <c r="H20" i="2"/>
  <c r="G20" i="2"/>
  <c r="F20" i="2"/>
  <c r="E20" i="2"/>
  <c r="D20" i="2"/>
  <c r="H19" i="2"/>
  <c r="G19" i="2"/>
  <c r="F19" i="2"/>
  <c r="E19" i="2"/>
  <c r="D19" i="2"/>
  <c r="H18" i="2"/>
  <c r="G18" i="2"/>
  <c r="F18" i="2"/>
  <c r="E18" i="2"/>
  <c r="D18" i="2"/>
  <c r="H17" i="2"/>
  <c r="G17" i="2"/>
  <c r="F17" i="2"/>
  <c r="E17" i="2"/>
  <c r="D17" i="2"/>
  <c r="H16" i="2"/>
  <c r="G16" i="2"/>
  <c r="F16" i="2"/>
  <c r="E16" i="2"/>
  <c r="H15" i="2"/>
  <c r="G15" i="2"/>
  <c r="F15" i="2"/>
  <c r="E15" i="2"/>
  <c r="D15" i="2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G9" i="2"/>
  <c r="F9" i="2"/>
  <c r="E9" i="2"/>
  <c r="D9" i="2"/>
  <c r="H8" i="2"/>
  <c r="G8" i="2"/>
  <c r="F8" i="2"/>
  <c r="E8" i="2"/>
  <c r="D8" i="2"/>
  <c r="H7" i="2"/>
  <c r="G7" i="2"/>
  <c r="F7" i="2"/>
  <c r="E7" i="2"/>
  <c r="D7" i="2"/>
  <c r="H5" i="2"/>
  <c r="G5" i="2"/>
  <c r="D5" i="2"/>
  <c r="H117" i="1" l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H109" i="1"/>
  <c r="G109" i="1"/>
  <c r="F109" i="1"/>
  <c r="E109" i="1"/>
  <c r="D109" i="1"/>
  <c r="H108" i="1"/>
  <c r="G108" i="1"/>
  <c r="F108" i="1"/>
  <c r="E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D100" i="1"/>
  <c r="H99" i="1"/>
  <c r="G99" i="1"/>
  <c r="F99" i="1"/>
  <c r="E99" i="1"/>
  <c r="H98" i="1"/>
  <c r="G98" i="1"/>
  <c r="F98" i="1"/>
  <c r="E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H94" i="1"/>
  <c r="G94" i="1"/>
  <c r="F94" i="1"/>
  <c r="E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H90" i="1"/>
  <c r="G90" i="1"/>
  <c r="F90" i="1"/>
  <c r="E90" i="1"/>
  <c r="H89" i="1"/>
  <c r="G89" i="1"/>
  <c r="F89" i="1"/>
  <c r="E89" i="1"/>
  <c r="D89" i="1"/>
  <c r="H88" i="1"/>
  <c r="G88" i="1"/>
  <c r="F88" i="1"/>
  <c r="E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H69" i="1"/>
  <c r="G69" i="1"/>
  <c r="F69" i="1"/>
  <c r="E69" i="1"/>
  <c r="D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H60" i="1"/>
  <c r="G60" i="1"/>
  <c r="F60" i="1"/>
  <c r="E60" i="1"/>
  <c r="D60" i="1"/>
  <c r="H59" i="1"/>
  <c r="G59" i="1"/>
  <c r="F59" i="1"/>
  <c r="E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H51" i="1"/>
  <c r="G51" i="1"/>
  <c r="F51" i="1"/>
  <c r="E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H41" i="1"/>
  <c r="G41" i="1"/>
  <c r="F41" i="1"/>
  <c r="E41" i="1"/>
  <c r="D41" i="1"/>
  <c r="H40" i="1"/>
  <c r="G40" i="1"/>
  <c r="F40" i="1"/>
  <c r="E40" i="1"/>
  <c r="H39" i="1"/>
  <c r="G39" i="1"/>
  <c r="F39" i="1"/>
  <c r="E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H32" i="1"/>
  <c r="G32" i="1"/>
  <c r="F32" i="1"/>
  <c r="E32" i="1"/>
  <c r="D32" i="1"/>
  <c r="H31" i="1"/>
  <c r="G31" i="1"/>
  <c r="F31" i="1"/>
  <c r="E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H24" i="1"/>
  <c r="G24" i="1"/>
  <c r="F24" i="1"/>
  <c r="E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5" i="1"/>
  <c r="G5" i="1"/>
  <c r="D5" i="1"/>
</calcChain>
</file>

<file path=xl/sharedStrings.xml><?xml version="1.0" encoding="utf-8"?>
<sst xmlns="http://schemas.openxmlformats.org/spreadsheetml/2006/main" count="1138" uniqueCount="414">
  <si>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</si>
  <si>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</si>
  <si>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</si>
  <si>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</si>
  <si>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</si>
  <si>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</si>
  <si>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</si>
  <si>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</si>
  <si>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</si>
  <si>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</si>
  <si>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</si>
  <si>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</si>
  <si>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</si>
  <si>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</si>
  <si>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</si>
  <si>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</si>
  <si>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¹ În preţuri curente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</si>
  <si>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</si>
  <si>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</si>
  <si>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</si>
  <si>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</si>
  <si>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</si>
  <si>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</si>
  <si>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</si>
  <si>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</si>
  <si>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</si>
  <si>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</si>
  <si>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</si>
  <si>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</si>
  <si>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</si>
  <si>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</si>
  <si>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</si>
  <si>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</si>
  <si>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</si>
  <si>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</si>
  <si>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</si>
  <si>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</si>
  <si>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</si>
  <si>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</si>
  <si>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</si>
  <si>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</si>
  <si>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</si>
  <si>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</si>
  <si>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</si>
  <si>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</si>
  <si>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</si>
  <si>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</si>
  <si>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</si>
  <si>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</si>
  <si>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</si>
  <si>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</si>
  <si>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</si>
  <si>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</si>
  <si>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</si>
  <si>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</si>
  <si>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</si>
  <si>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</si>
  <si>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</si>
  <si>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</si>
  <si>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</si>
  <si>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</si>
  <si>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</si>
  <si>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</si>
  <si>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</si>
  <si>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</si>
  <si>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</si>
  <si>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</si>
  <si>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</si>
  <si>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</si>
  <si>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</si>
  <si>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</si>
  <si>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</si>
  <si>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</si>
  <si>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</si>
  <si>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</si>
  <si>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</si>
  <si>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</si>
  <si>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</si>
  <si>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</si>
  <si>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</si>
  <si>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</si>
  <si>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</si>
  <si>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</si>
  <si>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</si>
  <si>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</si>
  <si>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</si>
  <si>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</si>
  <si>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Mongolia</t>
  </si>
  <si>
    <t>Peru</t>
  </si>
  <si>
    <t>Kenya</t>
  </si>
  <si>
    <t>EXPORT - total</t>
  </si>
  <si>
    <t>Oman</t>
  </si>
  <si>
    <t>Albania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</si>
  <si>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</si>
  <si>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</si>
  <si>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</si>
  <si>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</si>
  <si>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</si>
  <si>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</si>
  <si>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</si>
  <si>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</si>
  <si>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</si>
  <si>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IMPORT - total</t>
  </si>
  <si>
    <t>Etiopia</t>
  </si>
  <si>
    <t>Bahrain</t>
  </si>
  <si>
    <t xml:space="preserve">   din care:</t>
  </si>
  <si>
    <t>Macedonia de Nord</t>
  </si>
  <si>
    <t>Cote D'Ivoire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</si>
  <si>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</si>
  <si>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</si>
  <si>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</si>
  <si>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</si>
  <si>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</si>
  <si>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</si>
  <si>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</si>
  <si>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</si>
  <si>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</si>
  <si>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</si>
  <si>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</si>
  <si>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</si>
  <si>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</si>
  <si>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</si>
  <si>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</si>
  <si>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</si>
  <si>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</si>
  <si>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</si>
  <si>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</si>
  <si>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</si>
  <si>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</si>
  <si>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</si>
  <si>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</si>
  <si>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</si>
  <si>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</si>
  <si>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</si>
  <si>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</si>
  <si>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</si>
  <si>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</si>
  <si>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</si>
  <si>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</si>
  <si>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</si>
  <si>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</si>
  <si>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</si>
  <si>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</si>
  <si>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</si>
  <si>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</si>
  <si>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</si>
  <si>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</si>
  <si>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</si>
  <si>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</si>
  <si>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</si>
  <si>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</si>
  <si>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</si>
  <si>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</si>
  <si>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</si>
  <si>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</si>
  <si>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</si>
  <si>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</si>
  <si>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</si>
  <si>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</si>
  <si>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</si>
  <si>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</si>
  <si>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</si>
  <si>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</si>
  <si>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</si>
  <si>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</si>
  <si>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</si>
  <si>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</si>
  <si>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</si>
  <si>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</si>
  <si>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</si>
  <si>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</si>
  <si>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</si>
  <si>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</si>
  <si>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</si>
  <si>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</si>
  <si>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</si>
  <si>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</si>
  <si>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</si>
  <si>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</si>
  <si>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</si>
  <si>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</si>
  <si>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</si>
  <si>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</si>
  <si>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</si>
  <si>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</si>
  <si>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</si>
  <si>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</si>
  <si>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</si>
  <si>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</si>
  <si>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</si>
  <si>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</si>
  <si>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</si>
  <si>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</si>
  <si>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</si>
  <si>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</si>
  <si>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</si>
  <si>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</si>
  <si>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</si>
  <si>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</si>
  <si>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</si>
  <si>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</si>
  <si>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</si>
  <si>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</si>
  <si>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</si>
  <si>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</si>
  <si>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</si>
  <si>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</si>
  <si>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</si>
  <si>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</si>
  <si>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</si>
  <si>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</si>
  <si>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</si>
  <si>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</si>
  <si>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</si>
  <si>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</si>
  <si>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</si>
  <si>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</si>
  <si>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</si>
  <si>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</si>
  <si>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</si>
  <si>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</si>
  <si>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</si>
  <si>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</si>
  <si>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</si>
  <si>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</si>
  <si>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</si>
  <si>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</si>
  <si>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</si>
  <si>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</si>
  <si>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</si>
  <si>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</si>
  <si>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</si>
  <si>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</si>
  <si>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</si>
  <si>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</si>
  <si>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</si>
  <si>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</si>
  <si>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</si>
  <si>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</si>
  <si>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</si>
  <si>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</si>
  <si>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</si>
  <si>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</si>
  <si>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</si>
  <si>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</si>
  <si>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</si>
  <si>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</si>
  <si>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</si>
  <si>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</si>
  <si>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</si>
  <si>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</si>
  <si>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</si>
  <si>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</si>
  <si>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</si>
  <si>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</si>
  <si>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</si>
  <si>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</si>
  <si>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</si>
  <si>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</si>
  <si>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</si>
  <si>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Celelalte țări ale lumii</t>
  </si>
  <si>
    <t>Malawi</t>
  </si>
  <si>
    <t>Franța</t>
  </si>
  <si>
    <t>Croația</t>
  </si>
  <si>
    <t>Federația Rusă</t>
  </si>
  <si>
    <t>Cehia</t>
  </si>
  <si>
    <t>Kârgâzstan</t>
  </si>
  <si>
    <t>Taiwan, provincie a Chinei</t>
  </si>
  <si>
    <t>Insulele Feroe</t>
  </si>
  <si>
    <t>Burkina Faso</t>
  </si>
  <si>
    <t>Regatul Țărilor de Jos (Netherlands)</t>
  </si>
  <si>
    <t>Țările Uniunii Europene - total</t>
  </si>
  <si>
    <t>Gaz și produse industriale obținute din gaz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</si>
  <si>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</si>
  <si>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</si>
  <si>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</si>
  <si>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</si>
  <si>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</si>
  <si>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</si>
  <si>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Uganda</t>
  </si>
  <si>
    <t>Nepal</t>
  </si>
  <si>
    <t>Instrumente şi aparate, profesionale, ştiinţifice şi de control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</si>
  <si>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</si>
  <si>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</si>
  <si>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</si>
  <si>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</si>
  <si>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</si>
  <si>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</si>
  <si>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</si>
  <si>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</si>
  <si>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</si>
  <si>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Sudan</t>
  </si>
  <si>
    <t>Muntenegru</t>
  </si>
  <si>
    <t>Belize</t>
  </si>
  <si>
    <t>Venezuela</t>
  </si>
  <si>
    <t>San Marino</t>
  </si>
  <si>
    <t>Mauritius</t>
  </si>
  <si>
    <t>Guatemala</t>
  </si>
  <si>
    <t>Laos</t>
  </si>
  <si>
    <t>Yemen</t>
  </si>
  <si>
    <t>Haiti</t>
  </si>
  <si>
    <t>Sierra Leone</t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</si>
  <si>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</si>
  <si>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</si>
  <si>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</si>
  <si>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</si>
  <si>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t>Republica Arabă Siria</t>
  </si>
  <si>
    <t>Republica Unită Tanzania</t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</si>
  <si>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</si>
  <si>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</si>
  <si>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</si>
  <si>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</si>
  <si>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</si>
  <si>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</si>
  <si>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</si>
  <si>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</si>
  <si>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</si>
  <si>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</si>
  <si>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>Regatul Unit al Marii Britanii și Irlandei de Nord</t>
  </si>
  <si>
    <t>Elveția</t>
  </si>
  <si>
    <t>Șri Lanka</t>
  </si>
  <si>
    <t>Mozambic</t>
  </si>
  <si>
    <t>Palau</t>
  </si>
  <si>
    <t>Bosnia și Herțegovina</t>
  </si>
  <si>
    <t>Senegal</t>
  </si>
  <si>
    <t>Barbados</t>
  </si>
  <si>
    <t>Eswatini</t>
  </si>
  <si>
    <t>Trinidad și Tobago</t>
  </si>
  <si>
    <t>Mărfuri manufacturate, clasificate mai ales după materia primă</t>
  </si>
  <si>
    <r>
      <t xml:space="preserve"> </t>
    </r>
    <r>
      <rPr>
        <sz val="9"/>
        <rFont val="Arial"/>
        <family val="2"/>
        <charset val="204"/>
      </rPr>
      <t xml:space="preserve">  din care:</t>
    </r>
  </si>
  <si>
    <t>Mărfuri manufacturate, clasificate iulie ales după materia primă</t>
  </si>
  <si>
    <t>Uruguay</t>
  </si>
  <si>
    <t xml:space="preserve">     din care:</t>
  </si>
  <si>
    <t>de 1,7 ori</t>
  </si>
  <si>
    <t>de 1,9 ori</t>
  </si>
  <si>
    <t>de 2,5 ori</t>
  </si>
  <si>
    <t>de 3,6 ori</t>
  </si>
  <si>
    <t>de 2,3 ori</t>
  </si>
  <si>
    <t>de 1,8 ori</t>
  </si>
  <si>
    <t>de 2,1 ori</t>
  </si>
  <si>
    <t>de 2,4 ori</t>
  </si>
  <si>
    <t>de 2,9 ori</t>
  </si>
  <si>
    <t>de 3,1 ori</t>
  </si>
  <si>
    <t>de 5,6 ori</t>
  </si>
  <si>
    <t>de 21,2 ori</t>
  </si>
  <si>
    <t>de 2,2 ori</t>
  </si>
  <si>
    <t>de 6,2 ori</t>
  </si>
  <si>
    <t>de 3,2 ori</t>
  </si>
  <si>
    <t>de 2,0 ori</t>
  </si>
  <si>
    <t>de 3,9 ori</t>
  </si>
  <si>
    <t>de 3,5 ori</t>
  </si>
  <si>
    <t>de 1,6 ori</t>
  </si>
  <si>
    <t>de 3,4 ori</t>
  </si>
  <si>
    <t>de 2,8 ori</t>
  </si>
  <si>
    <t>x</t>
  </si>
  <si>
    <t>de 91,3 ori</t>
  </si>
  <si>
    <t>de 2,7 ori</t>
  </si>
  <si>
    <t xml:space="preserve">   IMPORT - total      </t>
  </si>
  <si>
    <t>Valoarea, mii dolari SUA</t>
  </si>
  <si>
    <t>BALANŢA COMERCIALĂ - total</t>
  </si>
  <si>
    <t>ianuarie-octombrie 2022</t>
  </si>
  <si>
    <t>ianuarie-octombrie 2023</t>
  </si>
  <si>
    <r>
      <t>ianuarie-octombrie 2022</t>
    </r>
    <r>
      <rPr>
        <b/>
        <vertAlign val="superscript"/>
        <sz val="9"/>
        <rFont val="Arial"/>
        <family val="2"/>
        <charset val="204"/>
      </rPr>
      <t>1,2</t>
    </r>
  </si>
  <si>
    <r>
      <t>ianuarie-octombrie 2023</t>
    </r>
    <r>
      <rPr>
        <b/>
        <vertAlign val="superscript"/>
        <sz val="9"/>
        <rFont val="Arial"/>
        <family val="2"/>
        <charset val="204"/>
      </rPr>
      <t>1,2</t>
    </r>
  </si>
  <si>
    <r>
      <t>Ianuarie-octombrie 2023
în % faţă de ianuarie-octombrie 
2022</t>
    </r>
    <r>
      <rPr>
        <b/>
        <vertAlign val="superscript"/>
        <sz val="9"/>
        <color rgb="FF000000"/>
        <rFont val="Arial"/>
        <family val="2"/>
        <charset val="204"/>
      </rPr>
      <t>1</t>
    </r>
  </si>
  <si>
    <r>
      <t>Ianuarie-octombrie 2023                           în % față de                             ianuarie-octombrie 2022</t>
    </r>
    <r>
      <rPr>
        <b/>
        <vertAlign val="superscript"/>
        <sz val="9"/>
        <rFont val="Arial"/>
        <family val="2"/>
        <charset val="204"/>
      </rPr>
      <t>1</t>
    </r>
  </si>
  <si>
    <r>
      <t>Ianuarie-octombrie 2023                             în % față de                             ianuarie-octombrie 2022</t>
    </r>
    <r>
      <rPr>
        <b/>
        <vertAlign val="superscript"/>
        <sz val="9"/>
        <rFont val="Arial"/>
        <family val="2"/>
        <charset val="204"/>
      </rPr>
      <t>1</t>
    </r>
  </si>
  <si>
    <t>Djibouti</t>
  </si>
  <si>
    <t>Republica Dominicanaă</t>
  </si>
  <si>
    <t>de 3,3 ori</t>
  </si>
  <si>
    <t>de 18,1 ori</t>
  </si>
  <si>
    <t>de 21,0 ori</t>
  </si>
  <si>
    <t>de 26,3 ori</t>
  </si>
  <si>
    <t>de 21,1 ori</t>
  </si>
  <si>
    <t>de 12,9 ori</t>
  </si>
  <si>
    <t>de 10,5 ori</t>
  </si>
  <si>
    <t>de 23,6 ori</t>
  </si>
  <si>
    <t>de 68,7 ori</t>
  </si>
  <si>
    <t>Dominica</t>
  </si>
  <si>
    <t>de 6,5 ori</t>
  </si>
  <si>
    <t>de 3,8 ori</t>
  </si>
  <si>
    <t>de 37,4 ori</t>
  </si>
  <si>
    <t>de 32,3 ori</t>
  </si>
  <si>
    <t>de 611,0 ori</t>
  </si>
  <si>
    <t>de 14,1 ori</t>
  </si>
  <si>
    <t>de 153,0 ori</t>
  </si>
  <si>
    <t>de 1369,3 ori</t>
  </si>
  <si>
    <t>de 55,8 ori</t>
  </si>
  <si>
    <t>de 68,4 ori</t>
  </si>
  <si>
    <t>Republica Arabaă Siria</t>
  </si>
  <si>
    <t>de 223,6 ori</t>
  </si>
  <si>
    <t>de 10,4 ori</t>
  </si>
  <si>
    <t>de 3,7 ori</t>
  </si>
  <si>
    <t>de 5,3 ori</t>
  </si>
  <si>
    <t>de 6,4 ori</t>
  </si>
  <si>
    <t>de 51,8 ori</t>
  </si>
  <si>
    <t>de 822,9 ori</t>
  </si>
  <si>
    <t>de174,9 ori</t>
  </si>
  <si>
    <t>de 6,8 ori</t>
  </si>
  <si>
    <t>de 5,8 ori</t>
  </si>
  <si>
    <t>de 765,8 ori</t>
  </si>
  <si>
    <t>de 36,8 ori</t>
  </si>
  <si>
    <t>de 13,0 ori</t>
  </si>
  <si>
    <t>de 8,7 ori</t>
  </si>
  <si>
    <t>de 4,3 ori</t>
  </si>
  <si>
    <t>de 4,1 ori</t>
  </si>
  <si>
    <t>de 23,3 ori</t>
  </si>
  <si>
    <t xml:space="preserve">   EXPORT - total</t>
  </si>
  <si>
    <t xml:space="preserve">      din care:</t>
  </si>
  <si>
    <t xml:space="preserve">   IMPORT - total</t>
  </si>
  <si>
    <t>Mărfuri produse în UE, la care țara de origine nu poate fi identificată</t>
  </si>
  <si>
    <t xml:space="preserve">   BALANŢA COMERCIALĂ - total</t>
  </si>
  <si>
    <r>
      <t xml:space="preserve">  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Faţă de perioada corespunzătoare din anul precedent</t>
    </r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</si>
  <si>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perioada corespunzătoare din anul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</si>
</sst>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rgb="FF000000"/>
      <name val="Arial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0" fontId="18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4" fontId="1" fillId="0" borderId="0" xfId="0" applyNumberFormat="1" applyFont="1"/>
    <xf numFmtId="0" fontId="30" fillId="0" borderId="0" xfId="0" applyFont="1"/>
    <xf numFmtId="0" fontId="22" fillId="0" borderId="0" xfId="0" applyFont="1" applyAlignment="1">
      <alignment vertical="top" wrapTex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14" fillId="0" borderId="0" xfId="0" applyFont="1"/>
    <xf numFmtId="4" fontId="20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left" vertical="top" wrapText="1" indent="1"/>
    </xf>
    <xf numFmtId="38" fontId="18" fillId="0" borderId="0" xfId="0" applyNumberFormat="1" applyFont="1" applyAlignment="1">
      <alignment horizontal="left" vertical="top" wrapText="1" indent="1"/>
    </xf>
    <xf numFmtId="2" fontId="21" fillId="0" borderId="0" xfId="0" applyNumberFormat="1" applyFont="1" applyAlignment="1">
      <alignment horizontal="left" vertical="top" wrapText="1" indent="1"/>
    </xf>
    <xf numFmtId="38" fontId="18" fillId="0" borderId="3" xfId="0" applyNumberFormat="1" applyFont="1" applyBorder="1" applyAlignment="1">
      <alignment horizontal="left" vertical="top" wrapText="1" indent="1"/>
    </xf>
    <xf numFmtId="4" fontId="18" fillId="0" borderId="0" xfId="0" applyNumberFormat="1" applyFont="1" applyAlignment="1">
      <alignment horizontal="right" vertical="top" wrapText="1" indent="1"/>
    </xf>
    <xf numFmtId="4" fontId="17" fillId="0" borderId="0" xfId="0" applyNumberFormat="1" applyFont="1" applyAlignment="1">
      <alignment horizontal="right" vertical="top" wrapText="1" indent="1"/>
    </xf>
    <xf numFmtId="4" fontId="21" fillId="0" borderId="0" xfId="0" applyNumberFormat="1" applyFont="1" applyAlignment="1">
      <alignment horizontal="right" vertical="top" indent="1"/>
    </xf>
    <xf numFmtId="4" fontId="18" fillId="0" borderId="3" xfId="0" applyNumberFormat="1" applyFont="1" applyBorder="1" applyAlignment="1">
      <alignment horizontal="right" vertical="top" wrapText="1" indent="1"/>
    </xf>
    <xf numFmtId="4" fontId="18" fillId="0" borderId="0" xfId="0" applyNumberFormat="1" applyFont="1" applyAlignment="1">
      <alignment horizontal="left" vertical="top" wrapText="1" indent="1"/>
    </xf>
    <xf numFmtId="4" fontId="18" fillId="0" borderId="3" xfId="0" applyNumberFormat="1" applyFont="1" applyBorder="1" applyAlignment="1">
      <alignment horizontal="left" vertical="top" wrapText="1" indent="1"/>
    </xf>
    <xf numFmtId="4" fontId="18" fillId="0" borderId="3" xfId="0" applyNumberFormat="1" applyFont="1" applyBorder="1" applyAlignment="1">
      <alignment horizontal="right" vertical="top" indent="1"/>
    </xf>
    <xf numFmtId="4" fontId="29" fillId="0" borderId="0" xfId="0" applyNumberFormat="1" applyFont="1" applyAlignment="1">
      <alignment horizontal="right" vertical="top" indent="1"/>
    </xf>
    <xf numFmtId="0" fontId="13" fillId="0" borderId="0" xfId="0" applyFont="1" applyAlignment="1">
      <alignment horizontal="right" vertical="top" indent="1"/>
    </xf>
    <xf numFmtId="4" fontId="14" fillId="0" borderId="0" xfId="0" applyNumberFormat="1" applyFont="1" applyAlignment="1">
      <alignment horizontal="right" vertical="top" indent="1"/>
    </xf>
    <xf numFmtId="4" fontId="21" fillId="0" borderId="3" xfId="0" applyNumberFormat="1" applyFont="1" applyBorder="1" applyAlignment="1">
      <alignment horizontal="right" vertical="top" indent="1"/>
    </xf>
    <xf numFmtId="4" fontId="20" fillId="0" borderId="0" xfId="0" applyNumberFormat="1" applyFont="1" applyAlignment="1">
      <alignment horizontal="right" vertical="top" wrapText="1" indent="1"/>
    </xf>
    <xf numFmtId="0" fontId="12" fillId="0" borderId="5" xfId="0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 wrapText="1" indent="1"/>
    </xf>
    <xf numFmtId="4" fontId="12" fillId="0" borderId="5" xfId="0" applyNumberFormat="1" applyFont="1" applyBorder="1" applyAlignment="1">
      <alignment horizontal="right" vertical="top" indent="1"/>
    </xf>
    <xf numFmtId="4" fontId="17" fillId="0" borderId="3" xfId="0" applyNumberFormat="1" applyFont="1" applyBorder="1" applyAlignment="1">
      <alignment horizontal="right" vertical="top" wrapText="1" indent="1"/>
    </xf>
    <xf numFmtId="4" fontId="12" fillId="0" borderId="5" xfId="0" applyNumberFormat="1" applyFont="1" applyBorder="1" applyAlignment="1">
      <alignment horizontal="right" vertical="top" indent="2"/>
    </xf>
    <xf numFmtId="4" fontId="17" fillId="0" borderId="0" xfId="0" applyNumberFormat="1" applyFont="1" applyAlignment="1">
      <alignment horizontal="right" vertical="top" indent="2"/>
    </xf>
    <xf numFmtId="4" fontId="18" fillId="0" borderId="0" xfId="0" applyNumberFormat="1" applyFont="1" applyAlignment="1">
      <alignment horizontal="right" vertical="top" indent="2"/>
    </xf>
    <xf numFmtId="4" fontId="17" fillId="0" borderId="3" xfId="0" applyNumberFormat="1" applyFont="1" applyBorder="1" applyAlignment="1">
      <alignment horizontal="right" vertical="top" indent="2"/>
    </xf>
    <xf numFmtId="0" fontId="21" fillId="0" borderId="0" xfId="0" applyFont="1" applyAlignment="1">
      <alignment horizontal="left" vertical="top" wrapText="1" indent="1"/>
    </xf>
    <xf numFmtId="4" fontId="20" fillId="0" borderId="0" xfId="0" applyNumberFormat="1" applyFont="1" applyAlignment="1">
      <alignment horizontal="right" vertical="top" indent="2"/>
    </xf>
    <xf numFmtId="4" fontId="18" fillId="0" borderId="3" xfId="0" applyNumberFormat="1" applyFont="1" applyBorder="1" applyAlignment="1">
      <alignment horizontal="right" vertical="top" indent="2"/>
    </xf>
    <xf numFmtId="4" fontId="21" fillId="0" borderId="0" xfId="0" applyNumberFormat="1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1"/>
    </xf>
    <xf numFmtId="0" fontId="18" fillId="0" borderId="3" xfId="0" applyFont="1" applyBorder="1" applyAlignment="1">
      <alignment horizontal="left" vertical="top" wrapText="1" indent="1"/>
    </xf>
    <xf numFmtId="4" fontId="12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wrapText="1" indent="2"/>
    </xf>
    <xf numFmtId="4" fontId="12" fillId="0" borderId="0" xfId="0" applyNumberFormat="1" applyFont="1" applyAlignment="1">
      <alignment horizontal="right" vertical="top" wrapText="1" indent="1"/>
    </xf>
    <xf numFmtId="4" fontId="12" fillId="0" borderId="0" xfId="0" applyNumberFormat="1" applyFont="1" applyAlignment="1">
      <alignment horizontal="right" vertical="top" indent="2"/>
    </xf>
    <xf numFmtId="4" fontId="34" fillId="0" borderId="0" xfId="0" applyNumberFormat="1" applyFont="1" applyAlignment="1">
      <alignment horizontal="right" vertical="top" indent="2"/>
    </xf>
    <xf numFmtId="4" fontId="21" fillId="0" borderId="0" xfId="0" applyNumberFormat="1" applyFont="1" applyAlignment="1">
      <alignment horizontal="right" vertical="top" indent="2"/>
    </xf>
    <xf numFmtId="4" fontId="37" fillId="0" borderId="0" xfId="0" applyNumberFormat="1" applyFont="1" applyAlignment="1">
      <alignment horizontal="right" vertical="top" indent="1"/>
    </xf>
    <xf numFmtId="4" fontId="30" fillId="0" borderId="0" xfId="0" applyNumberFormat="1" applyFont="1" applyAlignment="1">
      <alignment horizontal="right" vertical="top" inden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119"/>
  <sheetViews>
    <sheetView tabSelected="1" zoomScale="99" zoomScaleNormal="99" workbookViewId="0">
      <selection sqref="A1:H1"/>
    </sheetView>
  </sheetViews>
  <sheetFormatPr defaultRowHeight="15.75" x14ac:dyDescent="0.25"/>
  <cols>
    <col min="1" max="1" width="35.125" style="16" customWidth="1"/>
    <col min="2" max="2" width="13.75" style="16" customWidth="1"/>
    <col min="3" max="3" width="14" style="16" customWidth="1"/>
    <col min="4" max="4" width="13.75" style="16" customWidth="1"/>
    <col min="5" max="5" width="10.75" style="16" customWidth="1"/>
    <col min="6" max="6" width="10.5" style="16" customWidth="1"/>
    <col min="7" max="7" width="10.625" style="16" customWidth="1"/>
    <col min="8" max="8" width="11.25" style="16" customWidth="1"/>
    <col min="10" max="10" width="8.875" customWidth="1"/>
  </cols>
  <sheetData>
    <row r="1" spans="1:10" x14ac:dyDescent="0.25">
      <c r="A1" s="86" t="s">
        <v>302</v>
      </c>
      <c r="B1" s="86"/>
      <c r="C1" s="86"/>
      <c r="D1" s="86"/>
      <c r="E1" s="86"/>
      <c r="F1" s="86"/>
      <c r="G1" s="86"/>
      <c r="H1" s="86"/>
    </row>
    <row r="2" spans="1:10" x14ac:dyDescent="0.25">
      <c r="A2" s="93"/>
      <c r="B2" s="93"/>
      <c r="C2" s="93"/>
      <c r="D2" s="93"/>
      <c r="E2" s="93"/>
      <c r="F2" s="93"/>
      <c r="G2" s="93"/>
      <c r="H2" s="93"/>
    </row>
    <row r="3" spans="1:10" ht="51" customHeight="1" x14ac:dyDescent="0.25">
      <c r="A3" s="87"/>
      <c r="B3" s="89" t="s">
        <v>358</v>
      </c>
      <c r="C3" s="96"/>
      <c r="D3" s="94" t="s">
        <v>365</v>
      </c>
      <c r="E3" s="89" t="s">
        <v>94</v>
      </c>
      <c r="F3" s="90"/>
      <c r="G3" s="91" t="s">
        <v>314</v>
      </c>
      <c r="H3" s="92"/>
    </row>
    <row r="4" spans="1:10" ht="44.25" customHeight="1" x14ac:dyDescent="0.25">
      <c r="A4" s="88"/>
      <c r="B4" s="13" t="s">
        <v>360</v>
      </c>
      <c r="C4" s="13" t="s">
        <v>361</v>
      </c>
      <c r="D4" s="95"/>
      <c r="E4" s="13" t="s">
        <v>360</v>
      </c>
      <c r="F4" s="13" t="s">
        <v>361</v>
      </c>
      <c r="G4" s="13" t="s">
        <v>362</v>
      </c>
      <c r="H4" s="12" t="s">
        <v>363</v>
      </c>
    </row>
    <row r="5" spans="1:10" s="17" customFormat="1" ht="15.75" customHeight="1" x14ac:dyDescent="0.2">
      <c r="A5" s="62" t="s">
        <v>407</v>
      </c>
      <c r="B5" s="63">
        <v>3629752.4388199998</v>
      </c>
      <c r="C5" s="63">
        <v>3358202.5108099999</v>
      </c>
      <c r="D5" s="66">
        <f>IF(3629752.43882="","-",3358202.51081/3629752.43882*100)</f>
        <v>92.518775520176291</v>
      </c>
      <c r="E5" s="64">
        <v>100</v>
      </c>
      <c r="F5" s="64">
        <v>100</v>
      </c>
      <c r="G5" s="64">
        <f>IF(2455668.71834="","-",(3629752.43882-2455668.71834)/2455668.71834*100)</f>
        <v>47.81116083417249</v>
      </c>
      <c r="H5" s="64">
        <f>IF(3629752.43882="","-",(3358202.51081-3629752.43882)/3629752.43882*100)</f>
        <v>-7.4812244798237089</v>
      </c>
      <c r="I5" s="26"/>
    </row>
    <row r="6" spans="1:10" ht="13.5" customHeight="1" x14ac:dyDescent="0.25">
      <c r="A6" s="39" t="s">
        <v>408</v>
      </c>
      <c r="B6" s="50"/>
      <c r="C6" s="50"/>
      <c r="D6" s="71"/>
      <c r="E6" s="45"/>
      <c r="F6" s="45"/>
      <c r="G6" s="45"/>
      <c r="H6" s="45"/>
    </row>
    <row r="7" spans="1:10" x14ac:dyDescent="0.25">
      <c r="A7" s="46" t="s">
        <v>112</v>
      </c>
      <c r="B7" s="51">
        <v>2148484.9184099999</v>
      </c>
      <c r="C7" s="51">
        <v>2173488.5705800001</v>
      </c>
      <c r="D7" s="67">
        <v>101.16378066961272</v>
      </c>
      <c r="E7" s="21">
        <v>59.190949097025836</v>
      </c>
      <c r="F7" s="21">
        <v>64.721783858584331</v>
      </c>
      <c r="G7" s="21">
        <v>26.030275038568824</v>
      </c>
      <c r="H7" s="21">
        <v>0.68885282375148971</v>
      </c>
      <c r="J7" s="7"/>
    </row>
    <row r="8" spans="1:10" x14ac:dyDescent="0.25">
      <c r="A8" s="47" t="s">
        <v>0</v>
      </c>
      <c r="B8" s="50">
        <v>1036353.50173</v>
      </c>
      <c r="C8" s="22">
        <v>1165468.06794</v>
      </c>
      <c r="D8" s="68">
        <f>IF(OR(1036353.50173="",1165468.06794=""),"-",1165468.06794/1036353.50173*100)</f>
        <v>112.45854488786568</v>
      </c>
      <c r="E8" s="22">
        <f>IF(1036353.50173="","-",1036353.50173/3629752.43882*100)</f>
        <v>28.551630426534246</v>
      </c>
      <c r="F8" s="22">
        <f>IF(1165468.06794="","-",1165468.06794/3358202.51081*100)</f>
        <v>34.705115733443023</v>
      </c>
      <c r="G8" s="22">
        <f>IF(OR(2455668.71834="",653682.02734="",1036353.50173=""),"-",(1036353.50173-653682.02734)/2455668.71834*100)</f>
        <v>15.583188055133141</v>
      </c>
      <c r="H8" s="22">
        <f>IF(OR(3629752.43882="",1165468.06794="",1036353.50173=""),"-",(1165468.06794-1036353.50173)/3629752.43882*100)</f>
        <v>3.557117692907287</v>
      </c>
    </row>
    <row r="9" spans="1:10" x14ac:dyDescent="0.25">
      <c r="A9" s="47" t="s">
        <v>1</v>
      </c>
      <c r="B9" s="50">
        <v>287263.25127000001</v>
      </c>
      <c r="C9" s="22">
        <v>217494.74861000001</v>
      </c>
      <c r="D9" s="68">
        <f>IF(OR(287263.25127="",217494.74861=""),"-",217494.74861/287263.25127*100)</f>
        <v>75.712694766368045</v>
      </c>
      <c r="E9" s="22">
        <f>IF(287263.25127="","-",287263.25127/3629752.43882*100)</f>
        <v>7.9141279222719314</v>
      </c>
      <c r="F9" s="22">
        <f>IF(217494.74861="","-",217494.74861/3358202.51081*100)</f>
        <v>6.4765227204103351</v>
      </c>
      <c r="G9" s="22">
        <f>IF(OR(2455668.71834="",193345.08543="",287263.25127=""),"-",(287263.25127-193345.08543)/2455668.71834*100)</f>
        <v>3.8245454339414091</v>
      </c>
      <c r="H9" s="22">
        <f>IF(OR(3629752.43882="",217494.74861="",287263.25127=""),"-",(217494.74861-287263.25127)/3629752.43882*100)</f>
        <v>-1.9221284050622778</v>
      </c>
    </row>
    <row r="10" spans="1:10" x14ac:dyDescent="0.25">
      <c r="A10" s="47" t="s">
        <v>2</v>
      </c>
      <c r="B10" s="50">
        <v>196802.14223999999</v>
      </c>
      <c r="C10" s="22">
        <v>184365.87911000001</v>
      </c>
      <c r="D10" s="68">
        <f>IF(OR(196802.14224="",184365.87911=""),"-",184365.87911/196802.14224*100)</f>
        <v>93.680829391158781</v>
      </c>
      <c r="E10" s="22">
        <f>IF(196802.14224="","-",196802.14224/3629752.43882*100)</f>
        <v>5.4219163856799719</v>
      </c>
      <c r="F10" s="22">
        <f>IF(184365.87911="","-",184365.87911/3358202.51081*100)</f>
        <v>5.4900167133021069</v>
      </c>
      <c r="G10" s="22">
        <f>IF(OR(2455668.71834="",209517.33734="",196802.14224=""),"-",(196802.14224-209517.33734)/2455668.71834*100)</f>
        <v>-0.51778951309830246</v>
      </c>
      <c r="H10" s="22">
        <f>IF(OR(3629752.43882="",184365.87911="",196802.14224=""),"-",(184365.87911-196802.14224)/3629752.43882*100)</f>
        <v>-0.34262014667983515</v>
      </c>
    </row>
    <row r="11" spans="1:10" x14ac:dyDescent="0.25">
      <c r="A11" s="47" t="s">
        <v>265</v>
      </c>
      <c r="B11" s="50">
        <v>85096.410999999993</v>
      </c>
      <c r="C11" s="22">
        <v>130230.01772</v>
      </c>
      <c r="D11" s="68">
        <f>IF(OR(85096.411="",130230.01772=""),"-",130230.01772/85096.411*100)</f>
        <v>153.03820242195644</v>
      </c>
      <c r="E11" s="22">
        <f>IF(85096.411="","-",85096.411/3629752.43882*100)</f>
        <v>2.344413632453239</v>
      </c>
      <c r="F11" s="22">
        <f>IF(130230.01772="","-",130230.01772/3358202.51081*100)</f>
        <v>3.8779679694953377</v>
      </c>
      <c r="G11" s="22">
        <f>IF(OR(2455668.71834="",65288.39254="",85096.411=""),"-",(85096.411-65288.39254)/2455668.71834*100)</f>
        <v>0.80662421246258142</v>
      </c>
      <c r="H11" s="22">
        <f>IF(OR(3629752.43882="",130230.01772="",85096.411=""),"-",(130230.01772-85096.411)/3629752.43882*100)</f>
        <v>1.2434348479884911</v>
      </c>
    </row>
    <row r="12" spans="1:10" s="4" customFormat="1" x14ac:dyDescent="0.25">
      <c r="A12" s="47" t="s">
        <v>3</v>
      </c>
      <c r="B12" s="50">
        <v>102618.83818000001</v>
      </c>
      <c r="C12" s="22">
        <v>103104.98608</v>
      </c>
      <c r="D12" s="68">
        <f>IF(OR(102618.83818="",103104.98608=""),"-",103104.98608/102618.83818*100)</f>
        <v>100.47374137986951</v>
      </c>
      <c r="E12" s="22">
        <f>IF(102618.83818="","-",102618.83818/3629752.43882*100)</f>
        <v>2.8271580475433327</v>
      </c>
      <c r="F12" s="22">
        <f>IF(103104.98608="","-",103104.98608/3358202.51081*100)</f>
        <v>3.0702432550778789</v>
      </c>
      <c r="G12" s="22">
        <f>IF(OR(2455668.71834="",89073.79546="",102618.83818=""),"-",(102618.83818-89073.79546)/2455668.71834*100)</f>
        <v>0.55158265521891259</v>
      </c>
      <c r="H12" s="22">
        <f>IF(OR(3629752.43882="",103104.98608="",102618.83818=""),"-",(103104.98608-102618.83818)/3629752.43882*100)</f>
        <v>1.3393417545523811E-2</v>
      </c>
    </row>
    <row r="13" spans="1:10" s="4" customFormat="1" x14ac:dyDescent="0.25">
      <c r="A13" s="47" t="s">
        <v>4</v>
      </c>
      <c r="B13" s="50">
        <v>133335.46333999999</v>
      </c>
      <c r="C13" s="22">
        <v>67045.267219999994</v>
      </c>
      <c r="D13" s="68">
        <f>IF(OR(133335.46334="",67045.26722=""),"-",67045.26722/133335.46334*100)</f>
        <v>50.283147139210293</v>
      </c>
      <c r="E13" s="22">
        <f>IF(133335.46334="","-",133335.46334/3629752.43882*100)</f>
        <v>3.6734037813153493</v>
      </c>
      <c r="F13" s="22">
        <f>IF(67045.26722="","-",67045.26722/3358202.51081*100)</f>
        <v>1.9964628995476703</v>
      </c>
      <c r="G13" s="22">
        <f>IF(OR(2455668.71834="",58124.80529="",133335.46334=""),"-",(133335.46334-58124.80529)/2455668.71834*100)</f>
        <v>3.0627363328080106</v>
      </c>
      <c r="H13" s="22">
        <f>IF(OR(3629752.43882="",67045.26722="",133335.46334=""),"-",(67045.26722-133335.46334)/3629752.43882*100)</f>
        <v>-1.8263007529392374</v>
      </c>
    </row>
    <row r="14" spans="1:10" s="4" customFormat="1" x14ac:dyDescent="0.25">
      <c r="A14" s="47" t="s">
        <v>34</v>
      </c>
      <c r="B14" s="50">
        <v>33601.848890000001</v>
      </c>
      <c r="C14" s="22">
        <v>50937.370309999998</v>
      </c>
      <c r="D14" s="68">
        <f>IF(OR(33601.84889="",50937.37031=""),"-",50937.37031/33601.84889*100)</f>
        <v>151.59097487983496</v>
      </c>
      <c r="E14" s="22">
        <f>IF(33601.84889="","-",33601.84889/3629752.43882*100)</f>
        <v>0.92573390214247397</v>
      </c>
      <c r="F14" s="22">
        <f>IF(50937.37031="","-",50937.37031/3358202.51081*100)</f>
        <v>1.5168046044285126</v>
      </c>
      <c r="G14" s="22">
        <f>IF(OR(2455668.71834="",29448.79264="",33601.84889=""),"-",(33601.84889-29448.79264)/2455668.71834*100)</f>
        <v>0.16912119370919923</v>
      </c>
      <c r="H14" s="22">
        <f>IF(OR(3629752.43882="",50937.37031="",33601.84889=""),"-",(50937.37031-33601.84889)/3629752.43882*100)</f>
        <v>0.47759514490843963</v>
      </c>
    </row>
    <row r="15" spans="1:10" s="4" customFormat="1" x14ac:dyDescent="0.25">
      <c r="A15" s="47" t="s">
        <v>36</v>
      </c>
      <c r="B15" s="50">
        <v>44720.409630000002</v>
      </c>
      <c r="C15" s="22">
        <v>39987.536119999997</v>
      </c>
      <c r="D15" s="68">
        <f>IF(OR(44720.40963="",39987.53612=""),"-",39987.53612/44720.40963*100)</f>
        <v>89.416748305397832</v>
      </c>
      <c r="E15" s="22">
        <f>IF(44720.40963="","-",44720.40963/3629752.43882*100)</f>
        <v>1.2320512316960714</v>
      </c>
      <c r="F15" s="22">
        <f>IF(39987.53612="","-",39987.53612/3358202.51081*100)</f>
        <v>1.1907422495004623</v>
      </c>
      <c r="G15" s="22">
        <f>IF(OR(2455668.71834="",33963.77827="",44720.40963=""),"-",(44720.40963-33963.77827)/2455668.71834*100)</f>
        <v>0.43803267434506971</v>
      </c>
      <c r="H15" s="22">
        <f>IF(OR(3629752.43882="",39987.53612="",44720.40963=""),"-",(39987.53612-44720.40963)/3629752.43882*100)</f>
        <v>-0.13039108285684131</v>
      </c>
    </row>
    <row r="16" spans="1:10" s="4" customFormat="1" x14ac:dyDescent="0.25">
      <c r="A16" s="47" t="s">
        <v>270</v>
      </c>
      <c r="B16" s="50">
        <v>57131.972029999997</v>
      </c>
      <c r="C16" s="22">
        <v>38058.114869999998</v>
      </c>
      <c r="D16" s="68">
        <f>IF(OR(57131.97203="",38058.11487=""),"-",38058.11487/57131.97203*100)</f>
        <v>66.614390362747642</v>
      </c>
      <c r="E16" s="22">
        <f>IF(57131.97203="","-",57131.97203/3629752.43882*100)</f>
        <v>1.5739908710846708</v>
      </c>
      <c r="F16" s="22">
        <f>IF(38058.11487="","-",38058.11487/3358202.51081*100)</f>
        <v>1.1332882620238518</v>
      </c>
      <c r="G16" s="22">
        <f>IF(OR(2455668.71834="",29219.90865="",57131.97203=""),"-",(57131.97203-29219.90865)/2455668.71834*100)</f>
        <v>1.1366379826212138</v>
      </c>
      <c r="H16" s="22">
        <f>IF(OR(3629752.43882="",38058.11487="",57131.97203=""),"-",(38058.11487-57131.97203)/3629752.43882*100)</f>
        <v>-0.52548644794631616</v>
      </c>
    </row>
    <row r="17" spans="1:8" s="4" customFormat="1" x14ac:dyDescent="0.25">
      <c r="A17" s="47" t="s">
        <v>262</v>
      </c>
      <c r="B17" s="50">
        <v>32372.460159999999</v>
      </c>
      <c r="C17" s="22">
        <v>34005.966139999997</v>
      </c>
      <c r="D17" s="68">
        <f>IF(OR(32372.46016="",34005.96614=""),"-",34005.96614/32372.46016*100)</f>
        <v>105.0459741765885</v>
      </c>
      <c r="E17" s="22">
        <f>IF(32372.46016="","-",32372.46016/3629752.43882*100)</f>
        <v>0.89186413414254762</v>
      </c>
      <c r="F17" s="22">
        <f>IF(34005.96614="","-",34005.96614/3358202.51081*100)</f>
        <v>1.0126240460643854</v>
      </c>
      <c r="G17" s="22">
        <f>IF(OR(2455668.71834="",26140.64052="",32372.46016=""),"-",(32372.46016-26140.64052)/2455668.71834*100)</f>
        <v>0.25377281526038359</v>
      </c>
      <c r="H17" s="22">
        <f>IF(OR(3629752.43882="",34005.96614="",32372.46016=""),"-",(34005.96614-32372.46016)/3629752.43882*100)</f>
        <v>4.5003233899087516E-2</v>
      </c>
    </row>
    <row r="18" spans="1:8" s="6" customFormat="1" x14ac:dyDescent="0.25">
      <c r="A18" s="47" t="s">
        <v>6</v>
      </c>
      <c r="B18" s="50">
        <v>28305.46284</v>
      </c>
      <c r="C18" s="22">
        <v>29791.470109999998</v>
      </c>
      <c r="D18" s="68">
        <f>IF(OR(28305.46284="",29791.47011=""),"-",29791.47011/28305.46284*100)</f>
        <v>105.24989567702825</v>
      </c>
      <c r="E18" s="22">
        <f>IF(28305.46284="","-",28305.46284/3629752.43882*100)</f>
        <v>0.77981799908100213</v>
      </c>
      <c r="F18" s="22">
        <f>IF(29791.47011="","-",29791.47011/3358202.51081*100)</f>
        <v>0.88712547900556138</v>
      </c>
      <c r="G18" s="22">
        <f>IF(OR(2455668.71834="",27491.12217="",28305.46284=""),"-",(28305.46284-27491.12217)/2455668.71834*100)</f>
        <v>3.3161666470650206E-2</v>
      </c>
      <c r="H18" s="22">
        <f>IF(OR(3629752.43882="",29791.47011="",28305.46284=""),"-",(29791.47011-28305.46284)/3629752.43882*100)</f>
        <v>4.0939631422441745E-2</v>
      </c>
    </row>
    <row r="19" spans="1:8" s="4" customFormat="1" x14ac:dyDescent="0.25">
      <c r="A19" s="47" t="s">
        <v>41</v>
      </c>
      <c r="B19" s="50">
        <v>14268.687900000001</v>
      </c>
      <c r="C19" s="22">
        <v>25783.39963</v>
      </c>
      <c r="D19" s="68" t="s">
        <v>338</v>
      </c>
      <c r="E19" s="22">
        <f>IF(14268.6879="","-",14268.6879/3629752.43882*100)</f>
        <v>0.39310361079717665</v>
      </c>
      <c r="F19" s="22">
        <f>IF(25783.39963="","-",25783.39963/3358202.51081*100)</f>
        <v>0.7677738178982253</v>
      </c>
      <c r="G19" s="22">
        <f>IF(OR(2455668.71834="",6579.1694="",14268.6879=""),"-",(14268.6879-6579.1694)/2455668.71834*100)</f>
        <v>0.31313338165573146</v>
      </c>
      <c r="H19" s="22">
        <f>IF(OR(3629752.43882="",25783.39963="",14268.6879=""),"-",(25783.39963-14268.6879)/3629752.43882*100)</f>
        <v>0.31723132428676953</v>
      </c>
    </row>
    <row r="20" spans="1:8" s="4" customFormat="1" x14ac:dyDescent="0.25">
      <c r="A20" s="47" t="s">
        <v>5</v>
      </c>
      <c r="B20" s="50">
        <v>17228.870149999999</v>
      </c>
      <c r="C20" s="22">
        <v>19195.49324</v>
      </c>
      <c r="D20" s="68">
        <f>IF(OR(17228.87015="",19195.49324=""),"-",19195.49324/17228.87015*100)</f>
        <v>111.41469564096751</v>
      </c>
      <c r="E20" s="22">
        <f>IF(17228.87015="","-",17228.87015/3629752.43882*100)</f>
        <v>0.47465689300840996</v>
      </c>
      <c r="F20" s="22">
        <f>IF(19195.49324="","-",19195.49324/3358202.51081*100)</f>
        <v>0.57160022893824936</v>
      </c>
      <c r="G20" s="22">
        <f>IF(OR(2455668.71834="",18210.13765="",17228.87015=""),"-",(17228.87015-18210.13765)/2455668.71834*100)</f>
        <v>-3.9959278410457814E-2</v>
      </c>
      <c r="H20" s="22">
        <f>IF(OR(3629752.43882="",19195.49324="",17228.87015=""),"-",(19195.49324-17228.87015)/3629752.43882*100)</f>
        <v>5.4180639675782759E-2</v>
      </c>
    </row>
    <row r="21" spans="1:8" s="4" customFormat="1" x14ac:dyDescent="0.25">
      <c r="A21" s="47" t="s">
        <v>37</v>
      </c>
      <c r="B21" s="50">
        <v>12013.26989</v>
      </c>
      <c r="C21" s="22">
        <v>16908.032459999999</v>
      </c>
      <c r="D21" s="68">
        <f>IF(OR(12013.26989="",16908.03246=""),"-",16908.03246/12013.26989*100)</f>
        <v>140.74463168495416</v>
      </c>
      <c r="E21" s="22">
        <f>IF(12013.26989="","-",12013.26989/3629752.43882*100)</f>
        <v>0.33096664559044708</v>
      </c>
      <c r="F21" s="22">
        <f>IF(16908.03246="","-",16908.03246/3358202.51081*100)</f>
        <v>0.50348459944191315</v>
      </c>
      <c r="G21" s="22">
        <f>IF(OR(2455668.71834="",6145.00964="",12013.26989=""),"-",(12013.26989-6145.00964)/2455668.71834*100)</f>
        <v>0.23896791151726957</v>
      </c>
      <c r="H21" s="22">
        <f>IF(OR(3629752.43882="",16908.03246="",12013.26989=""),"-",(16908.03246-12013.26989)/3629752.43882*100)</f>
        <v>0.13485114074587529</v>
      </c>
    </row>
    <row r="22" spans="1:8" s="4" customFormat="1" x14ac:dyDescent="0.25">
      <c r="A22" s="47" t="s">
        <v>35</v>
      </c>
      <c r="B22" s="50">
        <v>15483.628640000001</v>
      </c>
      <c r="C22" s="22">
        <v>12472.352070000001</v>
      </c>
      <c r="D22" s="68">
        <f>IF(OR(15483.62864="",12472.35207=""),"-",12472.35207/15483.62864*100)</f>
        <v>80.551867782331428</v>
      </c>
      <c r="E22" s="22">
        <f>IF(15483.62864="","-",15483.62864/3629752.43882*100)</f>
        <v>0.4265753353976281</v>
      </c>
      <c r="F22" s="22">
        <f>IF(12472.35207="","-",12472.35207/3358202.51081*100)</f>
        <v>0.37139964102378281</v>
      </c>
      <c r="G22" s="22">
        <f>IF(OR(2455668.71834="",18283.40611="",15483.62864=""),"-",(15483.62864-18283.40611)/2455668.71834*100)</f>
        <v>-0.11401283280151127</v>
      </c>
      <c r="H22" s="22">
        <f>IF(OR(3629752.43882="",12472.35207="",15483.62864=""),"-",(12472.35207-15483.62864)/3629752.43882*100)</f>
        <v>-8.2960935236093936E-2</v>
      </c>
    </row>
    <row r="23" spans="1:8" s="4" customFormat="1" x14ac:dyDescent="0.25">
      <c r="A23" s="47" t="s">
        <v>38</v>
      </c>
      <c r="B23" s="50">
        <v>14093.51735</v>
      </c>
      <c r="C23" s="22">
        <v>10647.36975</v>
      </c>
      <c r="D23" s="68">
        <f>IF(OR(14093.51735="",10647.36975=""),"-",10647.36975/14093.51735*100)</f>
        <v>75.547994766544207</v>
      </c>
      <c r="E23" s="22">
        <f>IF(14093.51735="","-",14093.51735/3629752.43882*100)</f>
        <v>0.38827764668660647</v>
      </c>
      <c r="F23" s="22">
        <f>IF(10647.36975="","-",10647.36975/3358202.51081*100)</f>
        <v>0.31705561876409444</v>
      </c>
      <c r="G23" s="22">
        <f>IF(OR(2455668.71834="",12257.52645="",14093.51735=""),"-",(14093.51735-12257.52645)/2455668.71834*100)</f>
        <v>7.4765414662328986E-2</v>
      </c>
      <c r="H23" s="22">
        <f>IF(OR(3629752.43882="",10647.36975="",14093.51735=""),"-",(10647.36975-14093.51735)/3629752.43882*100)</f>
        <v>-9.4941670488148E-2</v>
      </c>
    </row>
    <row r="24" spans="1:8" s="4" customFormat="1" x14ac:dyDescent="0.25">
      <c r="A24" s="47" t="s">
        <v>263</v>
      </c>
      <c r="B24" s="50">
        <v>3449.7955900000002</v>
      </c>
      <c r="C24" s="22">
        <v>9219.1654400000007</v>
      </c>
      <c r="D24" s="68" t="s">
        <v>356</v>
      </c>
      <c r="E24" s="22">
        <f>IF(3449.79559="","-",3449.79559/3629752.43882*100)</f>
        <v>9.5042172934567903E-2</v>
      </c>
      <c r="F24" s="22">
        <f>IF(9219.16544="","-",9219.16544/3358202.51081*100)</f>
        <v>0.27452678658668306</v>
      </c>
      <c r="G24" s="22">
        <f>IF(OR(2455668.71834="",1906.16426="",3449.79559=""),"-",(3449.79559-1906.16426)/2455668.71834*100)</f>
        <v>6.2859917482822145E-2</v>
      </c>
      <c r="H24" s="22">
        <f>IF(OR(3629752.43882="",9219.16544="",3449.79559=""),"-",(9219.16544-3449.79559)/3629752.43882*100)</f>
        <v>0.15894664849031884</v>
      </c>
    </row>
    <row r="25" spans="1:8" s="2" customFormat="1" x14ac:dyDescent="0.25">
      <c r="A25" s="47" t="s">
        <v>39</v>
      </c>
      <c r="B25" s="50">
        <v>5393.0221199999996</v>
      </c>
      <c r="C25" s="22">
        <v>9146.4198199999992</v>
      </c>
      <c r="D25" s="68" t="s">
        <v>333</v>
      </c>
      <c r="E25" s="22">
        <f>IF(5393.02212="","-",5393.02212/3629752.43882*100)</f>
        <v>0.14857823531770181</v>
      </c>
      <c r="F25" s="22">
        <f>IF(9146.41982="","-",9146.41982/3358202.51081*100)</f>
        <v>0.27236057952305798</v>
      </c>
      <c r="G25" s="22">
        <f>IF(OR(2455668.71834="",5622.52261="",5393.02212=""),"-",(5393.02212-5622.52261)/2455668.71834*100)</f>
        <v>-9.3457431080174232E-3</v>
      </c>
      <c r="H25" s="22">
        <f>IF(OR(3629752.43882="",9146.41982="",5393.02212=""),"-",(9146.41982-5393.02212)/3629752.43882*100)</f>
        <v>0.10340643785668743</v>
      </c>
    </row>
    <row r="26" spans="1:8" s="2" customFormat="1" x14ac:dyDescent="0.25">
      <c r="A26" s="47" t="s">
        <v>40</v>
      </c>
      <c r="B26" s="50">
        <v>2910.0455000000002</v>
      </c>
      <c r="C26" s="22">
        <v>2943.6808900000001</v>
      </c>
      <c r="D26" s="68">
        <f>IF(OR(2910.0455="",2943.68089=""),"-",2943.68089/2910.0455*100)</f>
        <v>101.15583725409105</v>
      </c>
      <c r="E26" s="22">
        <f>IF(2910.0455="","-",2910.0455/3629752.43882*100)</f>
        <v>8.0172010324374349E-2</v>
      </c>
      <c r="F26" s="22">
        <f>IF(2943.68089="","-",2943.68089/3358202.51081*100)</f>
        <v>8.765644360411079E-2</v>
      </c>
      <c r="G26" s="22">
        <f>IF(OR(2455668.71834="",3920.47001="",2910.0455=""),"-",(2910.0455-3920.47001)/2455668.71834*100)</f>
        <v>-4.1146613240365483E-2</v>
      </c>
      <c r="H26" s="22">
        <f>IF(OR(3629752.43882="",2943.68089="",2910.0455=""),"-",(2943.68089-2910.0455)/3629752.43882*100)</f>
        <v>9.266579626828346E-4</v>
      </c>
    </row>
    <row r="27" spans="1:8" s="4" customFormat="1" x14ac:dyDescent="0.25">
      <c r="A27" s="47" t="s">
        <v>45</v>
      </c>
      <c r="B27" s="50">
        <v>22127.374080000001</v>
      </c>
      <c r="C27" s="22">
        <v>2713.6954900000001</v>
      </c>
      <c r="D27" s="68">
        <f>IF(OR(22127.37408="",2713.69549=""),"-",2713.69549/22127.37408*100)</f>
        <v>12.263974388415093</v>
      </c>
      <c r="E27" s="22">
        <f>IF(22127.37408="","-",22127.37408/3629752.43882*100)</f>
        <v>0.60961110855244482</v>
      </c>
      <c r="F27" s="22">
        <f>IF(2713.69549="","-",2713.69549/3358202.51081*100)</f>
        <v>8.0807976328546541E-2</v>
      </c>
      <c r="G27" s="22">
        <f>IF(OR(2455668.71834="",16182.83006="",22127.37408=""),"-",(22127.37408-16182.83006)/2455668.71834*100)</f>
        <v>0.24207434722784738</v>
      </c>
      <c r="H27" s="22">
        <f>IF(OR(3629752.43882="",2713.69549="",22127.37408=""),"-",(2713.69549-22127.37408)/3629752.43882*100)</f>
        <v>-0.53484855833063971</v>
      </c>
    </row>
    <row r="28" spans="1:8" s="4" customFormat="1" x14ac:dyDescent="0.25">
      <c r="A28" s="47" t="s">
        <v>42</v>
      </c>
      <c r="B28" s="50">
        <v>1193.9000100000001</v>
      </c>
      <c r="C28" s="22">
        <v>1602.57023</v>
      </c>
      <c r="D28" s="68">
        <f>IF(OR(1193.90001="",1602.57023=""),"-",1602.57023/1193.90001*100)</f>
        <v>134.22985313485339</v>
      </c>
      <c r="E28" s="22">
        <f>IF(1193.90001="","-",1193.90001/3629752.43882*100)</f>
        <v>3.2892050632194803E-2</v>
      </c>
      <c r="F28" s="22">
        <f>IF(1602.57023="","-",1602.57023/3358202.51081*100)</f>
        <v>4.7721071759113762E-2</v>
      </c>
      <c r="G28" s="22">
        <f>IF(OR(2455668.71834="",1135.68453="",1193.90001=""),"-",(1193.90001-1135.68453)/2455668.71834*100)</f>
        <v>2.3706569035644586E-3</v>
      </c>
      <c r="H28" s="22">
        <f>IF(OR(3629752.43882="",1602.57023="",1193.90001=""),"-",(1602.57023-1193.90001)/3629752.43882*100)</f>
        <v>1.1258900624441898E-2</v>
      </c>
    </row>
    <row r="29" spans="1:8" s="2" customFormat="1" x14ac:dyDescent="0.25">
      <c r="A29" s="47" t="s">
        <v>44</v>
      </c>
      <c r="B29" s="50">
        <v>1358.3324700000001</v>
      </c>
      <c r="C29" s="22">
        <v>680.95839000000001</v>
      </c>
      <c r="D29" s="68">
        <f>IF(OR(1358.33247="",680.95839=""),"-",680.95839/1358.33247*100)</f>
        <v>50.131937875268484</v>
      </c>
      <c r="E29" s="22">
        <f>IF(1358.33247="","-",1358.33247/3629752.43882*100)</f>
        <v>3.7422179415673371E-2</v>
      </c>
      <c r="F29" s="22">
        <f>IF(680.95839="","-",680.95839/3358202.51081*100)</f>
        <v>2.0277466525857386E-2</v>
      </c>
      <c r="G29" s="22">
        <f>IF(OR(2455668.71834="",851.01494="",1358.33247=""),"-",(1358.33247-851.01494)/2455668.71834*100)</f>
        <v>2.0659037850306618E-2</v>
      </c>
      <c r="H29" s="22">
        <f>IF(OR(3629752.43882="",680.95839="",1358.33247=""),"-",(680.95839-1358.33247)/3629752.43882*100)</f>
        <v>-1.8661715679436482E-2</v>
      </c>
    </row>
    <row r="30" spans="1:8" s="2" customFormat="1" x14ac:dyDescent="0.25">
      <c r="A30" s="47" t="s">
        <v>47</v>
      </c>
      <c r="B30" s="50">
        <v>732.91546000000005</v>
      </c>
      <c r="C30" s="22">
        <v>585.20372999999995</v>
      </c>
      <c r="D30" s="68">
        <f>IF(OR(732.91546="",585.20373=""),"-",585.20373/732.91546*100)</f>
        <v>79.846007068809811</v>
      </c>
      <c r="E30" s="22">
        <f>IF(732.91546="","-",732.91546/3629752.43882*100)</f>
        <v>2.0191885599731545E-2</v>
      </c>
      <c r="F30" s="22">
        <f>IF(585.20373="","-",585.20373/3358202.51081*100)</f>
        <v>1.7426100067409234E-2</v>
      </c>
      <c r="G30" s="22">
        <f>IF(OR(2455668.71834="",663.50475="",732.91546=""),"-",(732.91546-663.50475)/2455668.71834*100)</f>
        <v>2.8265502378887995E-3</v>
      </c>
      <c r="H30" s="22">
        <f>IF(OR(3629752.43882="",585.20373="",732.91546=""),"-",(585.20373-732.91546)/3629752.43882*100)</f>
        <v>-4.0694711964439061E-3</v>
      </c>
    </row>
    <row r="31" spans="1:8" s="2" customFormat="1" x14ac:dyDescent="0.25">
      <c r="A31" s="47" t="s">
        <v>46</v>
      </c>
      <c r="B31" s="50">
        <v>150.65678</v>
      </c>
      <c r="C31" s="22">
        <v>491.27524</v>
      </c>
      <c r="D31" s="68" t="s">
        <v>369</v>
      </c>
      <c r="E31" s="22">
        <f>IF(150.65678="","-",150.65678/3629752.43882*100)</f>
        <v>4.1506075838322783E-3</v>
      </c>
      <c r="F31" s="22">
        <f>IF(491.27524="","-",491.27524/3358202.51081*100)</f>
        <v>1.4629112997759751E-2</v>
      </c>
      <c r="G31" s="22">
        <f>IF(OR(2455668.71834="",661.93135="",150.65678=""),"-",(150.65678-661.93135)/2455668.71834*100)</f>
        <v>-2.0820176849653191E-2</v>
      </c>
      <c r="H31" s="22">
        <f>IF(OR(3629752.43882="",491.27524="",150.65678=""),"-",(491.27524-150.65678)/3629752.43882*100)</f>
        <v>9.3840686311579997E-3</v>
      </c>
    </row>
    <row r="32" spans="1:8" s="2" customFormat="1" x14ac:dyDescent="0.25">
      <c r="A32" s="47" t="s">
        <v>43</v>
      </c>
      <c r="B32" s="50">
        <v>377.30997000000002</v>
      </c>
      <c r="C32" s="22">
        <v>390.72009000000003</v>
      </c>
      <c r="D32" s="68">
        <f>IF(OR(377.30997="",390.72009=""),"-",390.72009/377.30997*100)</f>
        <v>103.55413878938846</v>
      </c>
      <c r="E32" s="22">
        <f>IF(377.30997="","-",377.30997/3629752.43882*100)</f>
        <v>1.0394922969530675E-2</v>
      </c>
      <c r="F32" s="22">
        <f>IF(390.72009="","-",390.72009/3358202.51081*100)</f>
        <v>1.1634798340549098E-2</v>
      </c>
      <c r="G32" s="22">
        <f>IF(OR(2455668.71834="",1541.01908="",377.30997=""),"-",(377.30997-1541.01908)/2455668.71834*100)</f>
        <v>-4.7388684854309346E-2</v>
      </c>
      <c r="H32" s="22">
        <f>IF(OR(3629752.43882="",390.72009="",377.30997=""),"-",(390.72009-377.30997)/3629752.43882*100)</f>
        <v>3.6944998938714165E-4</v>
      </c>
    </row>
    <row r="33" spans="1:8" s="2" customFormat="1" x14ac:dyDescent="0.25">
      <c r="A33" s="47" t="s">
        <v>49</v>
      </c>
      <c r="B33" s="50">
        <v>11.652469999999999</v>
      </c>
      <c r="C33" s="22">
        <v>210.98715000000001</v>
      </c>
      <c r="D33" s="68" t="s">
        <v>370</v>
      </c>
      <c r="E33" s="22">
        <f>IF(11.65247="","-",11.65247/3629752.43882*100)</f>
        <v>3.210265767818621E-4</v>
      </c>
      <c r="F33" s="22">
        <f>IF(210.98715="","-",210.98715/3358202.51081*100)</f>
        <v>6.2827405232661147E-3</v>
      </c>
      <c r="G33" s="22">
        <f>IF(OR(2455668.71834="",1.73547="",11.65247=""),"-",(11.65247-1.73547)/2455668.71834*100)</f>
        <v>4.0384111773447039E-4</v>
      </c>
      <c r="H33" s="22">
        <f>IF(OR(3629752.43882="",210.98715="",11.65247=""),"-",(210.98715-11.65247)/3629752.43882*100)</f>
        <v>5.4916880244538641E-3</v>
      </c>
    </row>
    <row r="34" spans="1:8" s="5" customFormat="1" ht="16.5" customHeight="1" x14ac:dyDescent="0.2">
      <c r="A34" s="47" t="s">
        <v>48</v>
      </c>
      <c r="B34" s="50">
        <v>90.178719999999998</v>
      </c>
      <c r="C34" s="22">
        <v>7.82273</v>
      </c>
      <c r="D34" s="68">
        <f>IF(OR(90.17872="",7.82273=""),"-",7.82273/90.17872*100)</f>
        <v>8.6746962032727897</v>
      </c>
      <c r="E34" s="22">
        <f>IF(90.17872="","-",90.17872/3629752.43882*100)</f>
        <v>2.4844316938958046E-3</v>
      </c>
      <c r="F34" s="22">
        <f>IF(7.82273="","-",7.82273/3358202.51081*100)</f>
        <v>2.3294396257577548E-4</v>
      </c>
      <c r="G34" s="22">
        <f>IF(OR(2455668.71834="",9.78503="",90.17872=""),"-",(90.17872-9.78503)/2455668.71834*100)</f>
        <v>3.2738003053744591E-3</v>
      </c>
      <c r="H34" s="22">
        <f>IF(OR(3629752.43882="",7.82273="",90.17872=""),"-",(7.82273-90.17872)/3629752.43882*100)</f>
        <v>-2.268914792072519E-3</v>
      </c>
    </row>
    <row r="35" spans="1:8" s="5" customFormat="1" ht="15.75" customHeight="1" x14ac:dyDescent="0.2">
      <c r="A35" s="46" t="s">
        <v>114</v>
      </c>
      <c r="B35" s="51">
        <v>828075.66937999998</v>
      </c>
      <c r="C35" s="21">
        <v>778082.39656999998</v>
      </c>
      <c r="D35" s="67">
        <f>IF(828075.66938="","-",778082.39657/828075.66938*100)</f>
        <v>93.962716855643009</v>
      </c>
      <c r="E35" s="21">
        <f>IF(828075.66938="","-",828075.66938/3629752.43882*100)</f>
        <v>22.813557765642003</v>
      </c>
      <c r="F35" s="21">
        <f>IF(778082.39657="","-",778082.39657/3358202.51081*100)</f>
        <v>23.169609160417373</v>
      </c>
      <c r="G35" s="21">
        <f>IF(2455668.71834="","-",(828075.66938-372346.44726)/2455668.71834*100)</f>
        <v>18.558253347302767</v>
      </c>
      <c r="H35" s="21">
        <f>IF(3629752.43882="","-",(778082.39657-828075.66938)/3629752.43882*100)</f>
        <v>-1.377319077613248</v>
      </c>
    </row>
    <row r="36" spans="1:8" s="5" customFormat="1" ht="17.25" customHeight="1" x14ac:dyDescent="0.2">
      <c r="A36" s="47" t="s">
        <v>8</v>
      </c>
      <c r="B36" s="50">
        <v>563037.52148</v>
      </c>
      <c r="C36" s="22">
        <v>526746.76922999998</v>
      </c>
      <c r="D36" s="68">
        <f>IF(OR(563037.52148="",526746.76923=""),"-",526746.76923/563037.52148*100)</f>
        <v>93.554470019226045</v>
      </c>
      <c r="E36" s="22">
        <f>IF(563037.52148="","-",563037.52148/3629752.43882*100)</f>
        <v>15.511733402486216</v>
      </c>
      <c r="F36" s="22">
        <f>IF(526746.76923="","-",526746.76923/3358202.51081*100)</f>
        <v>15.685378339585258</v>
      </c>
      <c r="G36" s="22">
        <f>IF(OR(2455668.71834="",73988.64559="",563037.52148=""),"-",(563037.52148-73988.64559)/2455668.71834*100)</f>
        <v>19.915099794918213</v>
      </c>
      <c r="H36" s="22">
        <f>IF(OR(3629752.43882="",526746.76923="",563037.52148=""),"-",(526746.76923-563037.52148)/3629752.43882*100)</f>
        <v>-0.99981342699497766</v>
      </c>
    </row>
    <row r="37" spans="1:8" s="3" customFormat="1" ht="18" customHeight="1" x14ac:dyDescent="0.2">
      <c r="A37" s="47" t="s">
        <v>264</v>
      </c>
      <c r="B37" s="50">
        <v>166490.32352999999</v>
      </c>
      <c r="C37" s="22">
        <v>117409.32449</v>
      </c>
      <c r="D37" s="68">
        <f>IF(OR(166490.32353="",117409.32449=""),"-",117409.32449/166490.32353*100)</f>
        <v>70.520209223357028</v>
      </c>
      <c r="E37" s="22">
        <f>IF(166490.32353="","-",166490.32353/3629752.43882*100)</f>
        <v>4.5868231053279356</v>
      </c>
      <c r="F37" s="22">
        <f>IF(117409.32449="","-",117409.32449/3358202.51081*100)</f>
        <v>3.4961954829126971</v>
      </c>
      <c r="G37" s="22">
        <f>IF(OR(2455668.71834="",221850.66567="",166490.32353=""),"-",(166490.32353-221850.66567)/2455668.71834*100)</f>
        <v>-2.254389679134849</v>
      </c>
      <c r="H37" s="22">
        <f>IF(OR(3629752.43882="",117409.32449="",166490.32353=""),"-",(117409.32449-166490.32353)/3629752.43882*100)</f>
        <v>-1.352185854745394</v>
      </c>
    </row>
    <row r="38" spans="1:8" s="5" customFormat="1" ht="15.75" customHeight="1" x14ac:dyDescent="0.2">
      <c r="A38" s="47" t="s">
        <v>7</v>
      </c>
      <c r="B38" s="50">
        <v>63163.896509999999</v>
      </c>
      <c r="C38" s="22">
        <v>71026.523419999998</v>
      </c>
      <c r="D38" s="68">
        <f>IF(OR(63163.89651="",71026.52342=""),"-",71026.52342/63163.89651*100)</f>
        <v>112.44797636693487</v>
      </c>
      <c r="E38" s="22">
        <f>IF(63163.89651="","-",63163.89651/3629752.43882*100)</f>
        <v>1.7401709228008406</v>
      </c>
      <c r="F38" s="22">
        <f>IF(71026.52342="","-",71026.52342/3358202.51081*100)</f>
        <v>2.1150160894516263</v>
      </c>
      <c r="G38" s="22">
        <f>IF(OR(2455668.71834="",53030.97718="",63163.89651=""),"-",(63163.89651-53030.97718)/2455668.71834*100)</f>
        <v>0.41263380741559136</v>
      </c>
      <c r="H38" s="22">
        <f>IF(OR(3629752.43882="",71026.52342="",63163.89651=""),"-",(71026.52342-63163.89651)/3629752.43882*100)</f>
        <v>0.21661606521452106</v>
      </c>
    </row>
    <row r="39" spans="1:8" s="3" customFormat="1" ht="16.5" customHeight="1" x14ac:dyDescent="0.2">
      <c r="A39" s="47" t="s">
        <v>9</v>
      </c>
      <c r="B39" s="50">
        <v>19339.942660000001</v>
      </c>
      <c r="C39" s="22">
        <v>37204.874490000002</v>
      </c>
      <c r="D39" s="68" t="s">
        <v>334</v>
      </c>
      <c r="E39" s="22">
        <f>IF(19339.94266="","-",19339.94266/3629752.43882*100)</f>
        <v>0.53281712695225136</v>
      </c>
      <c r="F39" s="22">
        <f>IF(37204.87449="","-",37204.87449/3358202.51081*100)</f>
        <v>1.10788061083982</v>
      </c>
      <c r="G39" s="22">
        <f>IF(OR(2455668.71834="",11259.83845="",19339.94266=""),"-",(19339.94266-11259.83845)/2455668.71834*100)</f>
        <v>0.32903885404632455</v>
      </c>
      <c r="H39" s="22">
        <f>IF(OR(3629752.43882="",37204.87449="",19339.94266=""),"-",(37204.87449-19339.94266)/3629752.43882*100)</f>
        <v>0.4921804484221996</v>
      </c>
    </row>
    <row r="40" spans="1:8" s="3" customFormat="1" ht="17.25" customHeight="1" x14ac:dyDescent="0.2">
      <c r="A40" s="47" t="s">
        <v>266</v>
      </c>
      <c r="B40" s="50">
        <v>2700.1772999999998</v>
      </c>
      <c r="C40" s="22">
        <v>7528.7931900000003</v>
      </c>
      <c r="D40" s="68" t="s">
        <v>353</v>
      </c>
      <c r="E40" s="22">
        <f>IF(2700.1773="","-",2700.1773/3629752.43882*100)</f>
        <v>7.439012289438128E-2</v>
      </c>
      <c r="F40" s="22">
        <f>IF(7528.79319="","-",7528.79319/3358202.51081*100)</f>
        <v>0.22419116077023157</v>
      </c>
      <c r="G40" s="22">
        <f>IF(OR(2455668.71834="",1429.0472="",2700.1773=""),"-",(2700.1773-1429.0472)/2455668.71834*100)</f>
        <v>5.1763093714825965E-2</v>
      </c>
      <c r="H40" s="22">
        <f>IF(OR(3629752.43882="",7528.79319="",2700.1773=""),"-",(7528.79319-2700.1773)/3629752.43882*100)</f>
        <v>0.13302879387470681</v>
      </c>
    </row>
    <row r="41" spans="1:8" s="3" customFormat="1" ht="16.5" customHeight="1" x14ac:dyDescent="0.2">
      <c r="A41" s="47" t="s">
        <v>11</v>
      </c>
      <c r="B41" s="50">
        <v>6488.5566799999997</v>
      </c>
      <c r="C41" s="22">
        <v>7397.0525600000001</v>
      </c>
      <c r="D41" s="68">
        <f>IF(OR(6488.55668="",7397.05256=""),"-",7397.05256/6488.55668*100)</f>
        <v>114.00150950056893</v>
      </c>
      <c r="E41" s="22">
        <f>IF(6488.55668="","-",6488.55668/3629752.43882*100)</f>
        <v>0.17876030912205604</v>
      </c>
      <c r="F41" s="22">
        <f>IF(7397.05256="","-",7397.05256/3358202.51081*100)</f>
        <v>0.22026821003763192</v>
      </c>
      <c r="G41" s="22">
        <f>IF(OR(2455668.71834="",5897.48876="",6488.55668=""),"-",(6488.55668-5897.48876)/2455668.71834*100)</f>
        <v>2.4069530046363651E-2</v>
      </c>
      <c r="H41" s="22">
        <f>IF(OR(3629752.43882="",7397.05256="",6488.55668=""),"-",(7397.05256-6488.55668)/3629752.43882*100)</f>
        <v>2.5029141664971076E-2</v>
      </c>
    </row>
    <row r="42" spans="1:8" s="3" customFormat="1" ht="16.5" customHeight="1" x14ac:dyDescent="0.2">
      <c r="A42" s="47" t="s">
        <v>13</v>
      </c>
      <c r="B42" s="50">
        <v>2428.4617499999999</v>
      </c>
      <c r="C42" s="22">
        <v>4660.0537700000004</v>
      </c>
      <c r="D42" s="68" t="s">
        <v>334</v>
      </c>
      <c r="E42" s="22">
        <f>IF(2428.46175="","-",2428.46175/3629752.43882*100)</f>
        <v>6.6904335514117619E-2</v>
      </c>
      <c r="F42" s="22">
        <f>IF(4660.05377="","-",4660.05377/3358202.51081*100)</f>
        <v>0.13876631188855831</v>
      </c>
      <c r="G42" s="22">
        <f>IF(OR(2455668.71834="",697.31186="",2428.46175=""),"-",(2428.46175-697.31186)/2455668.71834*100)</f>
        <v>7.0496068018907482E-2</v>
      </c>
      <c r="H42" s="22">
        <f>IF(OR(3629752.43882="",4660.05377="",2428.46175=""),"-",(4660.05377-2428.46175)/3629752.43882*100)</f>
        <v>6.1480557079685333E-2</v>
      </c>
    </row>
    <row r="43" spans="1:8" s="2" customFormat="1" ht="17.25" customHeight="1" x14ac:dyDescent="0.25">
      <c r="A43" s="47" t="s">
        <v>10</v>
      </c>
      <c r="B43" s="50">
        <v>3096.9527499999999</v>
      </c>
      <c r="C43" s="22">
        <v>4422.5935200000004</v>
      </c>
      <c r="D43" s="68">
        <f>IF(OR(3096.95275="",4422.59352=""),"-",4422.59352/3096.95275*100)</f>
        <v>142.80468179567805</v>
      </c>
      <c r="E43" s="22">
        <f>IF(3096.95275="","-",3096.95275/3629752.43882*100)</f>
        <v>8.5321321555659357E-2</v>
      </c>
      <c r="F43" s="22">
        <f>IF(4422.59352="","-",4422.59352/3358202.51081*100)</f>
        <v>0.13169525976363078</v>
      </c>
      <c r="G43" s="22">
        <f>IF(OR(2455668.71834="",3448.06536="",3096.95275=""),"-",(3096.95275-3448.06536)/2455668.71834*100)</f>
        <v>-1.4298044657967858E-2</v>
      </c>
      <c r="H43" s="22">
        <f>IF(OR(3629752.43882="",4422.59352="",3096.95275=""),"-",(4422.59352-3096.95275)/3629752.43882*100)</f>
        <v>3.6521520195767251E-2</v>
      </c>
    </row>
    <row r="44" spans="1:8" s="2" customFormat="1" x14ac:dyDescent="0.25">
      <c r="A44" s="47" t="s">
        <v>12</v>
      </c>
      <c r="B44" s="50">
        <v>1176.3748499999999</v>
      </c>
      <c r="C44" s="22">
        <v>1535.5658599999999</v>
      </c>
      <c r="D44" s="68">
        <f>IF(OR(1176.37485="",1535.56586=""),"-",1535.56586/1176.37485*100)</f>
        <v>130.53372060784875</v>
      </c>
      <c r="E44" s="22">
        <f>IF(1176.37485="","-",1176.37485/3629752.43882*100)</f>
        <v>3.2409230927672547E-2</v>
      </c>
      <c r="F44" s="22">
        <f>IF(1535.56586="","-",1535.56586/3358202.51081*100)</f>
        <v>4.5725826690231994E-2</v>
      </c>
      <c r="G44" s="22">
        <f>IF(OR(2455668.71834="",524.29943="",1176.37485=""),"-",(1176.37485-524.29943)/2455668.71834*100)</f>
        <v>2.6553883882219846E-2</v>
      </c>
      <c r="H44" s="22">
        <f>IF(OR(3629752.43882="",1535.56586="",1176.37485=""),"-",(1535.56586-1176.37485)/3629752.43882*100)</f>
        <v>9.8957440226080488E-3</v>
      </c>
    </row>
    <row r="45" spans="1:8" s="4" customFormat="1" x14ac:dyDescent="0.25">
      <c r="A45" s="47" t="s">
        <v>14</v>
      </c>
      <c r="B45" s="50">
        <v>153.46187</v>
      </c>
      <c r="C45" s="22">
        <v>150.84603999999999</v>
      </c>
      <c r="D45" s="68">
        <f>IF(OR(153.46187="",150.84604=""),"-",150.84604/153.46187*100)</f>
        <v>98.295452805312479</v>
      </c>
      <c r="E45" s="22">
        <f>IF(153.46187="","-",153.46187/3629752.43882*100)</f>
        <v>4.2278880608697684E-3</v>
      </c>
      <c r="F45" s="22">
        <f>IF(150.84604="","-",150.84604/3358202.51081*100)</f>
        <v>4.4918684776879599E-3</v>
      </c>
      <c r="G45" s="22">
        <f>IF(OR(2455668.71834="",220.10776="",153.46187=""),"-",(153.46187-220.10776)/2455668.71834*100)</f>
        <v>-2.7139609468597929E-3</v>
      </c>
      <c r="H45" s="22">
        <f>IF(OR(3629752.43882="",150.84604="",153.46187=""),"-",(150.84604-153.46187)/3629752.43882*100)</f>
        <v>-7.2066347336084439E-5</v>
      </c>
    </row>
    <row r="46" spans="1:8" s="2" customFormat="1" x14ac:dyDescent="0.25">
      <c r="A46" s="46" t="s">
        <v>115</v>
      </c>
      <c r="B46" s="51">
        <v>653191.85103000002</v>
      </c>
      <c r="C46" s="51">
        <v>406631.54366000002</v>
      </c>
      <c r="D46" s="67">
        <f>IF(653191.85103="","-",406631.54366/653191.85103*100)</f>
        <v>62.253003159606791</v>
      </c>
      <c r="E46" s="21">
        <f>IF(653191.85103="","-",653191.85103/3629752.43882*100)</f>
        <v>17.995493137332165</v>
      </c>
      <c r="F46" s="21">
        <f>IF(406631.54366="","-",406631.54366/3358202.51081*100)</f>
        <v>12.108606980998307</v>
      </c>
      <c r="G46" s="21">
        <f>IF(2455668.71834="","-",(653191.85103-574054.67409)/2455668.71834*100)</f>
        <v>3.2226324483009146</v>
      </c>
      <c r="H46" s="21">
        <f>IF(3629752.43882="","-",(406631.54366-653191.85103)/3629752.43882*100)</f>
        <v>-6.7927582259619497</v>
      </c>
    </row>
    <row r="47" spans="1:8" s="6" customFormat="1" x14ac:dyDescent="0.25">
      <c r="A47" s="70" t="s">
        <v>50</v>
      </c>
      <c r="B47" s="52">
        <v>271869.10665999999</v>
      </c>
      <c r="C47" s="52">
        <v>113615.49717</v>
      </c>
      <c r="D47" s="68">
        <f>IF(OR(271869.10666="",113615.49717=""),"-",113615.49717/271869.10666*100)</f>
        <v>41.790514032948863</v>
      </c>
      <c r="E47" s="22">
        <f>IF(271869.10666="","-",271869.10666/3629752.43882*100)</f>
        <v>7.4900178797973949</v>
      </c>
      <c r="F47" s="22">
        <f>IF(113615.49717="","-",113615.49717/3358202.51081*100)</f>
        <v>3.38322351925691</v>
      </c>
      <c r="G47" s="22">
        <f>IF(OR(2455668.71834="",236957.05883="",271869.10666=""),"-",(271869.10666-236957.05883)/2455668.71834*100)</f>
        <v>1.421692086121457</v>
      </c>
      <c r="H47" s="22">
        <f>IF(OR(3629752.43882="",113615.49717="",271869.10666=""),"-",(113615.49717-271869.10666)/3629752.43882*100)</f>
        <v>-4.359900906670287</v>
      </c>
    </row>
    <row r="48" spans="1:8" s="4" customFormat="1" x14ac:dyDescent="0.25">
      <c r="A48" s="70" t="s">
        <v>15</v>
      </c>
      <c r="B48" s="52">
        <v>36002.374799999998</v>
      </c>
      <c r="C48" s="52">
        <v>44064.28138</v>
      </c>
      <c r="D48" s="68">
        <f>IF(OR(36002.3748="",44064.28138=""),"-",44064.28138/36002.3748*100)</f>
        <v>122.39270777215508</v>
      </c>
      <c r="E48" s="22">
        <f>IF(36002.3748="","-",36002.3748/3629752.43882*100)</f>
        <v>0.99186860279937028</v>
      </c>
      <c r="F48" s="22">
        <f>IF(44064.28138="","-",44064.28138/3358202.51081*100)</f>
        <v>1.3121388968699113</v>
      </c>
      <c r="G48" s="22">
        <f>IF(OR(2455668.71834="",24154.36008="",36002.3748=""),"-",(36002.3748-24154.36008)/2455668.71834*100)</f>
        <v>0.48247610239581101</v>
      </c>
      <c r="H48" s="22">
        <f>IF(OR(3629752.43882="",44064.28138="",36002.3748=""),"-",(44064.28138-36002.3748)/3629752.43882*100)</f>
        <v>0.22210623770862062</v>
      </c>
    </row>
    <row r="49" spans="1:8" s="2" customFormat="1" ht="18" customHeight="1" x14ac:dyDescent="0.25">
      <c r="A49" s="48" t="s">
        <v>318</v>
      </c>
      <c r="B49" s="52">
        <v>55010.660230000001</v>
      </c>
      <c r="C49" s="52">
        <v>33525.613980000002</v>
      </c>
      <c r="D49" s="68">
        <f>IF(OR(55010.66023="",33525.61398=""),"-",33525.61398/55010.66023*100)</f>
        <v>60.943849500858825</v>
      </c>
      <c r="E49" s="22">
        <f>IF(55010.66023="","-",55010.66023/3629752.43882*100)</f>
        <v>1.5155485437977547</v>
      </c>
      <c r="F49" s="22">
        <f>IF(33525.61398="","-",33525.61398/3358202.51081*100)</f>
        <v>0.99832019873970046</v>
      </c>
      <c r="G49" s="22">
        <f>IF(OR(2455668.71834="",50952.61503="",55010.66023=""),"-",(55010.66023-50952.61503)/2455668.71834*100)</f>
        <v>0.16525214373147148</v>
      </c>
      <c r="H49" s="22">
        <f>IF(OR(3629752.43882="",33525.61398="",55010.66023=""),"-",(33525.61398-55010.66023)/3629752.43882*100)</f>
        <v>-0.59191492015319369</v>
      </c>
    </row>
    <row r="50" spans="1:8" s="6" customFormat="1" x14ac:dyDescent="0.25">
      <c r="A50" s="47" t="s">
        <v>319</v>
      </c>
      <c r="B50" s="50">
        <v>60587.397279999997</v>
      </c>
      <c r="C50" s="50">
        <v>26594.524310000001</v>
      </c>
      <c r="D50" s="68">
        <f>IF(OR(60587.39728="",26594.52431=""),"-",26594.52431/60587.39728*100)</f>
        <v>43.89448219255145</v>
      </c>
      <c r="E50" s="22">
        <f>IF(60587.39728="","-",60587.39728/3629752.43882*100)</f>
        <v>1.6691881416490326</v>
      </c>
      <c r="F50" s="22">
        <f>IF(26594.52431="","-",26594.52431/3358202.51081*100)</f>
        <v>0.79192735472005205</v>
      </c>
      <c r="G50" s="22">
        <f>IF(OR(2455668.71834="",80751.33586="",60587.39728=""),"-",(60587.39728-80751.33586)/2455668.71834*100)</f>
        <v>-0.82111802904874587</v>
      </c>
      <c r="H50" s="22">
        <f>IF(OR(3629752.43882="",26594.52431="",60587.39728=""),"-",(26594.52431-60587.39728)/3629752.43882*100)</f>
        <v>-0.93650665005271749</v>
      </c>
    </row>
    <row r="51" spans="1:8" s="2" customFormat="1" x14ac:dyDescent="0.25">
      <c r="A51" s="47" t="s">
        <v>54</v>
      </c>
      <c r="B51" s="50">
        <v>15842.93161</v>
      </c>
      <c r="C51" s="50">
        <v>26551.188870000002</v>
      </c>
      <c r="D51" s="68" t="s">
        <v>333</v>
      </c>
      <c r="E51" s="22">
        <f>IF(15842.93161="","-",15842.93161/3629752.43882*100)</f>
        <v>0.43647416392811611</v>
      </c>
      <c r="F51" s="22">
        <f>IF(26551.18887="","-",26551.18887/3358202.51081*100)</f>
        <v>0.79063691914147971</v>
      </c>
      <c r="G51" s="22">
        <f>IF(OR(2455668.71834="",21416.80786="",15842.93161=""),"-",(15842.93161-21416.80786)/2455668.71834*100)</f>
        <v>-0.22697997528623765</v>
      </c>
      <c r="H51" s="22">
        <f>IF(OR(3629752.43882="",26551.18887="",15842.93161=""),"-",(26551.18887-15842.93161)/3629752.43882*100)</f>
        <v>0.29501343247202727</v>
      </c>
    </row>
    <row r="52" spans="1:8" s="2" customFormat="1" x14ac:dyDescent="0.25">
      <c r="A52" s="47" t="s">
        <v>57</v>
      </c>
      <c r="B52" s="50">
        <v>7670.1535100000001</v>
      </c>
      <c r="C52" s="50">
        <v>18087.64878</v>
      </c>
      <c r="D52" s="68" t="s">
        <v>340</v>
      </c>
      <c r="E52" s="22">
        <f>IF(7670.15351="","-",7670.15351/3629752.43882*100)</f>
        <v>0.21131340605954652</v>
      </c>
      <c r="F52" s="22">
        <f>IF(18087.64878="","-",18087.64878/3358202.51081*100)</f>
        <v>0.5386110194896272</v>
      </c>
      <c r="G52" s="22">
        <f>IF(OR(2455668.71834="",4047.55209="",7670.15351=""),"-",(7670.15351-4047.55209)/2455668.71834*100)</f>
        <v>0.1475199562931612</v>
      </c>
      <c r="H52" s="22">
        <f>IF(OR(3629752.43882="",18087.64878="",7670.15351=""),"-",(18087.64878-7670.15351)/3629752.43882*100)</f>
        <v>0.28700291398899463</v>
      </c>
    </row>
    <row r="53" spans="1:8" s="4" customFormat="1" x14ac:dyDescent="0.25">
      <c r="A53" s="47" t="s">
        <v>52</v>
      </c>
      <c r="B53" s="50">
        <v>14180.43922</v>
      </c>
      <c r="C53" s="50">
        <v>14051.981250000001</v>
      </c>
      <c r="D53" s="68">
        <f>IF(OR(14180.43922="",14051.98125=""),"-",14051.98125/14180.43922*100)</f>
        <v>99.094118538875549</v>
      </c>
      <c r="E53" s="22">
        <f>IF(14180.43922="","-",14180.43922/3629752.43882*100)</f>
        <v>0.39067235187559884</v>
      </c>
      <c r="F53" s="22">
        <f>IF(14051.98125="","-",14051.98125/3358202.51081*100)</f>
        <v>0.4184375779830698</v>
      </c>
      <c r="G53" s="22">
        <f>IF(OR(2455668.71834="",16308.18983="",14180.43922=""),"-",(14180.43922-16308.18983)/2455668.71834*100)</f>
        <v>-8.6646484279782277E-2</v>
      </c>
      <c r="H53" s="22">
        <f>IF(OR(3629752.43882="",14051.98125="",14180.43922=""),"-",(14051.98125-14180.43922)/3629752.43882*100)</f>
        <v>-3.5390284093798972E-3</v>
      </c>
    </row>
    <row r="54" spans="1:8" s="2" customFormat="1" x14ac:dyDescent="0.25">
      <c r="A54" s="70" t="s">
        <v>60</v>
      </c>
      <c r="B54" s="52">
        <v>13508.906000000001</v>
      </c>
      <c r="C54" s="52">
        <v>12119.494909999999</v>
      </c>
      <c r="D54" s="68">
        <f>IF(OR(13508.906="",12119.49491=""),"-",12119.49491/13508.906*100)</f>
        <v>89.714851150788959</v>
      </c>
      <c r="E54" s="22">
        <f>IF(13508.906="","-",13508.906/3629752.43882*100)</f>
        <v>0.37217155240459387</v>
      </c>
      <c r="F54" s="22">
        <f>IF(12119.49491="","-",12119.49491/3358202.51081*100)</f>
        <v>0.36089231876241951</v>
      </c>
      <c r="G54" s="22">
        <f>IF(OR(2455668.71834="",10298.77349="",13508.906=""),"-",(13508.906-10298.77349)/2455668.71834*100)</f>
        <v>0.13072335392902706</v>
      </c>
      <c r="H54" s="22">
        <f>IF(OR(3629752.43882="",12119.49491="",13508.906=""),"-",(12119.49491-13508.906)/3629752.43882*100)</f>
        <v>-3.8278398139231957E-2</v>
      </c>
    </row>
    <row r="55" spans="1:8" s="2" customFormat="1" x14ac:dyDescent="0.25">
      <c r="A55" s="47" t="s">
        <v>62</v>
      </c>
      <c r="B55" s="50">
        <v>10810.50187</v>
      </c>
      <c r="C55" s="50">
        <v>8970.50108</v>
      </c>
      <c r="D55" s="68">
        <f>IF(OR(10810.50187="",8970.50108=""),"-",8970.50108/10810.50187*100)</f>
        <v>82.979506297425957</v>
      </c>
      <c r="E55" s="22">
        <f>IF(10810.50187="","-",10810.50187/3629752.43882*100)</f>
        <v>0.29783028050018745</v>
      </c>
      <c r="F55" s="22">
        <f>IF(8970.50108="","-",8970.50108/3358202.51081*100)</f>
        <v>0.26712210032373274</v>
      </c>
      <c r="G55" s="22">
        <f>IF(OR(2455668.71834="",5913.29526="",10810.50187=""),"-",(10810.50187-5913.29526)/2455668.71834*100)</f>
        <v>0.19942456298870995</v>
      </c>
      <c r="H55" s="22">
        <f>IF(OR(3629752.43882="",8970.50108="",10810.50187=""),"-",(8970.50108-10810.50187)/3629752.43882*100)</f>
        <v>-5.069218413689304E-2</v>
      </c>
    </row>
    <row r="56" spans="1:8" s="4" customFormat="1" x14ac:dyDescent="0.25">
      <c r="A56" s="47" t="s">
        <v>68</v>
      </c>
      <c r="B56" s="50">
        <v>2926.0821299999998</v>
      </c>
      <c r="C56" s="50">
        <v>8305.5072400000008</v>
      </c>
      <c r="D56" s="68" t="s">
        <v>353</v>
      </c>
      <c r="E56" s="22">
        <f>IF(2926.08213="","-",2926.08213/3629752.43882*100)</f>
        <v>8.0613820896040037E-2</v>
      </c>
      <c r="F56" s="22">
        <f>IF(8305.50724="","-",8305.50724/3358202.51081*100)</f>
        <v>0.24732002353237206</v>
      </c>
      <c r="G56" s="22">
        <f>IF(OR(2455668.71834="",13523.79991="",2926.08213=""),"-",(2926.08213-13523.79991)/2455668.71834*100)</f>
        <v>-0.43156137881513257</v>
      </c>
      <c r="H56" s="22">
        <f>IF(OR(3629752.43882="",8305.50724="",2926.08213=""),"-",(8305.50724-2926.08213)/3629752.43882*100)</f>
        <v>0.14820363649232243</v>
      </c>
    </row>
    <row r="57" spans="1:8" s="6" customFormat="1" x14ac:dyDescent="0.25">
      <c r="A57" s="47" t="s">
        <v>31</v>
      </c>
      <c r="B57" s="50">
        <v>7223.86931</v>
      </c>
      <c r="C57" s="50">
        <v>8173.8011900000001</v>
      </c>
      <c r="D57" s="68">
        <f>IF(OR(7223.86931="",8173.80119=""),"-",8173.80119/7223.86931*100)</f>
        <v>113.14990400899154</v>
      </c>
      <c r="E57" s="22">
        <f>IF(7223.86931="","-",7223.86931/3629752.43882*100)</f>
        <v>0.19901823696682783</v>
      </c>
      <c r="F57" s="22">
        <f>IF(8173.80119="","-",8173.80119/3358202.51081*100)</f>
        <v>0.24339810251730398</v>
      </c>
      <c r="G57" s="22">
        <f>IF(OR(2455668.71834="",3778.5905="",7223.86931=""),"-",(7223.86931-3778.5905)/2455668.71834*100)</f>
        <v>0.14029900630606898</v>
      </c>
      <c r="H57" s="22">
        <f>IF(OR(3629752.43882="",8173.80119="",7223.86931=""),"-",(8173.80119-7223.86931)/3629752.43882*100)</f>
        <v>2.6170707121525194E-2</v>
      </c>
    </row>
    <row r="58" spans="1:8" s="2" customFormat="1" x14ac:dyDescent="0.25">
      <c r="A58" s="47" t="s">
        <v>56</v>
      </c>
      <c r="B58" s="50">
        <v>6319.7653</v>
      </c>
      <c r="C58" s="50">
        <v>7604.2815199999995</v>
      </c>
      <c r="D58" s="68">
        <f>IF(OR(6319.7653="",7604.28152=""),"-",7604.28152/6319.7653*100)</f>
        <v>120.32537853897833</v>
      </c>
      <c r="E58" s="22">
        <f>IF(6319.7653="","-",6319.7653/3629752.43882*100)</f>
        <v>0.17411009170792099</v>
      </c>
      <c r="F58" s="22">
        <f>IF(7604.28152="","-",7604.28152/3358202.51081*100)</f>
        <v>0.22643903979947425</v>
      </c>
      <c r="G58" s="22">
        <f>IF(OR(2455668.71834="",10009.60665="",6319.7653=""),"-",(6319.7653-10009.60665)/2455668.71834*100)</f>
        <v>-0.15025810779942189</v>
      </c>
      <c r="H58" s="22">
        <f>IF(OR(3629752.43882="",7604.28152="",6319.7653=""),"-",(7604.28152-6319.7653)/3629752.43882*100)</f>
        <v>3.5388535214197263E-2</v>
      </c>
    </row>
    <row r="59" spans="1:8" s="2" customFormat="1" x14ac:dyDescent="0.25">
      <c r="A59" s="47" t="s">
        <v>59</v>
      </c>
      <c r="B59" s="50">
        <v>320.38916999999998</v>
      </c>
      <c r="C59" s="50">
        <v>6743.3352400000003</v>
      </c>
      <c r="D59" s="68" t="s">
        <v>371</v>
      </c>
      <c r="E59" s="22">
        <f>IF(320.38917="","-",320.38917/3629752.43882*100)</f>
        <v>8.8267499065075531E-3</v>
      </c>
      <c r="F59" s="22">
        <f>IF(6743.33524="","-",6743.33524/3358202.51081*100)</f>
        <v>0.20080192359732069</v>
      </c>
      <c r="G59" s="22">
        <f>IF(OR(2455668.71834="",6337.11505="",320.38917=""),"-",(320.38917-6337.11505)/2455668.71834*100)</f>
        <v>-0.24501374452769131</v>
      </c>
      <c r="H59" s="22">
        <f>IF(OR(3629752.43882="",6743.33524="",320.38917=""),"-",(6743.33524-320.38917)/3629752.43882*100)</f>
        <v>0.17695273102669345</v>
      </c>
    </row>
    <row r="60" spans="1:8" s="2" customFormat="1" x14ac:dyDescent="0.25">
      <c r="A60" s="47" t="s">
        <v>53</v>
      </c>
      <c r="B60" s="50">
        <v>7013.7304100000001</v>
      </c>
      <c r="C60" s="50">
        <v>5923.3642399999999</v>
      </c>
      <c r="D60" s="68">
        <f>IF(OR(7013.73041="",5923.36424=""),"-",5923.36424/7013.73041*100)</f>
        <v>84.45383403323595</v>
      </c>
      <c r="E60" s="22">
        <f>IF(7013.73041="","-",7013.73041/3629752.43882*100)</f>
        <v>0.19322889172794663</v>
      </c>
      <c r="F60" s="22">
        <f>IF(5923.36424="","-",5923.36424/3358202.51081*100)</f>
        <v>0.1763849625188709</v>
      </c>
      <c r="G60" s="22">
        <f>IF(OR(2455668.71834="",10357.57941="",7013.73041=""),"-",(7013.73041-10357.57941)/2455668.71834*100)</f>
        <v>-0.13616857090806606</v>
      </c>
      <c r="H60" s="22">
        <f>IF(OR(3629752.43882="",5923.36424="",7013.73041=""),"-",(5923.36424-7013.73041)/3629752.43882*100)</f>
        <v>-3.0039684203765384E-2</v>
      </c>
    </row>
    <row r="61" spans="1:8" s="2" customFormat="1" x14ac:dyDescent="0.25">
      <c r="A61" s="47" t="s">
        <v>55</v>
      </c>
      <c r="B61" s="50">
        <v>188.45796000000001</v>
      </c>
      <c r="C61" s="50">
        <v>4961.6054000000004</v>
      </c>
      <c r="D61" s="68" t="s">
        <v>372</v>
      </c>
      <c r="E61" s="22">
        <f>IF(188.45796="","-",188.45796/3629752.43882*100)</f>
        <v>5.1920334286287033E-3</v>
      </c>
      <c r="F61" s="22">
        <f>IF(4961.6054="","-",4961.6054/3358202.51081*100)</f>
        <v>0.14774586654701949</v>
      </c>
      <c r="G61" s="22">
        <f>IF(OR(2455668.71834="",3938.60541="",188.45796=""),"-",(188.45796-3938.60541)/2455668.71834*100)</f>
        <v>-0.15271389915065783</v>
      </c>
      <c r="H61" s="22">
        <f>IF(OR(3629752.43882="",4961.6054="",188.45796=""),"-",(4961.6054-188.45796)/3629752.43882*100)</f>
        <v>0.1315006331823475</v>
      </c>
    </row>
    <row r="62" spans="1:8" s="2" customFormat="1" x14ac:dyDescent="0.25">
      <c r="A62" s="47" t="s">
        <v>51</v>
      </c>
      <c r="B62" s="50">
        <v>16627.03152</v>
      </c>
      <c r="C62" s="50">
        <v>4147.8378700000003</v>
      </c>
      <c r="D62" s="68">
        <f>IF(OR(16627.03152="",4147.83787=""),"-",4147.83787/16627.03152*100)</f>
        <v>24.946352360075398</v>
      </c>
      <c r="E62" s="22">
        <f>IF(16627.03152="","-",16627.03152/3629752.43882*100)</f>
        <v>0.45807618564216185</v>
      </c>
      <c r="F62" s="22">
        <f>IF(4147.83787="","-",4147.83787/3358202.51081*100)</f>
        <v>0.12351363137417047</v>
      </c>
      <c r="G62" s="22">
        <f>IF(OR(2455668.71834="",5073.30162="",16627.03152=""),"-",(16627.03152-5073.30162)/2455668.71834*100)</f>
        <v>0.47049220498317745</v>
      </c>
      <c r="H62" s="22">
        <f>IF(OR(3629752.43882="",4147.83787="",16627.03152=""),"-",(4147.83787-16627.03152)/3629752.43882*100)</f>
        <v>-0.34380288629427508</v>
      </c>
    </row>
    <row r="63" spans="1:8" s="2" customFormat="1" x14ac:dyDescent="0.25">
      <c r="A63" s="47" t="s">
        <v>69</v>
      </c>
      <c r="B63" s="50">
        <v>2639.8916899999999</v>
      </c>
      <c r="C63" s="50">
        <v>3322.5098699999999</v>
      </c>
      <c r="D63" s="68">
        <f>IF(OR(2639.89169="",3322.50987=""),"-",3322.50987/2639.89169*100)</f>
        <v>125.85781009826202</v>
      </c>
      <c r="E63" s="22">
        <f>IF(2639.89169="","-",2639.89169/3629752.43882*100)</f>
        <v>7.2729249018927716E-2</v>
      </c>
      <c r="F63" s="22">
        <f>IF(3322.50987="","-",3322.50987/3358202.51081*100)</f>
        <v>9.8937150434046023E-2</v>
      </c>
      <c r="G63" s="22">
        <f>IF(OR(2455668.71834="",2892.0478="",2639.89169=""),"-",(2639.89169-2892.0478)/2455668.71834*100)</f>
        <v>-1.0268327650093377E-2</v>
      </c>
      <c r="H63" s="22">
        <f>IF(OR(3629752.43882="",3322.50987="",2639.89169=""),"-",(3322.50987-2639.89169)/3629752.43882*100)</f>
        <v>1.8806191097206423E-2</v>
      </c>
    </row>
    <row r="64" spans="1:8" s="2" customFormat="1" x14ac:dyDescent="0.25">
      <c r="A64" s="70" t="s">
        <v>279</v>
      </c>
      <c r="B64" s="50" t="s">
        <v>276</v>
      </c>
      <c r="C64" s="52">
        <v>3281.3</v>
      </c>
      <c r="D64" s="68" t="str">
        <f>IF(OR(""="",3281.3=""),"-",3281.3/""*100)</f>
        <v>-</v>
      </c>
      <c r="E64" s="22" t="str">
        <f>IF(""="","-",""/3629752.43882*100)</f>
        <v>-</v>
      </c>
      <c r="F64" s="22">
        <f>IF(3281.3="","-",3281.3/3358202.51081*100)</f>
        <v>9.7710009728047914E-2</v>
      </c>
      <c r="G64" s="22" t="str">
        <f>IF(OR(2455668.71834="",""="",""=""),"-",(""-"")/2455668.71834*100)</f>
        <v>-</v>
      </c>
      <c r="H64" s="22" t="str">
        <f>IF(OR(3629752.43882="",3281.3="",""=""),"-",(3281.3-"")/3629752.43882*100)</f>
        <v>-</v>
      </c>
    </row>
    <row r="65" spans="1:8" s="2" customFormat="1" x14ac:dyDescent="0.25">
      <c r="A65" s="47" t="s">
        <v>106</v>
      </c>
      <c r="B65" s="50">
        <v>2481.5116400000002</v>
      </c>
      <c r="C65" s="50">
        <v>3279.6998400000002</v>
      </c>
      <c r="D65" s="68">
        <f>IF(OR(2481.51164="",3279.69984=""),"-",3279.69984/2481.51164*100)</f>
        <v>132.16540221427292</v>
      </c>
      <c r="E65" s="22">
        <f>IF(2481.51164="","-",2481.51164/3629752.43882*100)</f>
        <v>6.8365864665049098E-2</v>
      </c>
      <c r="F65" s="22">
        <f>IF(3279.69984="","-",3279.69984/3358202.51081*100)</f>
        <v>9.7662360427719863E-2</v>
      </c>
      <c r="G65" s="22">
        <f>IF(OR(2455668.71834="",2761.77699="",2481.51164=""),"-",(2481.51164-2761.77699)/2455668.71834*100)</f>
        <v>-1.141299507978647E-2</v>
      </c>
      <c r="H65" s="22">
        <f>IF(OR(3629752.43882="",3279.69984="",2481.51164=""),"-",(3279.69984-2481.51164)/3629752.43882*100)</f>
        <v>2.1990155346778523E-2</v>
      </c>
    </row>
    <row r="66" spans="1:8" s="2" customFormat="1" x14ac:dyDescent="0.25">
      <c r="A66" s="70" t="s">
        <v>65</v>
      </c>
      <c r="B66" s="52">
        <v>1302.1288</v>
      </c>
      <c r="C66" s="52">
        <v>2866.3579500000001</v>
      </c>
      <c r="D66" s="68" t="s">
        <v>345</v>
      </c>
      <c r="E66" s="22">
        <f>IF(1302.1288="","-",1302.1288/3629752.43882*100)</f>
        <v>3.5873763347433973E-2</v>
      </c>
      <c r="F66" s="22">
        <f>IF(2866.35795="","-",2866.35795/3358202.51081*100)</f>
        <v>8.5353933861142678E-2</v>
      </c>
      <c r="G66" s="22">
        <f>IF(OR(2455668.71834="",591.46023="",1302.1288=""),"-",(1302.1288-591.46023)/2455668.71834*100)</f>
        <v>2.8939920303272932E-2</v>
      </c>
      <c r="H66" s="22">
        <f>IF(OR(3629752.43882="",2866.35795="",1302.1288=""),"-",(2866.35795-1302.1288)/3629752.43882*100)</f>
        <v>4.3094651119196359E-2</v>
      </c>
    </row>
    <row r="67" spans="1:8" x14ac:dyDescent="0.25">
      <c r="A67" s="47" t="s">
        <v>323</v>
      </c>
      <c r="B67" s="50">
        <v>1476.6874800000001</v>
      </c>
      <c r="C67" s="50">
        <v>2411.8603199999998</v>
      </c>
      <c r="D67" s="68" t="s">
        <v>351</v>
      </c>
      <c r="E67" s="22">
        <f>IF(1476.68748="","-",1476.68748/3629752.43882*100)</f>
        <v>4.0682870385509211E-2</v>
      </c>
      <c r="F67" s="22">
        <f>IF(2411.86032="","-",2411.86032/3358202.51081*100)</f>
        <v>7.1819978462771689E-2</v>
      </c>
      <c r="G67" s="22">
        <f>IF(OR(2455668.71834="",1250.03376="",1476.68748=""),"-",(1476.68748-1250.03376)/2455668.71834*100)</f>
        <v>9.2298166404634167E-3</v>
      </c>
      <c r="H67" s="22">
        <f>IF(OR(3629752.43882="",2411.86032="",1476.68748=""),"-",(2411.86032-1476.68748)/3629752.43882*100)</f>
        <v>2.5764094267101481E-2</v>
      </c>
    </row>
    <row r="68" spans="1:8" x14ac:dyDescent="0.25">
      <c r="A68" s="47" t="s">
        <v>32</v>
      </c>
      <c r="B68" s="50">
        <v>697.21510999999998</v>
      </c>
      <c r="C68" s="50">
        <v>2283.2808799999998</v>
      </c>
      <c r="D68" s="68" t="s">
        <v>369</v>
      </c>
      <c r="E68" s="22">
        <f>IF(697.21511="","-",697.21511/3629752.43882*100)</f>
        <v>1.9208337806824599E-2</v>
      </c>
      <c r="F68" s="22">
        <f>IF(2283.28088="","-",2283.28088/3358202.51081*100)</f>
        <v>6.7991161124147673E-2</v>
      </c>
      <c r="G68" s="22">
        <f>IF(OR(2455668.71834="",851.80107="",697.21511=""),"-",(697.21511-851.80107)/2455668.71834*100)</f>
        <v>-6.2950657328280863E-3</v>
      </c>
      <c r="H68" s="22">
        <f>IF(OR(3629752.43882="",2283.28088="",697.21511=""),"-",(2283.28088-697.21511)/3629752.43882*100)</f>
        <v>4.3696251927186958E-2</v>
      </c>
    </row>
    <row r="69" spans="1:8" x14ac:dyDescent="0.25">
      <c r="A69" s="47" t="s">
        <v>78</v>
      </c>
      <c r="B69" s="50">
        <v>1618.5645300000001</v>
      </c>
      <c r="C69" s="50">
        <v>2245.3174399999998</v>
      </c>
      <c r="D69" s="68">
        <f>IF(OR(1618.56453="",2245.31744=""),"-",2245.31744/1618.56453*100)</f>
        <v>138.72276318819365</v>
      </c>
      <c r="E69" s="22">
        <f>IF(1618.56453="","-",1618.56453/3629752.43882*100)</f>
        <v>4.4591595633066951E-2</v>
      </c>
      <c r="F69" s="22">
        <f>IF(2245.31744="","-",2245.31744/3358202.51081*100)</f>
        <v>6.6860692074773895E-2</v>
      </c>
      <c r="G69" s="22">
        <f>IF(OR(2455668.71834="",105.61203="",1618.56453=""),"-",(1618.56453-105.61203)/2455668.71834*100)</f>
        <v>6.1610610938707414E-2</v>
      </c>
      <c r="H69" s="22">
        <f>IF(OR(3629752.43882="",2245.31744="",1618.56453=""),"-",(2245.31744-1618.56453)/3629752.43882*100)</f>
        <v>1.7267097978829419E-2</v>
      </c>
    </row>
    <row r="70" spans="1:8" x14ac:dyDescent="0.25">
      <c r="A70" s="47" t="s">
        <v>290</v>
      </c>
      <c r="B70" s="50">
        <v>84.655280000000005</v>
      </c>
      <c r="C70" s="50">
        <v>1782.94677</v>
      </c>
      <c r="D70" s="68" t="s">
        <v>373</v>
      </c>
      <c r="E70" s="22">
        <f>IF(84.65528="","-",84.65528/3629752.43882*100)</f>
        <v>2.3322604344752692E-3</v>
      </c>
      <c r="F70" s="22">
        <f>IF(1782.94677="","-",1782.94677/3358202.51081*100)</f>
        <v>5.3092294590952244E-2</v>
      </c>
      <c r="G70" s="22">
        <f>IF(OR(2455668.71834="",2095.80486="",84.65528=""),"-",(84.65528-2095.80486)/2455668.71834*100)</f>
        <v>-8.1898244864214056E-2</v>
      </c>
      <c r="H70" s="22">
        <f>IF(OR(3629752.43882="",1782.94677="",84.65528=""),"-",(1782.94677-84.65528)/3629752.43882*100)</f>
        <v>4.6788080416638539E-2</v>
      </c>
    </row>
    <row r="71" spans="1:8" x14ac:dyDescent="0.25">
      <c r="A71" s="47" t="s">
        <v>70</v>
      </c>
      <c r="B71" s="50">
        <v>1800.91092</v>
      </c>
      <c r="C71" s="50">
        <v>1700.3296700000001</v>
      </c>
      <c r="D71" s="68">
        <f>IF(OR(1800.91092="",1700.32967=""),"-",1700.32967/1800.91092*100)</f>
        <v>94.414979170652146</v>
      </c>
      <c r="E71" s="22">
        <f>IF(1800.91092="","-",1800.91092/3629752.43882*100)</f>
        <v>4.9615254768875093E-2</v>
      </c>
      <c r="F71" s="22">
        <f>IF(1700.32967="","-",1700.32967/3358202.51081*100)</f>
        <v>5.0632136225455912E-2</v>
      </c>
      <c r="G71" s="22">
        <f>IF(OR(2455668.71834="",2086.34662="",1800.91092=""),"-",(1800.91092-2086.34662)/2455668.71834*100)</f>
        <v>-1.1623542616650285E-2</v>
      </c>
      <c r="H71" s="22">
        <f>IF(OR(3629752.43882="",1700.32967="",1800.91092=""),"-",(1700.32967-1800.91092)/3629752.43882*100)</f>
        <v>-2.7710223133756754E-3</v>
      </c>
    </row>
    <row r="72" spans="1:8" x14ac:dyDescent="0.25">
      <c r="A72" s="70" t="s">
        <v>83</v>
      </c>
      <c r="B72" s="52">
        <v>1643.10448</v>
      </c>
      <c r="C72" s="52">
        <v>1553.01667</v>
      </c>
      <c r="D72" s="68">
        <f>IF(OR(1643.10448="",1553.01667=""),"-",1553.01667/1643.10448*100)</f>
        <v>94.517219623185497</v>
      </c>
      <c r="E72" s="22">
        <f>IF(1643.10448="","-",1643.10448/3629752.43882*100)</f>
        <v>4.5267673421115151E-2</v>
      </c>
      <c r="F72" s="22">
        <f>IF(1553.01667="","-",1553.01667/3358202.51081*100)</f>
        <v>4.6245474029659152E-2</v>
      </c>
      <c r="G72" s="22">
        <f>IF(OR(2455668.71834="",2005.108="",1643.10448=""),"-",(1643.10448-2005.108)/2455668.71834*100)</f>
        <v>-1.4741545441223424E-2</v>
      </c>
      <c r="H72" s="22">
        <f>IF(OR(3629752.43882="",1553.01667="",1643.10448=""),"-",(1553.01667-1643.10448)/3629752.43882*100)</f>
        <v>-2.4819271153733763E-3</v>
      </c>
    </row>
    <row r="73" spans="1:8" x14ac:dyDescent="0.25">
      <c r="A73" s="70" t="s">
        <v>79</v>
      </c>
      <c r="B73" s="52">
        <v>592.12652000000003</v>
      </c>
      <c r="C73" s="52">
        <v>1462.7719199999999</v>
      </c>
      <c r="D73" s="68" t="s">
        <v>335</v>
      </c>
      <c r="E73" s="22">
        <f>IF(592.12652="","-",592.12652/3629752.43882*100)</f>
        <v>1.6313137878694976E-2</v>
      </c>
      <c r="F73" s="22">
        <f>IF(1462.77192="","-",1462.77192/3358202.51081*100)</f>
        <v>4.3558180761623537E-2</v>
      </c>
      <c r="G73" s="22">
        <f>IF(OR(2455668.71834="",259.20858="",592.12652=""),"-",(592.12652-259.20858)/2455668.71834*100)</f>
        <v>1.3557119391293473E-2</v>
      </c>
      <c r="H73" s="22">
        <f>IF(OR(3629752.43882="",1462.77192="",592.12652=""),"-",(1462.77192-592.12652)/3629752.43882*100)</f>
        <v>2.3986357600824119E-2</v>
      </c>
    </row>
    <row r="74" spans="1:8" x14ac:dyDescent="0.25">
      <c r="A74" s="47" t="s">
        <v>87</v>
      </c>
      <c r="B74" s="50">
        <v>1374.7628500000001</v>
      </c>
      <c r="C74" s="50">
        <v>1247.79456</v>
      </c>
      <c r="D74" s="68">
        <f>IF(OR(1374.76285="",1247.79456=""),"-",1247.79456/1374.76285*100)</f>
        <v>90.764349647650135</v>
      </c>
      <c r="E74" s="22">
        <f>IF(1374.76285="","-",1374.76285/3629752.43882*100)</f>
        <v>3.7874837834585853E-2</v>
      </c>
      <c r="F74" s="22">
        <f>IF(1247.79456="","-",1247.79456/3358202.51081*100)</f>
        <v>3.7156620423675145E-2</v>
      </c>
      <c r="G74" s="22">
        <f>IF(OR(2455668.71834="",664.75986="",1374.76285=""),"-",(1374.76285-664.75986)/2455668.71834*100)</f>
        <v>2.8912816484462645E-2</v>
      </c>
      <c r="H74" s="22">
        <f>IF(OR(3629752.43882="",1247.79456="",1374.76285=""),"-",(1247.79456-1374.76285)/3629752.43882*100)</f>
        <v>-3.497987593921868E-3</v>
      </c>
    </row>
    <row r="75" spans="1:8" x14ac:dyDescent="0.25">
      <c r="A75" s="47" t="s">
        <v>92</v>
      </c>
      <c r="B75" s="50">
        <v>1656.9212199999999</v>
      </c>
      <c r="C75" s="50">
        <v>1178.40093</v>
      </c>
      <c r="D75" s="68">
        <f>IF(OR(1656.92122="",1178.40093=""),"-",1178.40093/1656.92122*100)</f>
        <v>71.119912991397385</v>
      </c>
      <c r="E75" s="22">
        <f>IF(1656.92122="","-",1656.92122/3629752.43882*100)</f>
        <v>4.564832582738481E-2</v>
      </c>
      <c r="F75" s="22">
        <f>IF(1178.40093="","-",1178.40093/3358202.51081*100)</f>
        <v>3.5090228364928748E-2</v>
      </c>
      <c r="G75" s="22">
        <f>IF(OR(2455668.71834="",405.0459="",1656.92122=""),"-",(1656.92122-405.0459)/2455668.71834*100)</f>
        <v>5.0978998537158184E-2</v>
      </c>
      <c r="H75" s="22">
        <f>IF(OR(3629752.43882="",1178.40093="",1656.92122=""),"-",(1178.40093-1656.92122)/3629752.43882*100)</f>
        <v>-1.3183276216919152E-2</v>
      </c>
    </row>
    <row r="76" spans="1:8" x14ac:dyDescent="0.25">
      <c r="A76" s="47" t="s">
        <v>64</v>
      </c>
      <c r="B76" s="50">
        <v>82.967960000000005</v>
      </c>
      <c r="C76" s="50">
        <v>1070.92515</v>
      </c>
      <c r="D76" s="68" t="s">
        <v>374</v>
      </c>
      <c r="E76" s="22">
        <f>IF(82.96796="","-",82.96796/3629752.43882*100)</f>
        <v>2.2857746195763186E-3</v>
      </c>
      <c r="F76" s="22">
        <f>IF(1070.92515="","-",1070.92515/3358202.51081*100)</f>
        <v>3.1889832330025042E-2</v>
      </c>
      <c r="G76" s="22">
        <f>IF(OR(2455668.71834="",3323.84276="",82.96796=""),"-",(82.96796-3323.84276)/2455668.71834*100)</f>
        <v>-0.13197524469794072</v>
      </c>
      <c r="H76" s="22">
        <f>IF(OR(3629752.43882="",1070.92515="",82.96796=""),"-",(1070.92515-82.96796)/3629752.43882*100)</f>
        <v>2.7218307767600154E-2</v>
      </c>
    </row>
    <row r="77" spans="1:8" x14ac:dyDescent="0.25">
      <c r="A77" s="47" t="s">
        <v>71</v>
      </c>
      <c r="B77" s="50">
        <v>1725.4433100000001</v>
      </c>
      <c r="C77" s="50">
        <v>963.17116999999996</v>
      </c>
      <c r="D77" s="68">
        <f>IF(OR(1725.44331="",963.17117=""),"-",963.17117/1725.44331*100)</f>
        <v>55.821664172785823</v>
      </c>
      <c r="E77" s="22">
        <f>IF(1725.44331="","-",1725.44331/3629752.43882*100)</f>
        <v>4.7536115453673373E-2</v>
      </c>
      <c r="F77" s="22">
        <f>IF(963.17117="","-",963.17117/3358202.51081*100)</f>
        <v>2.8681152101446158E-2</v>
      </c>
      <c r="G77" s="22">
        <f>IF(OR(2455668.71834="",609.43827="",1725.44331=""),"-",(1725.44331-609.43827)/2455668.71834*100)</f>
        <v>4.5446074695059228E-2</v>
      </c>
      <c r="H77" s="22">
        <f>IF(OR(3629752.43882="",963.17117="",1725.44331=""),"-",(963.17117-1725.44331)/3629752.43882*100)</f>
        <v>-2.1000664724336076E-2</v>
      </c>
    </row>
    <row r="78" spans="1:8" x14ac:dyDescent="0.25">
      <c r="A78" s="47" t="s">
        <v>118</v>
      </c>
      <c r="B78" s="50">
        <v>1107.5368599999999</v>
      </c>
      <c r="C78" s="50">
        <v>957.59688000000006</v>
      </c>
      <c r="D78" s="68">
        <f>IF(OR(1107.53686="",957.59688=""),"-",957.59688/1107.53686*100)</f>
        <v>86.461851933307216</v>
      </c>
      <c r="E78" s="22">
        <f>IF(1107.53686="","-",1107.53686/3629752.43882*100)</f>
        <v>3.0512738228507131E-2</v>
      </c>
      <c r="F78" s="22">
        <f>IF(957.59688="","-",957.59688/3358202.51081*100)</f>
        <v>2.8515161814021375E-2</v>
      </c>
      <c r="G78" s="22">
        <f>IF(OR(2455668.71834="",928.75844="",1107.53686=""),"-",(1107.53686-928.75844)/2455668.71834*100)</f>
        <v>7.280233635131853E-3</v>
      </c>
      <c r="H78" s="22">
        <f>IF(OR(3629752.43882="",957.59688="",1107.53686=""),"-",(957.59688-1107.53686)/3629752.43882*100)</f>
        <v>-4.130859680577666E-3</v>
      </c>
    </row>
    <row r="79" spans="1:8" x14ac:dyDescent="0.25">
      <c r="A79" s="47" t="s">
        <v>85</v>
      </c>
      <c r="B79" s="50">
        <v>1034.72198</v>
      </c>
      <c r="C79" s="50">
        <v>891.03081999999995</v>
      </c>
      <c r="D79" s="68">
        <f>IF(OR(1034.72198="",891.03082=""),"-",891.03082/1034.72198*100)</f>
        <v>86.113065849823727</v>
      </c>
      <c r="E79" s="22">
        <f>IF(1034.72198="","-",1034.72198/3629752.43882*100)</f>
        <v>2.8506681858897764E-2</v>
      </c>
      <c r="F79" s="22">
        <f>IF(891.03082="","-",891.03082/3358202.51081*100)</f>
        <v>2.653296866796407E-2</v>
      </c>
      <c r="G79" s="22">
        <f>IF(OR(2455668.71834="",800.47095="",1034.72198=""),"-",(1034.72198-800.47095)/2455668.71834*100)</f>
        <v>9.539195097877479E-3</v>
      </c>
      <c r="H79" s="22">
        <f>IF(OR(3629752.43882="",891.03082="",1034.72198=""),"-",(891.03082-1034.72198)/3629752.43882*100)</f>
        <v>-3.9587041381453775E-3</v>
      </c>
    </row>
    <row r="80" spans="1:8" x14ac:dyDescent="0.25">
      <c r="A80" s="47" t="s">
        <v>80</v>
      </c>
      <c r="B80" s="50">
        <v>703.76363000000003</v>
      </c>
      <c r="C80" s="50">
        <v>862.48973000000001</v>
      </c>
      <c r="D80" s="68">
        <f>IF(OR(703.76363="",862.48973=""),"-",862.48973/703.76363*100)</f>
        <v>122.55389355656246</v>
      </c>
      <c r="E80" s="22">
        <f>IF(703.76363="","-",703.76363/3629752.43882*100)</f>
        <v>1.9388750110704168E-2</v>
      </c>
      <c r="F80" s="22">
        <f>IF(862.48973="","-",862.48973/3358202.51081*100)</f>
        <v>2.5683076801463266E-2</v>
      </c>
      <c r="G80" s="22">
        <f>IF(OR(2455668.71834="",642.8794="",703.76363=""),"-",(703.76363-642.8794)/2455668.71834*100)</f>
        <v>2.479334021942379E-3</v>
      </c>
      <c r="H80" s="22">
        <f>IF(OR(3629752.43882="",862.48973="",703.76363=""),"-",(862.48973-703.76363)/3629752.43882*100)</f>
        <v>4.3729180619161024E-3</v>
      </c>
    </row>
    <row r="81" spans="1:8" x14ac:dyDescent="0.25">
      <c r="A81" s="47" t="s">
        <v>107</v>
      </c>
      <c r="B81" s="50">
        <v>492.41354999999999</v>
      </c>
      <c r="C81" s="50">
        <v>804.25716</v>
      </c>
      <c r="D81" s="68" t="s">
        <v>351</v>
      </c>
      <c r="E81" s="22">
        <f>IF(492.41355="","-",492.41355/3629752.43882*100)</f>
        <v>1.3566036755941386E-2</v>
      </c>
      <c r="F81" s="22">
        <f>IF(804.25716="","-",804.25716/3358202.51081*100)</f>
        <v>2.3949036944946267E-2</v>
      </c>
      <c r="G81" s="22">
        <f>IF(OR(2455668.71834="",478.42009="",492.41355=""),"-",(492.41355-478.42009)/2455668.71834*100)</f>
        <v>5.6984315088964301E-4</v>
      </c>
      <c r="H81" s="22">
        <f>IF(OR(3629752.43882="",804.25716="",492.41355=""),"-",(804.25716-492.41355)/3629752.43882*100)</f>
        <v>8.5913189743975372E-3</v>
      </c>
    </row>
    <row r="82" spans="1:8" x14ac:dyDescent="0.25">
      <c r="A82" s="47" t="s">
        <v>116</v>
      </c>
      <c r="B82" s="50">
        <v>487.15267</v>
      </c>
      <c r="C82" s="50">
        <v>677.54165</v>
      </c>
      <c r="D82" s="68">
        <f>IF(OR(487.15267="",677.54165=""),"-",677.54165/487.15267*100)</f>
        <v>139.0819945624028</v>
      </c>
      <c r="E82" s="22">
        <f>IF(487.15267="","-",487.15267/3629752.43882*100)</f>
        <v>1.3421099047690675E-2</v>
      </c>
      <c r="F82" s="22">
        <f>IF(677.54165="","-",677.54165/3358202.51081*100)</f>
        <v>2.0175723406167564E-2</v>
      </c>
      <c r="G82" s="22">
        <f>IF(OR(2455668.71834="",332.148="",487.15267=""),"-",(487.15267-332.148)/2455668.71834*100)</f>
        <v>6.3121164855160549E-3</v>
      </c>
      <c r="H82" s="22">
        <f>IF(OR(3629752.43882="",677.54165="",487.15267=""),"-",(677.54165-487.15267)/3629752.43882*100)</f>
        <v>5.2452332000331621E-3</v>
      </c>
    </row>
    <row r="83" spans="1:8" x14ac:dyDescent="0.25">
      <c r="A83" s="47" t="s">
        <v>321</v>
      </c>
      <c r="B83" s="50" t="s">
        <v>276</v>
      </c>
      <c r="C83" s="50">
        <v>669.94482000000005</v>
      </c>
      <c r="D83" s="68" t="str">
        <f>IF(OR(""="",669.94482=""),"-",669.94482/""*100)</f>
        <v>-</v>
      </c>
      <c r="E83" s="22" t="str">
        <f>IF(""="","-",""/3629752.43882*100)</f>
        <v>-</v>
      </c>
      <c r="F83" s="22">
        <f>IF(669.94482="","-",669.94482/3358202.51081*100)</f>
        <v>1.9949506256500566E-2</v>
      </c>
      <c r="G83" s="22" t="str">
        <f>IF(OR(2455668.71834="",""="",""=""),"-",(""-"")/2455668.71834*100)</f>
        <v>-</v>
      </c>
      <c r="H83" s="22" t="str">
        <f>IF(OR(3629752.43882="",669.94482="",""=""),"-",(669.94482-"")/3629752.43882*100)</f>
        <v>-</v>
      </c>
    </row>
    <row r="84" spans="1:8" x14ac:dyDescent="0.25">
      <c r="A84" s="47" t="s">
        <v>61</v>
      </c>
      <c r="B84" s="50">
        <v>3701.6358599999999</v>
      </c>
      <c r="C84" s="50">
        <v>664.46247000000005</v>
      </c>
      <c r="D84" s="68">
        <f>IF(OR(3701.63586="",664.46247=""),"-",664.46247/3701.63586*100)</f>
        <v>17.950508778570136</v>
      </c>
      <c r="E84" s="22">
        <f>IF(3701.63586="","-",3701.63586/3629752.43882*100)</f>
        <v>0.10198039459692101</v>
      </c>
      <c r="F84" s="22">
        <f>IF(664.46247="","-",664.46247/3358202.51081*100)</f>
        <v>1.9786253743218466E-2</v>
      </c>
      <c r="G84" s="22">
        <f>IF(OR(2455668.71834="",962.01027="",3701.63586=""),"-",(3701.63586-962.01027)/2455668.71834*100)</f>
        <v>0.11156332161334655</v>
      </c>
      <c r="H84" s="22">
        <f>IF(OR(3629752.43882="",664.46247="",3701.63586=""),"-",(664.46247-3701.63586)/3629752.43882*100)</f>
        <v>-8.3674394912380254E-2</v>
      </c>
    </row>
    <row r="85" spans="1:8" x14ac:dyDescent="0.25">
      <c r="A85" s="47" t="s">
        <v>30</v>
      </c>
      <c r="B85" s="50">
        <v>2282.1278699999998</v>
      </c>
      <c r="C85" s="50">
        <v>603.09672</v>
      </c>
      <c r="D85" s="68">
        <f>IF(OR(2282.12787="",603.09672=""),"-",603.09672/2282.12787*100)</f>
        <v>26.426946882691549</v>
      </c>
      <c r="E85" s="22">
        <f>IF(2282.12787="","-",2282.12787/3629752.43882*100)</f>
        <v>6.2872824206763239E-2</v>
      </c>
      <c r="F85" s="22">
        <f>IF(603.09672="","-",603.09672/3358202.51081*100)</f>
        <v>1.7958914569881995E-2</v>
      </c>
      <c r="G85" s="22">
        <f>IF(OR(2455668.71834="",1004.73683="",2282.12787=""),"-",(2282.12787-1004.73683)/2455668.71834*100)</f>
        <v>5.2018052372451086E-2</v>
      </c>
      <c r="H85" s="22">
        <f>IF(OR(3629752.43882="",603.09672="",2282.12787=""),"-",(603.09672-2282.12787)/3629752.43882*100)</f>
        <v>-4.6257456349993883E-2</v>
      </c>
    </row>
    <row r="86" spans="1:8" x14ac:dyDescent="0.25">
      <c r="A86" s="47" t="s">
        <v>111</v>
      </c>
      <c r="B86" s="50">
        <v>739.51685999999995</v>
      </c>
      <c r="C86" s="50">
        <v>528.82560999999998</v>
      </c>
      <c r="D86" s="68">
        <f>IF(OR(739.51686="",528.82561=""),"-",528.82561/739.51686*100)</f>
        <v>71.509608313730681</v>
      </c>
      <c r="E86" s="22">
        <f>IF(739.51686="","-",739.51686/3629752.43882*100)</f>
        <v>2.037375475227755E-2</v>
      </c>
      <c r="F86" s="22">
        <f>IF(528.82561="","-",528.82561/3358202.51081*100)</f>
        <v>1.5747281716862484E-2</v>
      </c>
      <c r="G86" s="22">
        <f>IF(OR(2455668.71834="",526.38317="",739.51686=""),"-",(739.51686-526.38317)/2455668.71834*100)</f>
        <v>8.6792525558608558E-3</v>
      </c>
      <c r="H86" s="22">
        <f>IF(OR(3629752.43882="",528.82561="",739.51686=""),"-",(528.82561-739.51686)/3629752.43882*100)</f>
        <v>-5.8045625301237852E-3</v>
      </c>
    </row>
    <row r="87" spans="1:8" x14ac:dyDescent="0.25">
      <c r="A87" s="47" t="s">
        <v>269</v>
      </c>
      <c r="B87" s="50">
        <v>947.53737000000001</v>
      </c>
      <c r="C87" s="50">
        <v>518.79096000000004</v>
      </c>
      <c r="D87" s="68">
        <f>IF(OR(947.53737="",518.79096=""),"-",518.79096/947.53737*100)</f>
        <v>54.751503890553678</v>
      </c>
      <c r="E87" s="22">
        <f>IF(947.53737="","-",947.53737/3629752.43882*100)</f>
        <v>2.6104738159719674E-2</v>
      </c>
      <c r="F87" s="22">
        <f>IF(518.79096="","-",518.79096/3358202.51081*100)</f>
        <v>1.5448471565667057E-2</v>
      </c>
      <c r="G87" s="22">
        <f>IF(OR(2455668.71834="",825.54255="",947.53737=""),"-",(947.53737-825.54255)/2455668.71834*100)</f>
        <v>4.967885899628469E-3</v>
      </c>
      <c r="H87" s="22">
        <f>IF(OR(3629752.43882="",518.79096="",947.53737=""),"-",(518.79096-947.53737)/3629752.43882*100)</f>
        <v>-1.1812001430581904E-2</v>
      </c>
    </row>
    <row r="88" spans="1:8" x14ac:dyDescent="0.25">
      <c r="A88" s="70" t="s">
        <v>88</v>
      </c>
      <c r="B88" s="52">
        <v>83.310389999999998</v>
      </c>
      <c r="C88" s="52">
        <v>467.95496000000003</v>
      </c>
      <c r="D88" s="68" t="s">
        <v>343</v>
      </c>
      <c r="E88" s="22">
        <f>IF(83.31039="","-",83.31039/3629752.43882*100)</f>
        <v>2.2952085962943372E-3</v>
      </c>
      <c r="F88" s="22">
        <f>IF(467.95496="","-",467.95496/3358202.51081*100)</f>
        <v>1.393468554959567E-2</v>
      </c>
      <c r="G88" s="22">
        <f>IF(OR(2455668.71834="",29.80973="",83.31039=""),"-",(83.31039-29.80973)/2455668.71834*100)</f>
        <v>2.1786595073038087E-3</v>
      </c>
      <c r="H88" s="22">
        <f>IF(OR(3629752.43882="",467.95496="",83.31039=""),"-",(467.95496-83.31039)/3629752.43882*100)</f>
        <v>1.0596991846778526E-2</v>
      </c>
    </row>
    <row r="89" spans="1:8" x14ac:dyDescent="0.25">
      <c r="A89" s="47" t="s">
        <v>76</v>
      </c>
      <c r="B89" s="50">
        <v>324.64488999999998</v>
      </c>
      <c r="C89" s="50">
        <v>432.90445</v>
      </c>
      <c r="D89" s="68">
        <f>IF(OR(324.64489="",432.90445=""),"-",432.90445/324.64489*100)</f>
        <v>133.34707039436228</v>
      </c>
      <c r="E89" s="22">
        <f>IF(324.64489="","-",324.64489/3629752.43882*100)</f>
        <v>8.943995368057088E-3</v>
      </c>
      <c r="F89" s="22">
        <f>IF(432.90445="","-",432.90445/3358202.51081*100)</f>
        <v>1.2890957248899897E-2</v>
      </c>
      <c r="G89" s="22">
        <f>IF(OR(2455668.71834="",469.34875="",324.64489=""),"-",(324.64489-469.34875)/2455668.71834*100)</f>
        <v>-5.8926458165667371E-3</v>
      </c>
      <c r="H89" s="22">
        <f>IF(OR(3629752.43882="",432.90445="",324.64489=""),"-",(432.90445-324.64489)/3629752.43882*100)</f>
        <v>2.9825604314545002E-3</v>
      </c>
    </row>
    <row r="90" spans="1:8" x14ac:dyDescent="0.25">
      <c r="A90" s="47" t="s">
        <v>280</v>
      </c>
      <c r="B90" s="50">
        <v>20.290500000000002</v>
      </c>
      <c r="C90" s="50">
        <v>430.84858000000003</v>
      </c>
      <c r="D90" s="68" t="s">
        <v>344</v>
      </c>
      <c r="E90" s="22">
        <f>IF(20.2905="","-",20.2905/3629752.43882*100)</f>
        <v>5.5900506555197087E-4</v>
      </c>
      <c r="F90" s="22">
        <f>IF(430.84858="","-",430.84858/3358202.51081*100)</f>
        <v>1.2829737891419753E-2</v>
      </c>
      <c r="G90" s="22">
        <f>IF(OR(2455668.71834="",662.95097="",20.2905=""),"-",(20.2905-662.95097)/2455668.71834*100)</f>
        <v>-2.6170487297424636E-2</v>
      </c>
      <c r="H90" s="22">
        <f>IF(OR(3629752.43882="",430.84858="",20.2905=""),"-",(430.84858-20.2905)/3629752.43882*100)</f>
        <v>1.1310911334037667E-2</v>
      </c>
    </row>
    <row r="91" spans="1:8" x14ac:dyDescent="0.25">
      <c r="A91" s="70" t="s">
        <v>320</v>
      </c>
      <c r="B91" s="52">
        <v>35.35</v>
      </c>
      <c r="C91" s="52">
        <v>370.30734999999999</v>
      </c>
      <c r="D91" s="68" t="s">
        <v>375</v>
      </c>
      <c r="E91" s="22">
        <f>IF(35.35="","-",35.35/3629752.43882*100)</f>
        <v>9.7389561949001594E-4</v>
      </c>
      <c r="F91" s="22">
        <f>IF(370.30735="","-",370.30735/3358202.51081*100)</f>
        <v>1.102695113853279E-2</v>
      </c>
      <c r="G91" s="22" t="str">
        <f>IF(OR(2455668.71834="",""="",35.35=""),"-",(35.35-"")/2455668.71834*100)</f>
        <v>-</v>
      </c>
      <c r="H91" s="22">
        <f>IF(OR(3629752.43882="",370.30735="",35.35=""),"-",(370.30735-35.35)/3629752.43882*100)</f>
        <v>9.2281045510886582E-3</v>
      </c>
    </row>
    <row r="92" spans="1:8" x14ac:dyDescent="0.25">
      <c r="A92" s="47" t="s">
        <v>33</v>
      </c>
      <c r="B92" s="50">
        <v>1117.6947399999999</v>
      </c>
      <c r="C92" s="50">
        <v>320.21089999999998</v>
      </c>
      <c r="D92" s="68">
        <f>IF(OR(1117.69474="",320.2109=""),"-",320.2109/1117.69474*100)</f>
        <v>28.649226711042768</v>
      </c>
      <c r="E92" s="22">
        <f>IF(1117.69474="","-",1117.69474/3629752.43882*100)</f>
        <v>3.0792588718897659E-2</v>
      </c>
      <c r="F92" s="22">
        <f>IF(320.2109="","-",320.2109/3358202.51081*100)</f>
        <v>9.5351873202776261E-3</v>
      </c>
      <c r="G92" s="22">
        <f>IF(OR(2455668.71834="",763.45408="",1117.69474=""),"-",(1117.69474-763.45408)/2455668.71834*100)</f>
        <v>1.4425425439285719E-2</v>
      </c>
      <c r="H92" s="22">
        <f>IF(OR(3629752.43882="",320.2109="",1117.69474=""),"-",(320.2109-1117.69474)/3629752.43882*100)</f>
        <v>-2.1970750166621686E-2</v>
      </c>
    </row>
    <row r="93" spans="1:8" x14ac:dyDescent="0.25">
      <c r="A93" s="70" t="s">
        <v>267</v>
      </c>
      <c r="B93" s="52">
        <v>299.40647999999999</v>
      </c>
      <c r="C93" s="52">
        <v>312.93950000000001</v>
      </c>
      <c r="D93" s="68">
        <f>IF(OR(299.40648="",312.9395=""),"-",312.9395/299.40648*100)</f>
        <v>104.51994893363698</v>
      </c>
      <c r="E93" s="22">
        <f>IF(299.40648="","-",299.40648/3629752.43882*100)</f>
        <v>8.248674945372703E-3</v>
      </c>
      <c r="F93" s="22">
        <f>IF(312.9395="","-",312.9395/3358202.51081*100)</f>
        <v>9.318660771429144E-3</v>
      </c>
      <c r="G93" s="22">
        <f>IF(OR(2455668.71834="",964.51414="",299.40648=""),"-",(299.40648-964.51414)/2455668.71834*100)</f>
        <v>-2.7084584131103973E-2</v>
      </c>
      <c r="H93" s="22">
        <f>IF(OR(3629752.43882="",312.9395="",299.40648=""),"-",(312.9395-299.40648)/3629752.43882*100)</f>
        <v>3.7283589523255439E-4</v>
      </c>
    </row>
    <row r="94" spans="1:8" x14ac:dyDescent="0.25">
      <c r="A94" s="47" t="s">
        <v>91</v>
      </c>
      <c r="B94" s="50">
        <v>132.3631</v>
      </c>
      <c r="C94" s="50">
        <v>310.7586</v>
      </c>
      <c r="D94" s="68" t="s">
        <v>337</v>
      </c>
      <c r="E94" s="22">
        <f>IF(132.3631="","-",132.3631/3629752.43882*100)</f>
        <v>3.6466150854913421E-3</v>
      </c>
      <c r="F94" s="22">
        <f>IF(310.7586="","-",310.7586/3358202.51081*100)</f>
        <v>9.2537182912487571E-3</v>
      </c>
      <c r="G94" s="22">
        <f>IF(OR(2455668.71834="",498.91783="",132.3631=""),"-",(132.3631-498.91783)/2455668.71834*100)</f>
        <v>-1.492688029384461E-2</v>
      </c>
      <c r="H94" s="22">
        <f>IF(OR(3629752.43882="",310.7586="",132.3631=""),"-",(310.7586-132.3631)/3629752.43882*100)</f>
        <v>4.9148117676585893E-3</v>
      </c>
    </row>
    <row r="95" spans="1:8" x14ac:dyDescent="0.25">
      <c r="A95" s="47" t="s">
        <v>292</v>
      </c>
      <c r="B95" s="50">
        <v>142.58651</v>
      </c>
      <c r="C95" s="50">
        <v>301.96354000000002</v>
      </c>
      <c r="D95" s="68" t="s">
        <v>339</v>
      </c>
      <c r="E95" s="22">
        <f>IF(142.58651="","-",142.58651/3629752.43882*100)</f>
        <v>3.9282709331646213E-3</v>
      </c>
      <c r="F95" s="22">
        <f>IF(301.96354="","-",301.96354/3358202.51081*100)</f>
        <v>8.9918204464437216E-3</v>
      </c>
      <c r="G95" s="22">
        <f>IF(OR(2455668.71834="",90.6311="",142.58651=""),"-",(142.58651-90.6311)/2455668.71834*100)</f>
        <v>2.1157336741708861E-3</v>
      </c>
      <c r="H95" s="22">
        <f>IF(OR(3629752.43882="",301.96354="",142.58651=""),"-",(301.96354-142.58651)/3629752.43882*100)</f>
        <v>4.3908512408579597E-3</v>
      </c>
    </row>
    <row r="96" spans="1:8" x14ac:dyDescent="0.25">
      <c r="A96" s="70" t="s">
        <v>275</v>
      </c>
      <c r="B96" s="52">
        <v>263.53181999999998</v>
      </c>
      <c r="C96" s="52">
        <v>281.59609999999998</v>
      </c>
      <c r="D96" s="68">
        <f>IF(OR(263.53182="",281.5961=""),"-",281.5961/263.53182*100)</f>
        <v>106.85468646632501</v>
      </c>
      <c r="E96" s="22">
        <f>IF(263.53182="","-",263.53182/3629752.43882*100)</f>
        <v>7.2603248965836305E-3</v>
      </c>
      <c r="F96" s="22">
        <f>IF(281.5961="","-",281.5961/3358202.51081*100)</f>
        <v>8.3853221803493576E-3</v>
      </c>
      <c r="G96" s="22" t="str">
        <f>IF(OR(2455668.71834="",""="",263.53182=""),"-",(263.53182-"")/2455668.71834*100)</f>
        <v>-</v>
      </c>
      <c r="H96" s="22">
        <f>IF(OR(3629752.43882="",281.5961="",263.53182=""),"-",(281.5961-263.53182)/3629752.43882*100)</f>
        <v>4.9767250809734382E-4</v>
      </c>
    </row>
    <row r="97" spans="1:8" x14ac:dyDescent="0.25">
      <c r="A97" s="47" t="s">
        <v>180</v>
      </c>
      <c r="B97" s="50">
        <v>471.45155</v>
      </c>
      <c r="C97" s="50">
        <v>274.10415</v>
      </c>
      <c r="D97" s="68">
        <f>IF(OR(471.45155="",274.10415=""),"-",274.10415/471.45155*100)</f>
        <v>58.140470637969052</v>
      </c>
      <c r="E97" s="22">
        <f>IF(471.45155="","-",471.45155/3629752.43882*100)</f>
        <v>1.2988531806132339E-2</v>
      </c>
      <c r="F97" s="22">
        <f>IF(274.10415="","-",274.10415/3358202.51081*100)</f>
        <v>8.1622281300089295E-3</v>
      </c>
      <c r="G97" s="22">
        <f>IF(OR(2455668.71834="",723.68098="",471.45155=""),"-",(471.45155-723.68098)/2455668.71834*100)</f>
        <v>-1.0271313394850091E-2</v>
      </c>
      <c r="H97" s="22">
        <f>IF(OR(3629752.43882="",274.10415="",471.45155=""),"-",(274.10415-471.45155)/3629752.43882*100)</f>
        <v>-5.4369382850846951E-3</v>
      </c>
    </row>
    <row r="98" spans="1:8" x14ac:dyDescent="0.25">
      <c r="A98" s="47" t="s">
        <v>89</v>
      </c>
      <c r="B98" s="50">
        <v>168.49769000000001</v>
      </c>
      <c r="C98" s="50">
        <v>269.91185999999999</v>
      </c>
      <c r="D98" s="68" t="s">
        <v>351</v>
      </c>
      <c r="E98" s="22">
        <f>IF(168.49769="","-",168.49769/3629752.43882*100)</f>
        <v>4.6421262287181519E-3</v>
      </c>
      <c r="F98" s="22">
        <f>IF(269.91186="","-",269.91186/3358202.51081*100)</f>
        <v>8.037390810445709E-3</v>
      </c>
      <c r="G98" s="22">
        <f>IF(OR(2455668.71834="",130.35845="",168.49769=""),"-",(168.49769-130.35845)/2455668.71834*100)</f>
        <v>1.5531101453204823E-3</v>
      </c>
      <c r="H98" s="22">
        <f>IF(OR(3629752.43882="",269.91186="",168.49769=""),"-",(269.91186-168.49769)/3629752.43882*100)</f>
        <v>2.7939693328773909E-3</v>
      </c>
    </row>
    <row r="99" spans="1:8" x14ac:dyDescent="0.25">
      <c r="A99" s="47" t="s">
        <v>63</v>
      </c>
      <c r="B99" s="50">
        <v>155.48889</v>
      </c>
      <c r="C99" s="50">
        <v>264.67511999999999</v>
      </c>
      <c r="D99" s="68" t="s">
        <v>333</v>
      </c>
      <c r="E99" s="22">
        <f>IF(155.48889="","-",155.48889/3629752.43882*100)</f>
        <v>4.2837326407458264E-3</v>
      </c>
      <c r="F99" s="22">
        <f>IF(264.67512="","-",264.67512/3358202.51081*100)</f>
        <v>7.8814520311986849E-3</v>
      </c>
      <c r="G99" s="22">
        <f>IF(OR(2455668.71834="",193.19476="",155.48889=""),"-",(155.48889-193.19476)/2455668.71834*100)</f>
        <v>-1.5354624065695912E-3</v>
      </c>
      <c r="H99" s="22">
        <f>IF(OR(3629752.43882="",264.67512="",155.48889=""),"-",(264.67512-155.48889)/3629752.43882*100)</f>
        <v>3.0080902717292608E-3</v>
      </c>
    </row>
    <row r="100" spans="1:8" x14ac:dyDescent="0.25">
      <c r="A100" s="47" t="s">
        <v>274</v>
      </c>
      <c r="B100" s="50">
        <v>268.25227999999998</v>
      </c>
      <c r="C100" s="50">
        <v>255.21324999999999</v>
      </c>
      <c r="D100" s="68">
        <f>IF(OR(268.25228="",255.21325=""),"-",255.21325/268.25228*100)</f>
        <v>95.139265917888935</v>
      </c>
      <c r="E100" s="22">
        <f>IF(268.25228="","-",268.25228/3629752.43882*100)</f>
        <v>7.3903739861445319E-3</v>
      </c>
      <c r="F100" s="22">
        <f>IF(255.21325="","-",255.21325/3358202.51081*100)</f>
        <v>7.5996980282896183E-3</v>
      </c>
      <c r="G100" s="22">
        <f>IF(OR(2455668.71834="",111.51571="",268.25228=""),"-",(268.25228-111.51571)/2455668.71834*100)</f>
        <v>6.3826430995933305E-3</v>
      </c>
      <c r="H100" s="22">
        <f>IF(OR(3629752.43882="",255.21325="",268.25228=""),"-",(255.21325-268.25228)/3629752.43882*100)</f>
        <v>-3.5922642713999713E-4</v>
      </c>
    </row>
    <row r="101" spans="1:8" x14ac:dyDescent="0.25">
      <c r="A101" s="47" t="s">
        <v>84</v>
      </c>
      <c r="B101" s="50">
        <v>10.320880000000001</v>
      </c>
      <c r="C101" s="50">
        <v>243.54893999999999</v>
      </c>
      <c r="D101" s="68" t="s">
        <v>376</v>
      </c>
      <c r="E101" s="22">
        <f>IF(10.32088="","-",10.32088/3629752.43882*100)</f>
        <v>2.8434115477460022E-4</v>
      </c>
      <c r="F101" s="22">
        <f>IF(243.54894="","-",243.54894/3358202.51081*100)</f>
        <v>7.2523601306359528E-3</v>
      </c>
      <c r="G101" s="22">
        <f>IF(OR(2455668.71834="",1.58254="",10.32088=""),"-",(10.32088-1.58254)/2455668.71834*100)</f>
        <v>3.5584360116404482E-4</v>
      </c>
      <c r="H101" s="22">
        <f>IF(OR(3629752.43882="",243.54894="",10.32088=""),"-",(243.54894-10.32088)/3629752.43882*100)</f>
        <v>6.425453634403242E-3</v>
      </c>
    </row>
    <row r="102" spans="1:8" x14ac:dyDescent="0.25">
      <c r="A102" s="70" t="s">
        <v>284</v>
      </c>
      <c r="B102" s="52">
        <v>119.80619</v>
      </c>
      <c r="C102" s="52">
        <v>228.19139999999999</v>
      </c>
      <c r="D102" s="68" t="s">
        <v>334</v>
      </c>
      <c r="E102" s="22">
        <f>IF(119.80619="","-",119.80619/3629752.43882*100)</f>
        <v>3.300671106896423E-3</v>
      </c>
      <c r="F102" s="22">
        <f>IF(228.1914="","-",228.1914/3358202.51081*100)</f>
        <v>6.7950458397150124E-3</v>
      </c>
      <c r="G102" s="22">
        <f>IF(OR(2455668.71834="",127.69588="",119.80619=""),"-",(119.80619-127.69588)/2455668.71834*100)</f>
        <v>-3.2128478654618075E-4</v>
      </c>
      <c r="H102" s="22">
        <f>IF(OR(3629752.43882="",228.1914="",119.80619=""),"-",(228.1914-119.80619)/3629752.43882*100)</f>
        <v>2.9860221000425876E-3</v>
      </c>
    </row>
    <row r="103" spans="1:8" x14ac:dyDescent="0.25">
      <c r="A103" s="70" t="s">
        <v>93</v>
      </c>
      <c r="B103" s="50">
        <v>587.13403000000005</v>
      </c>
      <c r="C103" s="52">
        <v>227.59863999999999</v>
      </c>
      <c r="D103" s="68">
        <f>IF(OR(587.13403="",227.59864=""),"-",227.59864/587.13403*100)</f>
        <v>38.764341423030778</v>
      </c>
      <c r="E103" s="22">
        <f>IF(587.13403="","-",587.13403/3629752.43882*100)</f>
        <v>1.6175594338628561E-2</v>
      </c>
      <c r="F103" s="22">
        <f>IF(227.59864="","-",227.59864/3358202.51081*100)</f>
        <v>6.7773947302869203E-3</v>
      </c>
      <c r="G103" s="22">
        <f>IF(OR(2455668.71834="",298.33006="",587.13403=""),"-",(587.13403-298.33006)/2455668.71834*100)</f>
        <v>1.1760705662090599E-2</v>
      </c>
      <c r="H103" s="22">
        <f>IF(OR(3629752.43882="",227.59864="",587.13403=""),"-",(227.59864-587.13403)/3629752.43882*100)</f>
        <v>-9.9052317219981492E-3</v>
      </c>
    </row>
    <row r="104" spans="1:8" x14ac:dyDescent="0.25">
      <c r="A104" s="70" t="s">
        <v>299</v>
      </c>
      <c r="B104" s="52">
        <v>176.90536</v>
      </c>
      <c r="C104" s="52">
        <v>215.64302000000001</v>
      </c>
      <c r="D104" s="68">
        <f>IF(OR(176.90536="",215.64302=""),"-",215.64302/176.90536*100)</f>
        <v>121.89739191622007</v>
      </c>
      <c r="E104" s="22">
        <f>IF(176.90536="","-",176.90536/3629752.43882*100)</f>
        <v>4.8737582791599518E-3</v>
      </c>
      <c r="F104" s="22">
        <f>IF(215.64302="","-",215.64302/3358202.51081*100)</f>
        <v>6.4213822515422634E-3</v>
      </c>
      <c r="G104" s="22">
        <f>IF(OR(2455668.71834="",211.45377="",176.90536=""),"-",(176.90536-211.45377)/2455668.71834*100)</f>
        <v>-1.4068839881364072E-3</v>
      </c>
      <c r="H104" s="22">
        <f>IF(OR(3629752.43882="",215.64302="",176.90536=""),"-",(215.64302-176.90536)/3629752.43882*100)</f>
        <v>1.0672259514368774E-3</v>
      </c>
    </row>
    <row r="105" spans="1:8" x14ac:dyDescent="0.25">
      <c r="A105" s="70" t="s">
        <v>75</v>
      </c>
      <c r="B105" s="52">
        <v>217.34990999999999</v>
      </c>
      <c r="C105" s="52">
        <v>214.26096999999999</v>
      </c>
      <c r="D105" s="68">
        <f>IF(OR(217.34991="",214.26097=""),"-",214.26097/217.34991*100)</f>
        <v>98.578816986857731</v>
      </c>
      <c r="E105" s="22">
        <f>IF(217.34991="","-",217.34991/3629752.43882*100)</f>
        <v>5.9880092007227499E-3</v>
      </c>
      <c r="F105" s="22">
        <f>IF(214.26097="","-",214.26097/3358202.51081*100)</f>
        <v>6.3802277947889504E-3</v>
      </c>
      <c r="G105" s="22">
        <f>IF(OR(2455668.71834="",15.47342="",217.34991=""),"-",(217.34991-15.47342)/2455668.71834*100)</f>
        <v>8.2208356726743599E-3</v>
      </c>
      <c r="H105" s="22">
        <f>IF(OR(3629752.43882="",214.26097="",217.34991=""),"-",(214.26097-217.34991)/3629752.43882*100)</f>
        <v>-8.5100569586067827E-5</v>
      </c>
    </row>
    <row r="106" spans="1:8" x14ac:dyDescent="0.25">
      <c r="A106" s="47" t="s">
        <v>278</v>
      </c>
      <c r="B106" s="50" t="s">
        <v>276</v>
      </c>
      <c r="C106" s="50">
        <v>175.10164</v>
      </c>
      <c r="D106" s="68" t="str">
        <f>IF(OR(""="",175.10164=""),"-",175.10164/""*100)</f>
        <v>-</v>
      </c>
      <c r="E106" s="22" t="str">
        <f>IF(""="","-",""/3629752.43882*100)</f>
        <v>-</v>
      </c>
      <c r="F106" s="22">
        <f>IF(175.10164="","-",175.10164/3358202.51081*100)</f>
        <v>5.2141477304108565E-3</v>
      </c>
      <c r="G106" s="22" t="str">
        <f>IF(OR(2455668.71834="",""="",""=""),"-",(""-"")/2455668.71834*100)</f>
        <v>-</v>
      </c>
      <c r="H106" s="22" t="str">
        <f>IF(OR(3629752.43882="",175.10164="",""=""),"-",(175.10164-"")/3629752.43882*100)</f>
        <v>-</v>
      </c>
    </row>
    <row r="107" spans="1:8" x14ac:dyDescent="0.25">
      <c r="A107" s="47" t="s">
        <v>104</v>
      </c>
      <c r="B107" s="50">
        <v>382.52483000000001</v>
      </c>
      <c r="C107" s="50">
        <v>174.53151</v>
      </c>
      <c r="D107" s="68">
        <f>IF(OR(382.52483="",174.53151=""),"-",174.53151/382.52483*100)</f>
        <v>45.626191115489156</v>
      </c>
      <c r="E107" s="22">
        <f>IF(382.52483="","-",382.52483/3629752.43882*100)</f>
        <v>1.0538592822720313E-2</v>
      </c>
      <c r="F107" s="22">
        <f>IF(174.53151="","-",174.53151/3358202.51081*100)</f>
        <v>5.1971704933870388E-3</v>
      </c>
      <c r="G107" s="22">
        <f>IF(OR(2455668.71834="",501.03808="",382.52483=""),"-",(382.52483-501.03808)/2455668.71834*100)</f>
        <v>-4.8261090396636798E-3</v>
      </c>
      <c r="H107" s="22">
        <f>IF(OR(3629752.43882="",174.53151="",382.52483=""),"-",(174.53151-382.52483)/3629752.43882*100)</f>
        <v>-5.730234320542719E-3</v>
      </c>
    </row>
    <row r="108" spans="1:8" x14ac:dyDescent="0.25">
      <c r="A108" s="70" t="s">
        <v>291</v>
      </c>
      <c r="B108" s="52">
        <v>42.291490000000003</v>
      </c>
      <c r="C108" s="52">
        <v>164.60524000000001</v>
      </c>
      <c r="D108" s="68" t="s">
        <v>349</v>
      </c>
      <c r="E108" s="22">
        <f>IF(42.29149="","-",42.29149/3629752.43882*100)</f>
        <v>1.1651342815475478E-3</v>
      </c>
      <c r="F108" s="22">
        <f>IF(164.60524="","-",164.60524/3358202.51081*100)</f>
        <v>4.9015876639404085E-3</v>
      </c>
      <c r="G108" s="22" t="str">
        <f>IF(OR(2455668.71834="",""="",42.29149=""),"-",(42.29149-"")/2455668.71834*100)</f>
        <v>-</v>
      </c>
      <c r="H108" s="22">
        <f>IF(OR(3629752.43882="",164.60524="",42.29149=""),"-",(164.60524-42.29149)/3629752.43882*100)</f>
        <v>3.3697546061781315E-3</v>
      </c>
    </row>
    <row r="109" spans="1:8" x14ac:dyDescent="0.25">
      <c r="A109" s="47" t="s">
        <v>300</v>
      </c>
      <c r="B109" s="50" t="s">
        <v>276</v>
      </c>
      <c r="C109" s="50">
        <v>163.33998</v>
      </c>
      <c r="D109" s="68" t="str">
        <f>IF(OR(""="",163.33998=""),"-",163.33998/""*100)</f>
        <v>-</v>
      </c>
      <c r="E109" s="22" t="str">
        <f>IF(""="","-",""/3629752.43882*100)</f>
        <v>-</v>
      </c>
      <c r="F109" s="22">
        <f>IF(163.33998="","-",163.33998/3358202.51081*100)</f>
        <v>4.863910960527581E-3</v>
      </c>
      <c r="G109" s="22" t="str">
        <f>IF(OR(2455668.71834="",""="",""=""),"-",(""-"")/2455668.71834*100)</f>
        <v>-</v>
      </c>
      <c r="H109" s="22" t="str">
        <f>IF(OR(3629752.43882="",163.33998="",""=""),"-",(163.33998-"")/3629752.43882*100)</f>
        <v>-</v>
      </c>
    </row>
    <row r="110" spans="1:8" s="19" customFormat="1" ht="15" customHeight="1" x14ac:dyDescent="0.2">
      <c r="A110" s="70" t="s">
        <v>301</v>
      </c>
      <c r="B110" s="52">
        <v>23.586680000000001</v>
      </c>
      <c r="C110" s="52">
        <v>147.19999999999999</v>
      </c>
      <c r="D110" s="68" t="s">
        <v>346</v>
      </c>
      <c r="E110" s="22">
        <f>IF(23.58668="","-",23.58668/3629752.43882*100)</f>
        <v>6.4981511542610377E-4</v>
      </c>
      <c r="F110" s="22">
        <f>IF(147.2="","-",147.2/3358202.51081*100)</f>
        <v>4.3832973004506292E-3</v>
      </c>
      <c r="G110" s="22">
        <f>IF(OR(2455668.71834="",60.504="",23.58668=""),"-",(23.58668-60.504)/2455668.71834*100)</f>
        <v>-1.5033509904770713E-3</v>
      </c>
      <c r="H110" s="22">
        <f>IF(OR(3629752.43882="",147.2="",23.58668=""),"-",(147.2-23.58668)/3629752.43882*100)</f>
        <v>3.4055578743597613E-3</v>
      </c>
    </row>
    <row r="111" spans="1:8" s="19" customFormat="1" ht="14.25" customHeight="1" x14ac:dyDescent="0.2">
      <c r="A111" s="70" t="s">
        <v>322</v>
      </c>
      <c r="B111" s="52">
        <v>105.76481</v>
      </c>
      <c r="C111" s="52">
        <v>112.26016</v>
      </c>
      <c r="D111" s="68" t="str">
        <f>IF(OR(""="",112.26016=""),"-",112.26016/""*100)</f>
        <v>-</v>
      </c>
      <c r="E111" s="22" t="str">
        <f>IF(""="","-",""/3629752.43882*100)</f>
        <v>-</v>
      </c>
      <c r="F111" s="22">
        <f>IF(112.26016="","-",112.26016/3358202.51081*100)</f>
        <v>3.3428645127456238E-3</v>
      </c>
      <c r="G111" s="22" t="str">
        <f>IF(OR(2455668.71834="",""="",""=""),"-",(""-"")/2455668.71834*100)</f>
        <v>-</v>
      </c>
      <c r="H111" s="22" t="str">
        <f>IF(OR(3629752.43882="",112.26016="",""=""),"-",(112.26016-"")/3629752.43882*100)</f>
        <v>-</v>
      </c>
    </row>
    <row r="112" spans="1:8" x14ac:dyDescent="0.25">
      <c r="A112" s="47" t="s">
        <v>283</v>
      </c>
      <c r="B112" s="50">
        <v>118.09535</v>
      </c>
      <c r="C112" s="50">
        <v>107.00642000000001</v>
      </c>
      <c r="D112" s="68">
        <f>IF(OR(118.09535="",107.00642=""),"-",107.00642/118.09535*100)</f>
        <v>90.610189139538519</v>
      </c>
      <c r="E112" s="22">
        <f>IF(118.09535="","-",118.09535/3629752.43882*100)</f>
        <v>3.2535373139219309E-3</v>
      </c>
      <c r="F112" s="22">
        <f>IF(107.00642="","-",107.00642/3358202.51081*100)</f>
        <v>3.1864195103049344E-3</v>
      </c>
      <c r="G112" s="22">
        <f>IF(OR(2455668.71834="",4.55709="",118.09535=""),"-",(118.09535-4.55709)/2455668.71834*100)</f>
        <v>4.6235169732809223E-3</v>
      </c>
      <c r="H112" s="22">
        <f>IF(OR(3629752.43882="",107.00642="",118.09535=""),"-",(107.00642-118.09535)/3629752.43882*100)</f>
        <v>-3.0550100005180802E-4</v>
      </c>
    </row>
    <row r="113" spans="1:8" x14ac:dyDescent="0.25">
      <c r="A113" s="47" t="s">
        <v>367</v>
      </c>
      <c r="B113" s="50">
        <v>36.9</v>
      </c>
      <c r="C113" s="50">
        <v>85.157790000000006</v>
      </c>
      <c r="D113" s="68" t="s">
        <v>337</v>
      </c>
      <c r="E113" s="22">
        <f>IF(36.9="","-",36.9/3629752.43882*100)</f>
        <v>1.0165982562710492E-3</v>
      </c>
      <c r="F113" s="22">
        <f>IF(85.15779="","-",85.15779/3358202.51081*100)</f>
        <v>2.5358146129031366E-3</v>
      </c>
      <c r="G113" s="22">
        <f>IF(OR(2455668.71834="",26.508="",36.9=""),"-",(36.9-26.508)/2455668.71834*100)</f>
        <v>4.2318411772679398E-4</v>
      </c>
      <c r="H113" s="22">
        <f>IF(OR(3629752.43882="",85.15779="",36.9=""),"-",(85.15779-36.9)/3629752.43882*100)</f>
        <v>1.3295063730486309E-3</v>
      </c>
    </row>
    <row r="114" spans="1:8" x14ac:dyDescent="0.25">
      <c r="A114" s="47" t="s">
        <v>282</v>
      </c>
      <c r="B114" s="50">
        <v>1.15343</v>
      </c>
      <c r="C114" s="50">
        <v>79.2239</v>
      </c>
      <c r="D114" s="68" t="s">
        <v>377</v>
      </c>
      <c r="E114" s="22">
        <f>IF(1.15343="","-",1.15343/3629752.43882*100)</f>
        <v>3.1777098285385267E-5</v>
      </c>
      <c r="F114" s="22">
        <f>IF(79.2239="","-",79.2239/3358202.51081*100)</f>
        <v>2.3591162160405614E-3</v>
      </c>
      <c r="G114" s="22" t="str">
        <f>IF(OR(2455668.71834="",""="",1.15343=""),"-",(1.15343-"")/2455668.71834*100)</f>
        <v>-</v>
      </c>
      <c r="H114" s="22">
        <f>IF(OR(3629752.43882="",79.2239="",1.15343=""),"-",(79.2239-1.15343)/3629752.43882*100)</f>
        <v>2.1508483378932589E-3</v>
      </c>
    </row>
    <row r="115" spans="1:8" s="19" customFormat="1" ht="14.25" customHeight="1" x14ac:dyDescent="0.2">
      <c r="A115" s="47" t="s">
        <v>77</v>
      </c>
      <c r="B115" s="50">
        <v>1765.40157</v>
      </c>
      <c r="C115" s="50">
        <v>75.998390000000001</v>
      </c>
      <c r="D115" s="68">
        <f>IF(OR(1765.40157="",75.99839=""),"-",75.99839/1765.40157*100)</f>
        <v>4.3048783512750584</v>
      </c>
      <c r="E115" s="22">
        <f>IF(1765.40157="","-",1765.40157/3629752.43882*100)</f>
        <v>4.8636969042823101E-2</v>
      </c>
      <c r="F115" s="22">
        <f>IF(75.99839="","-",75.99839/3358202.51081*100)</f>
        <v>2.2630675117227862E-3</v>
      </c>
      <c r="G115" s="22">
        <f>IF(OR(2455668.71834="",440.56426="",1765.40157=""),"-",(1765.40157-440.56426)/2455668.71834*100)</f>
        <v>5.395016437296854E-2</v>
      </c>
      <c r="H115" s="22">
        <f>IF(OR(3629752.43882="",75.99839="",1765.40157=""),"-",(75.99839-1765.40157)/3629752.43882*100)</f>
        <v>-4.654320669178226E-2</v>
      </c>
    </row>
    <row r="116" spans="1:8" s="19" customFormat="1" ht="15" customHeight="1" x14ac:dyDescent="0.2">
      <c r="A116" s="70" t="s">
        <v>368</v>
      </c>
      <c r="B116" s="52">
        <v>51.748280000000001</v>
      </c>
      <c r="C116" s="52">
        <v>54.755000000000003</v>
      </c>
      <c r="D116" s="68">
        <f>IF(OR(51.74828="",54.755=""),"-",54.755/51.74828*100)</f>
        <v>105.81028007114439</v>
      </c>
      <c r="E116" s="22">
        <f>IF(51.74828="","-",51.74828/3629752.43882*100)</f>
        <v>1.4256696805698106E-3</v>
      </c>
      <c r="F116" s="22">
        <f>IF(54.755="","-",54.755/3358202.51081*100)</f>
        <v>1.630485351128901E-3</v>
      </c>
      <c r="G116" s="22">
        <f>IF(OR(2455668.71834="",5.81="",51.74828=""),"-",(51.74828-5.81)/2455668.71834*100)</f>
        <v>1.8707034730260225E-3</v>
      </c>
      <c r="H116" s="22">
        <f>IF(OR(3629752.43882="",54.755="",51.74828=""),"-",(54.755-51.74828)/3629752.43882*100)</f>
        <v>8.283540133049568E-5</v>
      </c>
    </row>
    <row r="117" spans="1:8" x14ac:dyDescent="0.25">
      <c r="A117" s="49" t="s">
        <v>285</v>
      </c>
      <c r="B117" s="53" t="s">
        <v>276</v>
      </c>
      <c r="C117" s="53">
        <v>50.55</v>
      </c>
      <c r="D117" s="72" t="str">
        <f>IF(OR(""="",50.55=""),"-",50.55/""*100)</f>
        <v>-</v>
      </c>
      <c r="E117" s="56" t="str">
        <f>IF(""="","-",""/3629752.43882*100)</f>
        <v>-</v>
      </c>
      <c r="F117" s="56">
        <f>IF(50.55="","-",50.55/3358202.51081*100)</f>
        <v>1.505269555283827E-3</v>
      </c>
      <c r="G117" s="56" t="str">
        <f>IF(OR(2455668.71834="",""="",""=""),"-",(""-"")/2455668.71834*100)</f>
        <v>-</v>
      </c>
      <c r="H117" s="56" t="str">
        <f>IF(OR(3629752.43882="",50.55="",""=""),"-",(50.55-"")/3629752.43882*100)</f>
        <v>-</v>
      </c>
    </row>
    <row r="118" spans="1:8" s="19" customFormat="1" ht="16.5" customHeight="1" x14ac:dyDescent="0.2">
      <c r="A118" s="9" t="s">
        <v>256</v>
      </c>
      <c r="B118" s="9"/>
      <c r="C118" s="9"/>
      <c r="D118" s="11"/>
      <c r="E118" s="10"/>
      <c r="F118" s="10"/>
      <c r="G118" s="18"/>
      <c r="H118" s="18"/>
    </row>
    <row r="119" spans="1:8" s="19" customFormat="1" ht="15" customHeight="1" x14ac:dyDescent="0.2">
      <c r="A119" s="85" t="s">
        <v>413</v>
      </c>
      <c r="B119" s="85"/>
      <c r="C119" s="44"/>
      <c r="D119" s="44"/>
      <c r="E119" s="44"/>
      <c r="F119" s="44"/>
      <c r="G119" s="18"/>
      <c r="H119" s="18"/>
    </row>
  </sheetData>
  <mergeCells count="8">
    <mergeCell ref="A119:B119"/>
    <mergeCell ref="A1:H1"/>
    <mergeCell ref="A3:A4"/>
    <mergeCell ref="E3:F3"/>
    <mergeCell ref="G3:H3"/>
    <mergeCell ref="A2:H2"/>
    <mergeCell ref="D3:D4"/>
    <mergeCell ref="B3:C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133"/>
  <sheetViews>
    <sheetView zoomScaleNormal="100" workbookViewId="0">
      <selection sqref="A1:H1"/>
    </sheetView>
  </sheetViews>
  <sheetFormatPr defaultRowHeight="15.75" x14ac:dyDescent="0.25"/>
  <cols>
    <col min="1" max="1" width="35.25" customWidth="1"/>
    <col min="2" max="3" width="14" customWidth="1"/>
    <col min="4" max="4" width="13.625" customWidth="1"/>
    <col min="5" max="5" width="10.75" customWidth="1"/>
    <col min="6" max="6" width="10.5" customWidth="1"/>
    <col min="7" max="7" width="11" customWidth="1"/>
    <col min="8" max="8" width="10.75" customWidth="1"/>
    <col min="10" max="10" width="10.25" bestFit="1" customWidth="1"/>
  </cols>
  <sheetData>
    <row r="1" spans="1:15" x14ac:dyDescent="0.25">
      <c r="A1" s="97" t="s">
        <v>305</v>
      </c>
      <c r="B1" s="97"/>
      <c r="C1" s="97"/>
      <c r="D1" s="97"/>
      <c r="E1" s="97"/>
      <c r="F1" s="97"/>
      <c r="G1" s="97"/>
      <c r="H1" s="97"/>
    </row>
    <row r="2" spans="1:15" x14ac:dyDescent="0.25">
      <c r="A2" s="98"/>
      <c r="B2" s="98"/>
      <c r="C2" s="98"/>
      <c r="D2" s="98"/>
      <c r="E2" s="98"/>
      <c r="F2" s="98"/>
      <c r="G2" s="98"/>
      <c r="H2" s="98"/>
    </row>
    <row r="3" spans="1:15" ht="48.75" customHeight="1" x14ac:dyDescent="0.25">
      <c r="A3" s="87"/>
      <c r="B3" s="89" t="s">
        <v>358</v>
      </c>
      <c r="C3" s="96"/>
      <c r="D3" s="94" t="s">
        <v>365</v>
      </c>
      <c r="E3" s="89" t="s">
        <v>94</v>
      </c>
      <c r="F3" s="90"/>
      <c r="G3" s="91" t="s">
        <v>313</v>
      </c>
      <c r="H3" s="92"/>
    </row>
    <row r="4" spans="1:15" s="17" customFormat="1" ht="44.25" customHeight="1" x14ac:dyDescent="0.2">
      <c r="A4" s="88"/>
      <c r="B4" s="13" t="s">
        <v>360</v>
      </c>
      <c r="C4" s="13" t="s">
        <v>361</v>
      </c>
      <c r="D4" s="95"/>
      <c r="E4" s="13" t="s">
        <v>360</v>
      </c>
      <c r="F4" s="13" t="s">
        <v>361</v>
      </c>
      <c r="G4" s="13" t="s">
        <v>362</v>
      </c>
      <c r="H4" s="12" t="s">
        <v>363</v>
      </c>
      <c r="J4" s="23"/>
      <c r="K4" s="23"/>
      <c r="L4" s="23"/>
      <c r="M4" s="23"/>
      <c r="N4" s="23"/>
      <c r="O4" s="23"/>
    </row>
    <row r="5" spans="1:15" s="17" customFormat="1" ht="14.25" customHeight="1" x14ac:dyDescent="0.2">
      <c r="A5" s="62" t="s">
        <v>409</v>
      </c>
      <c r="B5" s="63">
        <v>7486893.1451500002</v>
      </c>
      <c r="C5" s="64">
        <v>7126566.5717000002</v>
      </c>
      <c r="D5" s="66">
        <f>IF(7486893.14515="","-",7126566.5717/7486893.14515*100)</f>
        <v>95.187234992349019</v>
      </c>
      <c r="E5" s="64">
        <v>100</v>
      </c>
      <c r="F5" s="64">
        <v>100</v>
      </c>
      <c r="G5" s="64">
        <f>IF(5721069.63319="","-",(7486893.14515-5721069.63319)/5721069.63319*100)</f>
        <v>30.865268650390426</v>
      </c>
      <c r="H5" s="64">
        <f>IF(7486893.14515="","-",(7126566.5717-7486893.14515)/7486893.14515*100)</f>
        <v>-4.8127650076509925</v>
      </c>
      <c r="J5" s="23"/>
      <c r="K5" s="23"/>
      <c r="L5" s="23"/>
      <c r="M5" s="23"/>
      <c r="N5" s="23"/>
      <c r="O5" s="23"/>
    </row>
    <row r="6" spans="1:15" s="1" customFormat="1" ht="15" x14ac:dyDescent="0.25">
      <c r="A6" s="20" t="s">
        <v>105</v>
      </c>
      <c r="B6" s="50"/>
      <c r="C6" s="45"/>
      <c r="D6" s="71"/>
      <c r="E6" s="45"/>
      <c r="F6" s="45"/>
      <c r="G6" s="45"/>
      <c r="H6" s="45"/>
    </row>
    <row r="7" spans="1:15" ht="16.5" customHeight="1" x14ac:dyDescent="0.25">
      <c r="A7" s="46" t="s">
        <v>112</v>
      </c>
      <c r="B7" s="51">
        <v>3463013.4671700001</v>
      </c>
      <c r="C7" s="21">
        <v>3460619.9106800002</v>
      </c>
      <c r="D7" s="67">
        <f>IF(3463013.46717="","-",3460619.91068/3463013.46717*100)</f>
        <v>99.93088226445866</v>
      </c>
      <c r="E7" s="21">
        <f>IF(3463013.46717="","-",3463013.46717/7486893.14515*100)</f>
        <v>46.254346095660999</v>
      </c>
      <c r="F7" s="21">
        <f>IF(3460619.91068="","-",3460619.91068/7126566.5717*100)</f>
        <v>48.55942726224319</v>
      </c>
      <c r="G7" s="21">
        <f>IF(5721069.63319="","-",(3463013.46717-2588717.57194)/5721069.63319*100)</f>
        <v>15.282035550797918</v>
      </c>
      <c r="H7" s="21">
        <f>IF(7486893.14515="","-",(3460619.91068-3463013.46717)/7486893.14515*100)</f>
        <v>-3.1969956610779393E-2</v>
      </c>
    </row>
    <row r="8" spans="1:15" x14ac:dyDescent="0.25">
      <c r="A8" s="47" t="s">
        <v>0</v>
      </c>
      <c r="B8" s="50">
        <v>1295552.89283</v>
      </c>
      <c r="C8" s="52">
        <v>1083138.29608</v>
      </c>
      <c r="D8" s="68">
        <f>IF(OR(1295552.89283="",1083138.29608=""),"-",1083138.29608/1295552.89283*100)</f>
        <v>83.604328474308559</v>
      </c>
      <c r="E8" s="22">
        <f>IF(1295552.89283="","-",1295552.89283/7486893.14515*100)</f>
        <v>17.304279194491475</v>
      </c>
      <c r="F8" s="22">
        <f>IF(1083138.29608="","-",1083138.29608/7126566.5717*100)</f>
        <v>15.198599285961961</v>
      </c>
      <c r="G8" s="22">
        <f>IF(OR(5721069.63319="",687629.13123="",1295552.89283=""),"-",(1295552.89283-687629.13123)/5721069.63319*100)</f>
        <v>10.626050731373967</v>
      </c>
      <c r="H8" s="22">
        <f>IF(OR(7486893.14515="",1083138.29608="",1295552.89283=""),"-",(1083138.29608-1295552.89283)/7486893.14515*100)</f>
        <v>-2.837152776617387</v>
      </c>
    </row>
    <row r="9" spans="1:15" s="2" customFormat="1" x14ac:dyDescent="0.25">
      <c r="A9" s="47" t="s">
        <v>2</v>
      </c>
      <c r="B9" s="50">
        <v>481100.30621000001</v>
      </c>
      <c r="C9" s="52">
        <v>507680.37715000001</v>
      </c>
      <c r="D9" s="68">
        <f>IF(OR(481100.30621="",507680.37715=""),"-",507680.37715/481100.30621*100)</f>
        <v>105.52485013975399</v>
      </c>
      <c r="E9" s="22">
        <f>IF(481100.30621="","-",481100.30621/7486893.14515*100)</f>
        <v>6.425900528868322</v>
      </c>
      <c r="F9" s="22">
        <f>IF(507680.37715="","-",507680.37715/7126566.5717*100)</f>
        <v>7.1237723248952385</v>
      </c>
      <c r="G9" s="22">
        <f>IF(OR(5721069.63319="",446094.71229="",481100.30621=""),"-",(481100.30621-446094.71229)/5721069.63319*100)</f>
        <v>0.61187148845243666</v>
      </c>
      <c r="H9" s="22">
        <f>IF(OR(7486893.14515="",507680.37715="",481100.30621=""),"-",(507680.37715-481100.30621)/7486893.14515*100)</f>
        <v>0.35502137434963316</v>
      </c>
    </row>
    <row r="10" spans="1:15" s="2" customFormat="1" x14ac:dyDescent="0.25">
      <c r="A10" s="47" t="s">
        <v>1</v>
      </c>
      <c r="B10" s="50">
        <v>364208.64408</v>
      </c>
      <c r="C10" s="22">
        <v>392352.03898000001</v>
      </c>
      <c r="D10" s="68">
        <f>IF(OR(364208.64408="",392352.03898=""),"-",392352.03898/364208.64408*100)</f>
        <v>107.7272726382129</v>
      </c>
      <c r="E10" s="22">
        <f>IF(364208.64408="","-",364208.64408/7486893.14515*100)</f>
        <v>4.8646165641609818</v>
      </c>
      <c r="F10" s="22">
        <f>IF(392352.03898="","-",392352.03898/7126566.5717*100)</f>
        <v>5.5054847945720766</v>
      </c>
      <c r="G10" s="22">
        <f>IF(OR(5721069.63319="",366003.73959="",364208.64408=""),"-",(364208.64408-366003.73959)/5721069.63319*100)</f>
        <v>-3.1376921189457535E-2</v>
      </c>
      <c r="H10" s="22">
        <f>IF(OR(7486893.14515="",392352.03898="",364208.64408=""),"-",(392352.03898-364208.64408)/7486893.14515*100)</f>
        <v>0.37590218471638354</v>
      </c>
    </row>
    <row r="11" spans="1:15" s="2" customFormat="1" x14ac:dyDescent="0.25">
      <c r="A11" s="47" t="s">
        <v>3</v>
      </c>
      <c r="B11" s="50">
        <v>251874.76621999999</v>
      </c>
      <c r="C11" s="22">
        <v>261548.17113999999</v>
      </c>
      <c r="D11" s="68">
        <f>IF(OR(251874.76622="",261548.17114=""),"-",261548.17114/251874.76622*100)</f>
        <v>103.84056134926622</v>
      </c>
      <c r="E11" s="22">
        <f>IF(251874.76622="","-",251874.76622/7486893.14515*100)</f>
        <v>3.3642094435816028</v>
      </c>
      <c r="F11" s="22">
        <f>IF(261548.17114="","-",261548.17114/7126566.5717*100)</f>
        <v>3.6700445931231824</v>
      </c>
      <c r="G11" s="22">
        <f>IF(OR(5721069.63319="",213532.8762="",251874.76622=""),"-",(251874.76622-213532.8762)/5721069.63319*100)</f>
        <v>0.67018743833434191</v>
      </c>
      <c r="H11" s="22">
        <f>IF(OR(7486893.14515="",261548.17114="",251874.76622=""),"-",(261548.17114-251874.76622)/7486893.14515*100)</f>
        <v>0.12920452759855963</v>
      </c>
    </row>
    <row r="12" spans="1:15" s="2" customFormat="1" x14ac:dyDescent="0.25">
      <c r="A12" s="47" t="s">
        <v>262</v>
      </c>
      <c r="B12" s="50">
        <v>152119.92295000001</v>
      </c>
      <c r="C12" s="22">
        <v>171729.87346999999</v>
      </c>
      <c r="D12" s="68">
        <f>IF(OR(152119.92295="",171729.87347=""),"-",171729.87347/152119.92295*100)</f>
        <v>112.89111257730886</v>
      </c>
      <c r="E12" s="22">
        <f>IF(152119.92295="","-",152119.92295/7486893.14515*100)</f>
        <v>2.0318164023556702</v>
      </c>
      <c r="F12" s="22">
        <f>IF(171729.87347="","-",171729.87347/7126566.5717*100)</f>
        <v>2.4097140150482708</v>
      </c>
      <c r="G12" s="22">
        <f>IF(OR(5721069.63319="",140155.71639="",152119.92295=""),"-",(152119.92295-140155.71639)/5721069.63319*100)</f>
        <v>0.20912534415926909</v>
      </c>
      <c r="H12" s="22">
        <f>IF(OR(7486893.14515="",171729.87347="",152119.92295=""),"-",(171729.87347-152119.92295)/7486893.14515*100)</f>
        <v>0.26192373979189598</v>
      </c>
    </row>
    <row r="13" spans="1:15" s="2" customFormat="1" x14ac:dyDescent="0.25">
      <c r="A13" s="70" t="s">
        <v>36</v>
      </c>
      <c r="B13" s="52">
        <v>150405.40616000001</v>
      </c>
      <c r="C13" s="52">
        <v>152854.06296000001</v>
      </c>
      <c r="D13" s="68">
        <f>IF(OR(150405.40616="",152854.06296=""),"-",152854.06296/150405.40616*100)</f>
        <v>101.62803775643219</v>
      </c>
      <c r="E13" s="22">
        <f>IF(150405.40616="","-",150405.40616/7486893.14515*100)</f>
        <v>2.0089161584659778</v>
      </c>
      <c r="F13" s="22">
        <f>IF(152854.06296="","-",152854.06296/7126566.5717*100)</f>
        <v>2.1448485946513456</v>
      </c>
      <c r="G13" s="22">
        <f>IF(OR(5721069.63319="",101417.63121="",150405.40616=""),"-",(150405.40616-101417.63121)/5721069.63319*100)</f>
        <v>0.85626951061396195</v>
      </c>
      <c r="H13" s="22">
        <f>IF(OR(7486893.14515="",152854.06296="",150405.40616=""),"-",(152854.06296-150405.40616)/7486893.14515*100)</f>
        <v>3.2705913554893377E-2</v>
      </c>
    </row>
    <row r="14" spans="1:15" s="2" customFormat="1" x14ac:dyDescent="0.25">
      <c r="A14" s="47" t="s">
        <v>265</v>
      </c>
      <c r="B14" s="50">
        <v>110746.97053000001</v>
      </c>
      <c r="C14" s="22">
        <v>129168.67709</v>
      </c>
      <c r="D14" s="68">
        <f>IF(OR(110746.97053="",129168.67709=""),"-",129168.67709/110746.97053*100)</f>
        <v>116.63405009802031</v>
      </c>
      <c r="E14" s="22">
        <f>IF(110746.97053="","-",110746.97053/7486893.14515*100)</f>
        <v>1.479211314799407</v>
      </c>
      <c r="F14" s="22">
        <f>IF(129168.67709="","-",129168.67709/7126566.5717*100)</f>
        <v>1.8124952007455615</v>
      </c>
      <c r="G14" s="22">
        <f>IF(OR(5721069.63319="",93978.38889="",110746.97053=""),"-",(110746.97053-93978.38889)/5721069.63319*100)</f>
        <v>0.29310221191364949</v>
      </c>
      <c r="H14" s="22">
        <f>IF(OR(7486893.14515="",129168.67709="",110746.97053=""),"-",(129168.67709-110746.97053)/7486893.14515*100)</f>
        <v>0.24605275115931832</v>
      </c>
    </row>
    <row r="15" spans="1:15" s="2" customFormat="1" x14ac:dyDescent="0.25">
      <c r="A15" s="47" t="s">
        <v>4</v>
      </c>
      <c r="B15" s="50">
        <v>115718.68348000001</v>
      </c>
      <c r="C15" s="22">
        <v>119532.71206000001</v>
      </c>
      <c r="D15" s="68">
        <f>IF(OR(115718.68348="",119532.71206=""),"-",119532.71206/115718.68348*100)</f>
        <v>103.29594881768524</v>
      </c>
      <c r="E15" s="22">
        <f>IF(115718.68348="","-",115718.68348/7486893.14515*100)</f>
        <v>1.5456168698622663</v>
      </c>
      <c r="F15" s="22">
        <f>IF(119532.71206="","-",119532.71206/7126566.5717*100)</f>
        <v>1.677283315287774</v>
      </c>
      <c r="G15" s="22">
        <f>IF(OR(5721069.63319="",68060.36523="",115718.68348=""),"-",(115718.68348-68060.36523)/5721069.63319*100)</f>
        <v>0.83303160607444482</v>
      </c>
      <c r="H15" s="22">
        <f>IF(OR(7486893.14515="",119532.71206="",115718.68348=""),"-",(119532.71206-115718.68348)/7486893.14515*100)</f>
        <v>5.0942740948169155E-2</v>
      </c>
    </row>
    <row r="16" spans="1:15" s="2" customFormat="1" x14ac:dyDescent="0.25">
      <c r="A16" s="47" t="s">
        <v>6</v>
      </c>
      <c r="B16" s="50">
        <v>53139.310310000001</v>
      </c>
      <c r="C16" s="52">
        <v>118293.2326</v>
      </c>
      <c r="D16" s="68" t="s">
        <v>345</v>
      </c>
      <c r="E16" s="22">
        <f>IF(53139.31031="","-",53139.31031/7486893.14515*100)</f>
        <v>0.70976450818486148</v>
      </c>
      <c r="F16" s="22">
        <f>IF(118293.2326="","-",118293.2326/7126566.5717*100)</f>
        <v>1.6598909363977479</v>
      </c>
      <c r="G16" s="22">
        <f>IF(OR(5721069.63319="",36830.30232="",53139.31031=""),"-",(53139.31031-36830.30232)/5721069.63319*100)</f>
        <v>0.28506920970486932</v>
      </c>
      <c r="H16" s="22">
        <f>IF(OR(7486893.14515="",118293.2326="",53139.31031=""),"-",(118293.2326-53139.31031)/7486893.14515*100)</f>
        <v>0.87023977806076525</v>
      </c>
    </row>
    <row r="17" spans="1:8" s="2" customFormat="1" x14ac:dyDescent="0.25">
      <c r="A17" s="70" t="s">
        <v>34</v>
      </c>
      <c r="B17" s="52">
        <v>88147.045899999997</v>
      </c>
      <c r="C17" s="52">
        <v>97453.64615</v>
      </c>
      <c r="D17" s="68">
        <f>IF(OR(88147.0459="",97453.64615=""),"-",97453.64615/88147.0459*100)</f>
        <v>110.55803986960385</v>
      </c>
      <c r="E17" s="22">
        <f>IF(88147.0459="","-",88147.0459/7486893.14515*100)</f>
        <v>1.1773514619625838</v>
      </c>
      <c r="F17" s="22">
        <f>IF(97453.64615="","-",97453.64615/7126566.5717*100)</f>
        <v>1.3674698070876647</v>
      </c>
      <c r="G17" s="22">
        <f>IF(OR(5721069.63319="",75425.22895="",88147.0459=""),"-",(88147.0459-75425.22895)/5721069.63319*100)</f>
        <v>0.22236780472302101</v>
      </c>
      <c r="H17" s="22">
        <f>IF(OR(7486893.14515="",97453.64615="",88147.0459=""),"-",(97453.64615-88147.0459)/7486893.14515*100)</f>
        <v>0.12430523675937338</v>
      </c>
    </row>
    <row r="18" spans="1:8" s="2" customFormat="1" x14ac:dyDescent="0.25">
      <c r="A18" s="47" t="s">
        <v>5</v>
      </c>
      <c r="B18" s="50">
        <v>68829.828089999995</v>
      </c>
      <c r="C18" s="52">
        <v>73266.083100000003</v>
      </c>
      <c r="D18" s="68">
        <f>IF(OR(68829.82809="",73266.0831=""),"-",73266.0831/68829.82809*100)</f>
        <v>106.44525074826467</v>
      </c>
      <c r="E18" s="22">
        <f>IF(68829.82809="","-",68829.82809/7486893.14515*100)</f>
        <v>0.91933765789869548</v>
      </c>
      <c r="F18" s="22">
        <f>IF(73266.0831="","-",73266.0831/7126566.5717*100)</f>
        <v>1.0280698617331911</v>
      </c>
      <c r="G18" s="22">
        <f>IF(OR(5721069.63319="",83449.21523="",68829.82809=""),"-",(68829.82809-83449.21523)/5721069.63319*100)</f>
        <v>-0.25553590634848483</v>
      </c>
      <c r="H18" s="22">
        <f>IF(OR(7486893.14515="",73266.0831="",68829.82809=""),"-",(73266.0831-68829.82809)/7486893.14515*100)</f>
        <v>5.9253617274794536E-2</v>
      </c>
    </row>
    <row r="19" spans="1:8" s="2" customFormat="1" ht="15.75" customHeight="1" x14ac:dyDescent="0.25">
      <c r="A19" s="47" t="s">
        <v>38</v>
      </c>
      <c r="B19" s="50">
        <v>50444.942849999999</v>
      </c>
      <c r="C19" s="22">
        <v>69195.631710000001</v>
      </c>
      <c r="D19" s="68">
        <f>IF(OR(50444.94285="",69195.63171=""),"-",69195.63171/50444.94285*100)</f>
        <v>137.17060184953704</v>
      </c>
      <c r="E19" s="22">
        <f>IF(50444.94285="","-",50444.94285/7486893.14515*100)</f>
        <v>0.67377671715106779</v>
      </c>
      <c r="F19" s="22">
        <f>IF(69195.63171="","-",69195.63171/7126566.5717*100)</f>
        <v>0.97095327762431594</v>
      </c>
      <c r="G19" s="22">
        <f>IF(OR(5721069.63319="",32205.23501="",50444.94285=""),"-",(50444.94285-32205.23501)/5721069.63319*100)</f>
        <v>0.3188163929029082</v>
      </c>
      <c r="H19" s="22">
        <f>IF(OR(7486893.14515="",69195.63171="",50444.94285=""),"-",(69195.63171-50444.94285)/7486893.14515*100)</f>
        <v>0.25044686088710477</v>
      </c>
    </row>
    <row r="20" spans="1:8" s="2" customFormat="1" x14ac:dyDescent="0.25">
      <c r="A20" s="47" t="s">
        <v>270</v>
      </c>
      <c r="B20" s="50">
        <v>73353.046660000007</v>
      </c>
      <c r="C20" s="22">
        <v>68504.745079999993</v>
      </c>
      <c r="D20" s="68">
        <f>IF(OR(73353.04666="",68504.74508=""),"-",68504.74508/73353.04666*100)</f>
        <v>93.390456428521006</v>
      </c>
      <c r="E20" s="22">
        <f>IF(73353.04666="","-",73353.04666/7486893.14515*100)</f>
        <v>0.97975281919868218</v>
      </c>
      <c r="F20" s="22">
        <f>IF(68504.74508="","-",68504.74508/7126566.5717*100)</f>
        <v>0.96125875470014155</v>
      </c>
      <c r="G20" s="22">
        <f>IF(OR(5721069.63319="",60918.93366="",73353.04666=""),"-",(73353.04666-60918.93366)/5721069.63319*100)</f>
        <v>0.21733895577612278</v>
      </c>
      <c r="H20" s="22">
        <f>IF(OR(7486893.14515="",68504.74508="",73353.04666=""),"-",(68504.74508-73353.04666)/7486893.14515*100)</f>
        <v>-6.4757189477730667E-2</v>
      </c>
    </row>
    <row r="21" spans="1:8" s="2" customFormat="1" x14ac:dyDescent="0.25">
      <c r="A21" s="47" t="s">
        <v>35</v>
      </c>
      <c r="B21" s="50">
        <v>45081.400719999998</v>
      </c>
      <c r="C21" s="22">
        <v>44675.636590000002</v>
      </c>
      <c r="D21" s="68">
        <f>IF(OR(45081.40072="",44675.63659=""),"-",44675.63659/45081.40072*100)</f>
        <v>99.099930074222414</v>
      </c>
      <c r="E21" s="22">
        <f>IF(45081.40072="","-",45081.40072/7486893.14515*100)</f>
        <v>0.60213762699690287</v>
      </c>
      <c r="F21" s="22">
        <f>IF(44675.63659="","-",44675.63659/7126566.5717*100)</f>
        <v>0.62688864463021343</v>
      </c>
      <c r="G21" s="22">
        <f>IF(OR(5721069.63319="",43388.07233="",45081.40072=""),"-",(45081.40072-43388.07233)/5721069.63319*100)</f>
        <v>2.9598108370791062E-2</v>
      </c>
      <c r="H21" s="22">
        <f>IF(OR(7486893.14515="",44675.63659="",45081.40072=""),"-",(44675.63659-45081.40072)/7486893.14515*100)</f>
        <v>-5.4196596923898853E-3</v>
      </c>
    </row>
    <row r="22" spans="1:8" s="2" customFormat="1" x14ac:dyDescent="0.25">
      <c r="A22" s="47" t="s">
        <v>44</v>
      </c>
      <c r="B22" s="50">
        <v>28152.915089999999</v>
      </c>
      <c r="C22" s="22">
        <v>38979.983610000003</v>
      </c>
      <c r="D22" s="68">
        <f>IF(OR(28152.91509="",38979.98361=""),"-",38979.98361/28152.91509*100)</f>
        <v>138.45807258462486</v>
      </c>
      <c r="E22" s="22">
        <f>IF(28152.91509="","-",28152.91509/7486893.14515*100)</f>
        <v>0.37602934280205963</v>
      </c>
      <c r="F22" s="22">
        <f>IF(38979.98361="","-",38979.98361/7126566.5717*100)</f>
        <v>0.54696722773616857</v>
      </c>
      <c r="G22" s="22">
        <f>IF(OR(5721069.63319="",21558.53482="",28152.91509=""),"-",(28152.91509-21558.53482)/5721069.63319*100)</f>
        <v>0.11526481397365984</v>
      </c>
      <c r="H22" s="22">
        <f>IF(OR(7486893.14515="",38979.98361="",28152.91509=""),"-",(38979.98361-28152.91509)/7486893.14515*100)</f>
        <v>0.14461363759430393</v>
      </c>
    </row>
    <row r="23" spans="1:8" s="2" customFormat="1" x14ac:dyDescent="0.25">
      <c r="A23" s="47" t="s">
        <v>46</v>
      </c>
      <c r="B23" s="50">
        <v>23686.596450000001</v>
      </c>
      <c r="C23" s="22">
        <v>25299.780839999999</v>
      </c>
      <c r="D23" s="68">
        <f>IF(OR(23686.59645="",25299.78084=""),"-",25299.78084/23686.59645*100)</f>
        <v>106.8105368933239</v>
      </c>
      <c r="E23" s="22">
        <f>IF(23686.59645="","-",23686.59645/7486893.14515*100)</f>
        <v>0.3163741753860097</v>
      </c>
      <c r="F23" s="22">
        <f>IF(25299.78084="","-",25299.78084/7126566.5717*100)</f>
        <v>0.35500658817202185</v>
      </c>
      <c r="G23" s="22">
        <f>IF(OR(5721069.63319="",24772.2871="",23686.59645=""),"-",(23686.59645-24772.2871)/5721069.63319*100)</f>
        <v>-1.897705708214973E-2</v>
      </c>
      <c r="H23" s="22">
        <f>IF(OR(7486893.14515="",25299.78084="",23686.59645=""),"-",(25299.78084-23686.59645)/7486893.14515*100)</f>
        <v>2.1546779935613443E-2</v>
      </c>
    </row>
    <row r="24" spans="1:8" s="2" customFormat="1" x14ac:dyDescent="0.25">
      <c r="A24" s="47" t="s">
        <v>45</v>
      </c>
      <c r="B24" s="50">
        <v>22224.074509999999</v>
      </c>
      <c r="C24" s="22">
        <v>24337.044180000001</v>
      </c>
      <c r="D24" s="68">
        <f>IF(OR(22224.07451="",24337.04418=""),"-",24337.04418/22224.07451*100)</f>
        <v>109.50757103090724</v>
      </c>
      <c r="E24" s="22">
        <f>IF(22224.07451="","-",22224.07451/7486893.14515*100)</f>
        <v>0.29683974485994535</v>
      </c>
      <c r="F24" s="22">
        <f>IF(24337.04418="","-",24337.04418/7126566.5717*100)</f>
        <v>0.3414974649453747</v>
      </c>
      <c r="G24" s="22">
        <f>IF(OR(5721069.63319="",21884.03133="",22224.07451=""),"-",(22224.07451-21884.03133)/5721069.63319*100)</f>
        <v>5.9436993744540895E-3</v>
      </c>
      <c r="H24" s="22">
        <f>IF(OR(7486893.14515="",24337.04418="",22224.07451=""),"-",(24337.04418-22224.07451)/7486893.14515*100)</f>
        <v>2.8222249590523159E-2</v>
      </c>
    </row>
    <row r="25" spans="1:8" s="2" customFormat="1" x14ac:dyDescent="0.25">
      <c r="A25" s="47" t="s">
        <v>43</v>
      </c>
      <c r="B25" s="50">
        <v>17453.389289999999</v>
      </c>
      <c r="C25" s="22">
        <v>16461.649710000002</v>
      </c>
      <c r="D25" s="68">
        <f>IF(OR(17453.38929="",16461.64971=""),"-",16461.64971/17453.38929*100)</f>
        <v>94.317782274138466</v>
      </c>
      <c r="E25" s="22">
        <f>IF(17453.38929="","-",17453.38929/7486893.14515*100)</f>
        <v>0.23311925189297358</v>
      </c>
      <c r="F25" s="22">
        <f>IF(16461.64971="","-",16461.64971/7126566.5717*100)</f>
        <v>0.2309899099991593</v>
      </c>
      <c r="G25" s="22">
        <f>IF(OR(5721069.63319="",12230.53764="",17453.38929=""),"-",(17453.38929-12230.53764)/5721069.63319*100)</f>
        <v>9.12915238734439E-2</v>
      </c>
      <c r="H25" s="22">
        <f>IF(OR(7486893.14515="",16461.64971="",17453.38929=""),"-",(16461.64971-17453.38929)/7486893.14515*100)</f>
        <v>-1.3246343453458332E-2</v>
      </c>
    </row>
    <row r="26" spans="1:8" s="2" customFormat="1" x14ac:dyDescent="0.25">
      <c r="A26" s="47" t="s">
        <v>39</v>
      </c>
      <c r="B26" s="50">
        <v>15811.44641</v>
      </c>
      <c r="C26" s="22">
        <v>16348.59953</v>
      </c>
      <c r="D26" s="68">
        <f>IF(OR(15811.44641="",16348.59953=""),"-",16348.59953/15811.44641*100)</f>
        <v>103.39724213757113</v>
      </c>
      <c r="E26" s="22">
        <f>IF(15811.44641="","-",15811.44641/7486893.14515*100)</f>
        <v>0.21118835414717566</v>
      </c>
      <c r="F26" s="22">
        <f>IF(16348.59953="","-",16348.59953/7126566.5717*100)</f>
        <v>0.22940358958998874</v>
      </c>
      <c r="G26" s="22">
        <f>IF(OR(5721069.63319="",12499.03278="",15811.44641=""),"-",(15811.44641-12499.03278)/5721069.63319*100)</f>
        <v>5.789850224481604E-2</v>
      </c>
      <c r="H26" s="22">
        <f>IF(OR(7486893.14515="",16348.59953="",15811.44641=""),"-",(16348.59953-15811.44641)/7486893.14515*100)</f>
        <v>7.1745797567308164E-3</v>
      </c>
    </row>
    <row r="27" spans="1:8" s="2" customFormat="1" x14ac:dyDescent="0.25">
      <c r="A27" s="47" t="s">
        <v>42</v>
      </c>
      <c r="B27" s="50">
        <v>16661.062249999999</v>
      </c>
      <c r="C27" s="22">
        <v>15368.03815</v>
      </c>
      <c r="D27" s="68">
        <f>IF(OR(16661.06225="",15368.03815=""),"-",15368.03815/16661.06225*100)</f>
        <v>92.23924572996539</v>
      </c>
      <c r="E27" s="22">
        <f>IF(16661.06225="","-",16661.06225/7486893.14515*100)</f>
        <v>0.22253639696718541</v>
      </c>
      <c r="F27" s="22">
        <f>IF(15368.03815="","-",15368.03815/7126566.5717*100)</f>
        <v>0.21564434984761596</v>
      </c>
      <c r="G27" s="22">
        <f>IF(OR(5721069.63319="",13319.85737="",16661.06225=""),"-",(16661.06225-13319.85737)/5721069.63319*100)</f>
        <v>5.8401751669241317E-2</v>
      </c>
      <c r="H27" s="22">
        <f>IF(OR(7486893.14515="",15368.03815="",16661.06225=""),"-",(15368.03815-16661.06225)/7486893.14515*100)</f>
        <v>-1.7270502930012005E-2</v>
      </c>
    </row>
    <row r="28" spans="1:8" s="2" customFormat="1" x14ac:dyDescent="0.25">
      <c r="A28" s="47" t="s">
        <v>37</v>
      </c>
      <c r="B28" s="50">
        <v>14230.58086</v>
      </c>
      <c r="C28" s="22">
        <v>13928.16964</v>
      </c>
      <c r="D28" s="68">
        <f>IF(OR(14230.58086="",13928.16964=""),"-",13928.16964/14230.58086*100)</f>
        <v>97.874920054387715</v>
      </c>
      <c r="E28" s="22">
        <f>IF(14230.58086="","-",14230.58086/7486893.14515*100)</f>
        <v>0.19007324646029644</v>
      </c>
      <c r="F28" s="22">
        <f>IF(13928.16964="","-",13928.16964/7126566.5717*100)</f>
        <v>0.1954401113056258</v>
      </c>
      <c r="G28" s="22">
        <f>IF(OR(5721069.63319="",12514.33761="",14230.58086=""),"-",(14230.58086-12514.33761)/5721069.63319*100)</f>
        <v>2.999864291186826E-2</v>
      </c>
      <c r="H28" s="22">
        <f>IF(OR(7486893.14515="",13928.16964="",14230.58086=""),"-",(13928.16964-14230.58086)/7486893.14515*100)</f>
        <v>-4.0392084425019681E-3</v>
      </c>
    </row>
    <row r="29" spans="1:8" s="2" customFormat="1" x14ac:dyDescent="0.25">
      <c r="A29" s="47" t="s">
        <v>47</v>
      </c>
      <c r="B29" s="50">
        <v>7425.0683600000002</v>
      </c>
      <c r="C29" s="22">
        <v>6813.7727800000002</v>
      </c>
      <c r="D29" s="68">
        <f>IF(OR(7425.06836="",6813.77278=""),"-",6813.77278/7425.06836*100)</f>
        <v>91.767138693387068</v>
      </c>
      <c r="E29" s="22">
        <f>IF(7425.06836="","-",7425.06836/7486893.14515*100)</f>
        <v>9.917422642541586E-2</v>
      </c>
      <c r="F29" s="22">
        <f>IF(6813.77278="","-",6813.77278/7126566.5717*100)</f>
        <v>9.5610876730708977E-2</v>
      </c>
      <c r="G29" s="22">
        <f>IF(OR(5721069.63319="",6255.27513="",7425.06836=""),"-",(7425.06836-6255.27513)/5721069.63319*100)</f>
        <v>2.0447107009738272E-2</v>
      </c>
      <c r="H29" s="22">
        <f>IF(OR(7486893.14515="",6813.77278="",7425.06836=""),"-",(6813.77278-7425.06836)/7486893.14515*100)</f>
        <v>-8.1648765135107666E-3</v>
      </c>
    </row>
    <row r="30" spans="1:8" s="2" customFormat="1" x14ac:dyDescent="0.25">
      <c r="A30" s="47" t="s">
        <v>263</v>
      </c>
      <c r="B30" s="50">
        <v>8751.8732999999993</v>
      </c>
      <c r="C30" s="22">
        <v>5697.3402400000004</v>
      </c>
      <c r="D30" s="68">
        <f>IF(OR(8751.8733="",5697.34024=""),"-",5697.34024/8751.8733*100)</f>
        <v>65.098522849959465</v>
      </c>
      <c r="E30" s="22">
        <f>IF(8751.8733="","-",8751.8733/7486893.14515*100)</f>
        <v>0.11689592906330515</v>
      </c>
      <c r="F30" s="22">
        <f>IF(5697.34024="","-",5697.34024/7126566.5717*100)</f>
        <v>7.9945092530594772E-2</v>
      </c>
      <c r="G30" s="22">
        <f>IF(OR(5721069.63319="",6711.08327="",8751.8733=""),"-",(8751.8733-6711.08327)/5721069.63319*100)</f>
        <v>3.5671476853919692E-2</v>
      </c>
      <c r="H30" s="22">
        <f>IF(OR(7486893.14515="",5697.34024="",8751.8733=""),"-",(5697.34024-8751.8733)/7486893.14515*100)</f>
        <v>-4.0798405971357039E-2</v>
      </c>
    </row>
    <row r="31" spans="1:8" s="2" customFormat="1" x14ac:dyDescent="0.25">
      <c r="A31" s="47" t="s">
        <v>40</v>
      </c>
      <c r="B31" s="50">
        <v>4601.5370599999997</v>
      </c>
      <c r="C31" s="22">
        <v>5386.0117099999998</v>
      </c>
      <c r="D31" s="68">
        <f>IF(OR(4601.53706="",5386.01171=""),"-",5386.01171/4601.53706*100)</f>
        <v>117.04810022762264</v>
      </c>
      <c r="E31" s="22">
        <f>IF(4601.53706="","-",4601.53706/7486893.14515*100)</f>
        <v>6.146123593310357E-2</v>
      </c>
      <c r="F31" s="22">
        <f>IF(5386.01171="","-",5386.01171/7126566.5717*100)</f>
        <v>7.5576529817151461E-2</v>
      </c>
      <c r="G31" s="22">
        <f>IF(OR(5721069.63319="",4786.12016="",4601.53706=""),"-",(4601.53706-4786.12016)/5721069.63319*100)</f>
        <v>-3.2263739446408276E-3</v>
      </c>
      <c r="H31" s="22">
        <f>IF(OR(7486893.14515="",5386.01171="",4601.53706=""),"-",(5386.01171-4601.53706)/7486893.14515*100)</f>
        <v>1.0477973103011117E-2</v>
      </c>
    </row>
    <row r="32" spans="1:8" s="2" customFormat="1" x14ac:dyDescent="0.25">
      <c r="A32" s="47" t="s">
        <v>48</v>
      </c>
      <c r="B32" s="50">
        <v>2513.8870400000001</v>
      </c>
      <c r="C32" s="22">
        <v>1726.83322</v>
      </c>
      <c r="D32" s="68">
        <f>IF(OR(2513.88704="",1726.83322=""),"-",1726.83322/2513.88704*100)</f>
        <v>68.691758719596237</v>
      </c>
      <c r="E32" s="22">
        <f>IF(2513.88704="","-",2513.88704/7486893.14515*100)</f>
        <v>3.3577172683818692E-2</v>
      </c>
      <c r="F32" s="22">
        <f>IF(1726.83322="","-",1726.83322/7126566.5717*100)</f>
        <v>2.4230928072114737E-2</v>
      </c>
      <c r="G32" s="22">
        <f>IF(OR(5721069.63319="",2110.05397="",2513.88704=""),"-",(2513.88704-2110.05397)/5721069.63319*100)</f>
        <v>7.0586987380334967E-3</v>
      </c>
      <c r="H32" s="22">
        <f>IF(OR(7486893.14515="",1726.83322="",2513.88704=""),"-",(1726.83322-2513.88704)/7486893.14515*100)</f>
        <v>-1.0512422238987778E-2</v>
      </c>
    </row>
    <row r="33" spans="1:8" s="2" customFormat="1" x14ac:dyDescent="0.25">
      <c r="A33" s="47" t="s">
        <v>41</v>
      </c>
      <c r="B33" s="50">
        <v>608.48257000000001</v>
      </c>
      <c r="C33" s="22">
        <v>789.00230999999997</v>
      </c>
      <c r="D33" s="68">
        <f>IF(OR(608.48257="",789.00231=""),"-",789.00231/608.48257*100)</f>
        <v>129.66719983449977</v>
      </c>
      <c r="E33" s="22">
        <f>IF(608.48257="","-",608.48257/7486893.14515*100)</f>
        <v>8.1273040526052415E-3</v>
      </c>
      <c r="F33" s="22">
        <f>IF(789.00231="","-",789.00231/7126566.5717*100)</f>
        <v>1.1071282391904859E-2</v>
      </c>
      <c r="G33" s="22">
        <f>IF(OR(5721069.63319="",863.30904="",608.48257=""),"-",(608.48257-863.30904)/5721069.63319*100)</f>
        <v>-4.4541752913067022E-3</v>
      </c>
      <c r="H33" s="22">
        <f>IF(OR(7486893.14515="",789.00231="",608.48257=""),"-",(789.00231-608.48257)/7486893.14515*100)</f>
        <v>2.4111435344437953E-3</v>
      </c>
    </row>
    <row r="34" spans="1:8" s="2" customFormat="1" x14ac:dyDescent="0.25">
      <c r="A34" s="47" t="s">
        <v>49</v>
      </c>
      <c r="B34" s="50">
        <v>44.935589999999998</v>
      </c>
      <c r="C34" s="22">
        <v>49.859780000000001</v>
      </c>
      <c r="D34" s="68">
        <f>IF(OR(44.93559="",49.85978=""),"-",49.85978/44.93559*100)</f>
        <v>110.95832946668777</v>
      </c>
      <c r="E34" s="22">
        <f>IF(44.93559="","-",44.93559/7486893.14515*100)</f>
        <v>6.0019008056912387E-4</v>
      </c>
      <c r="F34" s="22">
        <f>IF(49.85978="","-",49.85978/7126566.5717*100)</f>
        <v>6.9963255795569234E-4</v>
      </c>
      <c r="G34" s="22">
        <f>IF(OR(5721069.63319="",80.7223="",44.93559=""),"-",(44.93559-80.7223)/5721069.63319*100)</f>
        <v>-6.2552481082188405E-4</v>
      </c>
      <c r="H34" s="22">
        <f>IF(OR(7486893.14515="",49.85978="",44.93559=""),"-",(49.85978-44.93559)/7486893.14515*100)</f>
        <v>6.5770806455143363E-5</v>
      </c>
    </row>
    <row r="35" spans="1:8" s="2" customFormat="1" ht="26.25" customHeight="1" x14ac:dyDescent="0.25">
      <c r="A35" s="47" t="s">
        <v>410</v>
      </c>
      <c r="B35" s="50">
        <v>124.45140000000001</v>
      </c>
      <c r="C35" s="22">
        <v>40.640819999999998</v>
      </c>
      <c r="D35" s="68">
        <f>IF(OR(124.4514="",40.64082=""),"-",40.64082/124.4514*100)</f>
        <v>32.655976549882119</v>
      </c>
      <c r="E35" s="22">
        <f>IF(124.4514="","-",124.4514/7486893.14515*100)</f>
        <v>1.6622569280372254E-3</v>
      </c>
      <c r="F35" s="22">
        <f>IF(40.64082="","-",40.64082/7126566.5717*100)</f>
        <v>5.7027208812427288E-4</v>
      </c>
      <c r="G35" s="22">
        <f>IF(OR(5721069.63319="",42.84089="",124.4514=""),"-",(124.4514-42.84089)/5721069.63319*100)</f>
        <v>1.4264904158227305E-3</v>
      </c>
      <c r="H35" s="22">
        <f>IF(OR(7486893.14515="",40.64082="",124.4514=""),"-",(40.64082-124.4514)/7486893.14515*100)</f>
        <v>-1.1194306954185984E-3</v>
      </c>
    </row>
    <row r="36" spans="1:8" s="2" customFormat="1" ht="13.5" customHeight="1" x14ac:dyDescent="0.25">
      <c r="A36" s="46" t="s">
        <v>176</v>
      </c>
      <c r="B36" s="51">
        <v>1865703.15126</v>
      </c>
      <c r="C36" s="21">
        <v>1275335.7569500001</v>
      </c>
      <c r="D36" s="67">
        <f>IF(1865703.15126="","-",1275335.75695/1865703.15126*100)</f>
        <v>68.356842088662589</v>
      </c>
      <c r="E36" s="21">
        <f>IF(1865703.15126="","-",1865703.15126/7486893.14515*100)</f>
        <v>24.919591011775026</v>
      </c>
      <c r="F36" s="21">
        <f>IF(1275335.75695="","-",1275335.75695/7126566.5717*100)</f>
        <v>17.895514538718135</v>
      </c>
      <c r="G36" s="21">
        <f>IF(5721069.63319="","-",(1865703.15126-1436177.27118)/5721069.63319*100)</f>
        <v>7.507789759945668</v>
      </c>
      <c r="H36" s="21">
        <f>IF(7486893.14515="","-",(1275335.75695-1865703.15126)/7486893.14515*100)</f>
        <v>-7.8853455347154124</v>
      </c>
    </row>
    <row r="37" spans="1:8" s="2" customFormat="1" x14ac:dyDescent="0.25">
      <c r="A37" s="47" t="s">
        <v>8</v>
      </c>
      <c r="B37" s="50">
        <v>727535.05888000003</v>
      </c>
      <c r="C37" s="22">
        <v>819983.32519999996</v>
      </c>
      <c r="D37" s="68">
        <f>IF(OR(727535.05888="",819983.3252=""),"-",819983.3252/727535.05888*100)</f>
        <v>112.70705310920945</v>
      </c>
      <c r="E37" s="22">
        <f>IF(727535.05888="","-",727535.05888/7486893.14515*100)</f>
        <v>9.7174494783767056</v>
      </c>
      <c r="F37" s="22">
        <f>IF(819983.3252="","-",819983.3252/7126566.5717*100)</f>
        <v>11.50600807485894</v>
      </c>
      <c r="G37" s="22">
        <f>IF(OR(5721069.63319="",539946.24131="",727535.05888=""),"-",(727535.05888-539946.24131)/5721069.63319*100)</f>
        <v>3.2789116301212151</v>
      </c>
      <c r="H37" s="22">
        <f>IF(OR(7486893.14515="",819983.3252="",727535.05888=""),"-",(819983.3252-727535.05888)/7486893.14515*100)</f>
        <v>1.2348014660779258</v>
      </c>
    </row>
    <row r="38" spans="1:8" s="2" customFormat="1" x14ac:dyDescent="0.25">
      <c r="A38" s="47" t="s">
        <v>264</v>
      </c>
      <c r="B38" s="50">
        <v>991961.59432999999</v>
      </c>
      <c r="C38" s="22">
        <v>277928.28995000001</v>
      </c>
      <c r="D38" s="68">
        <f>IF(OR(991961.59433="",277928.28995=""),"-",277928.28995/991961.59433*100)</f>
        <v>28.018049442500942</v>
      </c>
      <c r="E38" s="22">
        <f>IF(991961.59433="","-",991961.59433/7486893.14515*100)</f>
        <v>13.24930882675401</v>
      </c>
      <c r="F38" s="22">
        <f>IF(277928.28995="","-",277928.28995/7126566.5717*100)</f>
        <v>3.8998904613291483</v>
      </c>
      <c r="G38" s="22">
        <f>IF(OR(5721069.63319="",752561.75961="",991961.59433=""),"-",(991961.59433-752561.75961)/5721069.63319*100)</f>
        <v>4.1845292938081844</v>
      </c>
      <c r="H38" s="22">
        <f>IF(OR(7486893.14515="",277928.28995="",991961.59433=""),"-",(277928.28995-991961.59433)/7486893.14515*100)</f>
        <v>-9.5371109288844309</v>
      </c>
    </row>
    <row r="39" spans="1:8" s="2" customFormat="1" x14ac:dyDescent="0.25">
      <c r="A39" s="47" t="s">
        <v>7</v>
      </c>
      <c r="B39" s="50">
        <v>81923.795580000005</v>
      </c>
      <c r="C39" s="22">
        <v>71846.184899999993</v>
      </c>
      <c r="D39" s="68">
        <f>IF(OR(81923.79558="",71846.1849=""),"-",71846.1849/81923.79558*100)</f>
        <v>87.698799099024839</v>
      </c>
      <c r="E39" s="22">
        <f>IF(81923.79558="","-",81923.79558/7486893.14515*100)</f>
        <v>1.0942295287474502</v>
      </c>
      <c r="F39" s="22">
        <f>IF(71846.1849="","-",71846.1849/7126566.5717*100)</f>
        <v>1.0081458466311852</v>
      </c>
      <c r="G39" s="22">
        <f>IF(OR(5721069.63319="",112028.03215="",81923.79558=""),"-",(81923.79558-112028.03215)/5721069.63319*100)</f>
        <v>-0.52619944346341108</v>
      </c>
      <c r="H39" s="22">
        <f>IF(OR(7486893.14515="",71846.1849="",81923.79558=""),"-",(71846.1849-81923.79558)/7486893.14515*100)</f>
        <v>-0.13460337264901764</v>
      </c>
    </row>
    <row r="40" spans="1:8" s="2" customFormat="1" x14ac:dyDescent="0.25">
      <c r="A40" s="47" t="s">
        <v>9</v>
      </c>
      <c r="B40" s="50">
        <v>17946.714629999999</v>
      </c>
      <c r="C40" s="22">
        <v>52178.617359999997</v>
      </c>
      <c r="D40" s="68" t="s">
        <v>341</v>
      </c>
      <c r="E40" s="22">
        <f>IF(17946.71463="","-",17946.71463/7486893.14515*100)</f>
        <v>0.23970843822748905</v>
      </c>
      <c r="F40" s="22">
        <f>IF(52178.61736="","-",52178.61736/7126566.5717*100)</f>
        <v>0.73217048960440845</v>
      </c>
      <c r="G40" s="22">
        <f>IF(OR(5721069.63319="",12925.52827="",17946.71463=""),"-",(17946.71463-12925.52827)/5721069.63319*100)</f>
        <v>8.7766566078312958E-2</v>
      </c>
      <c r="H40" s="22">
        <f>IF(OR(7486893.14515="",52178.61736="",17946.71463=""),"-",(52178.61736-17946.71463)/7486893.14515*100)</f>
        <v>0.45722440625689159</v>
      </c>
    </row>
    <row r="41" spans="1:8" s="2" customFormat="1" x14ac:dyDescent="0.25">
      <c r="A41" s="47" t="s">
        <v>10</v>
      </c>
      <c r="B41" s="50">
        <v>10277.952950000001</v>
      </c>
      <c r="C41" s="22">
        <v>21266.664919999999</v>
      </c>
      <c r="D41" s="68" t="s">
        <v>339</v>
      </c>
      <c r="E41" s="22">
        <f>IF(10277.95295="","-",10277.95295/7486893.14515*100)</f>
        <v>0.13727927927832181</v>
      </c>
      <c r="F41" s="22">
        <f>IF(21266.66492="","-",21266.66492/7126566.5717*100)</f>
        <v>0.29841389547178487</v>
      </c>
      <c r="G41" s="22">
        <f>IF(OR(5721069.63319="",1289.05281="",10277.95295=""),"-",(10277.95295-1289.05281)/5721069.63319*100)</f>
        <v>0.15711922273856152</v>
      </c>
      <c r="H41" s="22">
        <f>IF(OR(7486893.14515="",21266.66492="",10277.95295=""),"-",(21266.66492-10277.95295)/7486893.14515*100)</f>
        <v>0.14677265665422876</v>
      </c>
    </row>
    <row r="42" spans="1:8" s="2" customFormat="1" x14ac:dyDescent="0.25">
      <c r="A42" s="47" t="s">
        <v>12</v>
      </c>
      <c r="B42" s="50">
        <v>13165.354289999999</v>
      </c>
      <c r="C42" s="22">
        <v>14897.16648</v>
      </c>
      <c r="D42" s="68">
        <f>IF(OR(13165.35429="",14897.16648=""),"-",14897.16648/13165.35429*100)</f>
        <v>113.15431512021999</v>
      </c>
      <c r="E42" s="22">
        <f>IF(13165.35429="","-",13165.35429/7486893.14515*100)</f>
        <v>0.17584536114995175</v>
      </c>
      <c r="F42" s="22">
        <f>IF(14897.16648="","-",14897.16648/7126566.5717*100)</f>
        <v>0.2090370773937269</v>
      </c>
      <c r="G42" s="22">
        <f>IF(OR(5721069.63319="",6510.37386="",13165.35429=""),"-",(13165.35429-6510.37386)/5721069.63319*100)</f>
        <v>0.11632405925269716</v>
      </c>
      <c r="H42" s="22">
        <f>IF(OR(7486893.14515="",14897.16648="",13165.35429=""),"-",(14897.16648-13165.35429)/7486893.14515*100)</f>
        <v>2.3131252929953546E-2</v>
      </c>
    </row>
    <row r="43" spans="1:8" s="2" customFormat="1" x14ac:dyDescent="0.25">
      <c r="A43" s="47" t="s">
        <v>11</v>
      </c>
      <c r="B43" s="50">
        <v>16214.95147</v>
      </c>
      <c r="C43" s="22">
        <v>10005.296</v>
      </c>
      <c r="D43" s="68">
        <f>IF(OR(16214.95147="",10005.296=""),"-",10005.296/16214.95147*100)</f>
        <v>61.704137804613488</v>
      </c>
      <c r="E43" s="22">
        <f>IF(16214.95147="","-",16214.95147/7486893.14515*100)</f>
        <v>0.21657784017532059</v>
      </c>
      <c r="F43" s="22">
        <f>IF(10005.296="","-",10005.296/7126566.5717*100)</f>
        <v>0.14039433855472</v>
      </c>
      <c r="G43" s="22">
        <f>IF(OR(5721069.63319="",9770.01193="",16214.95147=""),"-",(16214.95147-9770.01193)/5721069.63319*100)</f>
        <v>0.11265270226061518</v>
      </c>
      <c r="H43" s="22">
        <f>IF(OR(7486893.14515="",10005.296="",16214.95147=""),"-",(10005.296-16214.95147)/7486893.14515*100)</f>
        <v>-8.2940351219285224E-2</v>
      </c>
    </row>
    <row r="44" spans="1:8" s="2" customFormat="1" x14ac:dyDescent="0.25">
      <c r="A44" s="47" t="s">
        <v>266</v>
      </c>
      <c r="B44" s="50">
        <v>4978.84458</v>
      </c>
      <c r="C44" s="22">
        <v>3906.3022599999999</v>
      </c>
      <c r="D44" s="68">
        <f>IF(OR(4978.84458="",3906.30226=""),"-",3906.30226/4978.84458*100)</f>
        <v>78.45800762071589</v>
      </c>
      <c r="E44" s="22">
        <f>IF(4978.84458="","-",4978.84458/7486893.14515*100)</f>
        <v>6.6500809928418558E-2</v>
      </c>
      <c r="F44" s="22">
        <f>IF(3906.30226="","-",3906.30226/7126566.5717*100)</f>
        <v>5.4813243105202261E-2</v>
      </c>
      <c r="G44" s="22">
        <f>IF(OR(5721069.63319="",358.93963="",4978.84458=""),"-",(4978.84458-358.93963)/5721069.63319*100)</f>
        <v>8.0752468440486294E-2</v>
      </c>
      <c r="H44" s="22">
        <f>IF(OR(7486893.14515="",3906.30226="",4978.84458=""),"-",(3906.30226-4978.84458)/7486893.14515*100)</f>
        <v>-1.4325599406942138E-2</v>
      </c>
    </row>
    <row r="45" spans="1:8" s="2" customFormat="1" x14ac:dyDescent="0.25">
      <c r="A45" s="47" t="s">
        <v>13</v>
      </c>
      <c r="B45" s="50">
        <v>1697.2718</v>
      </c>
      <c r="C45" s="22">
        <v>3323.5299300000001</v>
      </c>
      <c r="D45" s="68" t="s">
        <v>348</v>
      </c>
      <c r="E45" s="22">
        <f>IF(1697.2718="","-",1697.2718/7486893.14515*100)</f>
        <v>2.2669908159427793E-2</v>
      </c>
      <c r="F45" s="22">
        <f>IF(3323.52993="","-",3323.52993/7126566.5717*100)</f>
        <v>4.663578030966449E-2</v>
      </c>
      <c r="G45" s="22">
        <f>IF(OR(5721069.63319="",772.44579="",1697.2718=""),"-",(1697.2718-772.44579)/5721069.63319*100)</f>
        <v>1.6165264002989035E-2</v>
      </c>
      <c r="H45" s="22">
        <f>IF(OR(7486893.14515="",3323.52993="",1697.2718=""),"-",(3323.52993-1697.2718)/7486893.14515*100)</f>
        <v>2.1721401634448169E-2</v>
      </c>
    </row>
    <row r="46" spans="1:8" s="2" customFormat="1" x14ac:dyDescent="0.25">
      <c r="A46" s="47" t="s">
        <v>14</v>
      </c>
      <c r="B46" s="50">
        <v>1.6127499999999999</v>
      </c>
      <c r="C46" s="22">
        <v>0.37995000000000001</v>
      </c>
      <c r="D46" s="68">
        <f>IF(OR(1.61275="",0.37995=""),"-",0.37995/1.61275*100)</f>
        <v>23.559138118121222</v>
      </c>
      <c r="E46" s="22">
        <f>IF(1.61275="","-",1.61275/7486893.14515*100)</f>
        <v>2.1540977929473153E-5</v>
      </c>
      <c r="F46" s="22">
        <f>IF(0.37995="","-",0.37995/7126566.5717*100)</f>
        <v>5.3314593525134947E-6</v>
      </c>
      <c r="G46" s="22">
        <f>IF(OR(5721069.63319="",14.88582="",1.61275=""),"-",(1.61275-14.88582)/5721069.63319*100)</f>
        <v>-2.3200329398191739E-4</v>
      </c>
      <c r="H46" s="22">
        <f>IF(OR(7486893.14515="",0.37995="",1.61275=""),"-",(0.37995-1.61275)/7486893.14515*100)</f>
        <v>-1.6466109187074564E-5</v>
      </c>
    </row>
    <row r="47" spans="1:8" s="2" customFormat="1" x14ac:dyDescent="0.25">
      <c r="A47" s="46" t="s">
        <v>113</v>
      </c>
      <c r="B47" s="51">
        <v>2158176.52672</v>
      </c>
      <c r="C47" s="21">
        <v>2390610.9040700002</v>
      </c>
      <c r="D47" s="67">
        <f>IF(2158176.52672="","-",2390610.90407/2158176.52672*100)</f>
        <v>110.76994279533076</v>
      </c>
      <c r="E47" s="21">
        <f>IF(2158176.52672="","-",2158176.52672/7486893.14515*100)</f>
        <v>28.826062892563975</v>
      </c>
      <c r="F47" s="21">
        <f>IF(2390610.90407="","-",2390610.90407/7126566.5717*100)</f>
        <v>33.545058199038671</v>
      </c>
      <c r="G47" s="21">
        <f>IF(5721069.63319="","-",(2158176.52672-1696174.79007)/5721069.63319*100)</f>
        <v>8.0754433396468421</v>
      </c>
      <c r="H47" s="21">
        <f>IF(7486893.14515="","-",(2390610.90407-2158176.52672)/7486893.14515*100)</f>
        <v>3.1045504836752063</v>
      </c>
    </row>
    <row r="48" spans="1:8" s="2" customFormat="1" x14ac:dyDescent="0.25">
      <c r="A48" s="54" t="s">
        <v>53</v>
      </c>
      <c r="B48" s="50">
        <v>764840.74702999997</v>
      </c>
      <c r="C48" s="22">
        <v>828287.99057999998</v>
      </c>
      <c r="D48" s="68">
        <f>IF(OR(764840.74703="",828287.99058=""),"-",828287.99058/764840.74703*100)</f>
        <v>108.29548422941325</v>
      </c>
      <c r="E48" s="22">
        <f>IF(764840.74703="","-",764840.74703/7486893.14515*100)</f>
        <v>10.215729438124315</v>
      </c>
      <c r="F48" s="22">
        <f>IF(828287.99058="","-",828287.99058/7126566.5717*100)</f>
        <v>11.622539160290433</v>
      </c>
      <c r="G48" s="22">
        <f>IF(OR(5721069.63319="",664924.43339="",764840.74703=""),"-",(764840.74703-664924.43339)/5721069.63319*100)</f>
        <v>1.7464621136640108</v>
      </c>
      <c r="H48" s="22">
        <f>IF(OR(7486893.14515="",828287.99058="",764840.74703=""),"-",(828287.99058-764840.74703)/7486893.14515*100)</f>
        <v>0.84744422445912759</v>
      </c>
    </row>
    <row r="49" spans="1:8" s="2" customFormat="1" x14ac:dyDescent="0.25">
      <c r="A49" s="73" t="s">
        <v>50</v>
      </c>
      <c r="B49" s="52">
        <v>529324.49453000003</v>
      </c>
      <c r="C49" s="52">
        <v>627933.58424</v>
      </c>
      <c r="D49" s="68">
        <f>IF(OR(529324.49453="",627933.58424=""),"-",627933.58424/529324.49453*100)</f>
        <v>118.62923230060558</v>
      </c>
      <c r="E49" s="22">
        <f>IF(529324.49453="","-",529324.49453/7486893.14515*100)</f>
        <v>7.0700153490623237</v>
      </c>
      <c r="F49" s="22">
        <f>IF(627933.58424="","-",627933.58424/7126566.5717*100)</f>
        <v>8.8111656282502135</v>
      </c>
      <c r="G49" s="22">
        <f>IF(OR(5721069.63319="",428342.4325="",529324.49453=""),"-",(529324.49453-428342.4325)/5721069.63319*100)</f>
        <v>1.7650905950203168</v>
      </c>
      <c r="H49" s="22">
        <f>IF(OR(7486893.14515="",627933.58424="",529324.49453=""),"-",(627933.58424-529324.49453)/7486893.14515*100)</f>
        <v>1.3170895830652907</v>
      </c>
    </row>
    <row r="50" spans="1:8" s="2" customFormat="1" x14ac:dyDescent="0.25">
      <c r="A50" s="54" t="s">
        <v>63</v>
      </c>
      <c r="B50" s="50">
        <v>213683.46622</v>
      </c>
      <c r="C50" s="52">
        <v>183262.26592000001</v>
      </c>
      <c r="D50" s="68">
        <f>IF(OR(213683.46622="",183262.26592=""),"-",183262.26592/213683.46622*100)</f>
        <v>85.763428103192823</v>
      </c>
      <c r="E50" s="22">
        <f>IF(213683.46622="","-",213683.46622/7486893.14515*100)</f>
        <v>2.8541006539999021</v>
      </c>
      <c r="F50" s="22">
        <f>IF(183262.26592="","-",183262.26592/7126566.5717*100)</f>
        <v>2.5715365748177366</v>
      </c>
      <c r="G50" s="22">
        <f>IF(OR(5721069.63319="",36673.67741="",213683.46622=""),"-",(213683.46622-36673.67741)/5721069.63319*100)</f>
        <v>3.0939981534764409</v>
      </c>
      <c r="H50" s="22">
        <f>IF(OR(7486893.14515="",183262.26592="",213683.46622=""),"-",(183262.26592-213683.46622)/7486893.14515*100)</f>
        <v>-0.40632609161394023</v>
      </c>
    </row>
    <row r="51" spans="1:8" s="2" customFormat="1" x14ac:dyDescent="0.25">
      <c r="A51" s="54" t="s">
        <v>15</v>
      </c>
      <c r="B51" s="50">
        <v>113361.44968999999</v>
      </c>
      <c r="C51" s="52">
        <v>98085.585449999999</v>
      </c>
      <c r="D51" s="68">
        <f>IF(OR(113361.44969="",98085.58545=""),"-",98085.58545/113361.44969*100)</f>
        <v>86.524639300420375</v>
      </c>
      <c r="E51" s="22">
        <f>IF(113361.44969="","-",113361.44969/7486893.14515*100)</f>
        <v>1.5141320637577871</v>
      </c>
      <c r="F51" s="22">
        <f>IF(98085.58545="","-",98085.58545/7126566.5717*100)</f>
        <v>1.3763371809295015</v>
      </c>
      <c r="G51" s="22">
        <f>IF(OR(5721069.63319="",86270.2289="",113361.44969=""),"-",(113361.44969-86270.2289)/5721069.63319*100)</f>
        <v>0.47353419075401548</v>
      </c>
      <c r="H51" s="22">
        <f>IF(OR(7486893.14515="",98085.58545="",113361.44969=""),"-",(98085.58545-113361.44969)/7486893.14515*100)</f>
        <v>-0.20403475705935087</v>
      </c>
    </row>
    <row r="52" spans="1:8" s="2" customFormat="1" x14ac:dyDescent="0.25">
      <c r="A52" s="54" t="s">
        <v>69</v>
      </c>
      <c r="B52" s="50">
        <v>57717.961840000004</v>
      </c>
      <c r="C52" s="52">
        <v>81493.504310000004</v>
      </c>
      <c r="D52" s="68">
        <f>IF(OR(57717.96184="",81493.50431=""),"-",81493.50431/57717.96184*100)</f>
        <v>141.19262307963714</v>
      </c>
      <c r="E52" s="22">
        <f>IF(57717.96184="","-",57717.96184/7486893.14515*100)</f>
        <v>0.77092006952696568</v>
      </c>
      <c r="F52" s="22">
        <f>IF(81493.50431="","-",81493.50431/7126566.5717*100)</f>
        <v>1.1435170567775979</v>
      </c>
      <c r="G52" s="22">
        <f>IF(OR(5721069.63319="",54142.80719="",57717.96184=""),"-",(57717.96184-54142.80719)/5721069.63319*100)</f>
        <v>6.2491017925375966E-2</v>
      </c>
      <c r="H52" s="22">
        <f>IF(OR(7486893.14515="",81493.50431="",57717.96184=""),"-",(81493.50431-57717.96184)/7486893.14515*100)</f>
        <v>0.31756219848551953</v>
      </c>
    </row>
    <row r="53" spans="1:8" s="2" customFormat="1" ht="14.25" customHeight="1" x14ac:dyDescent="0.25">
      <c r="A53" s="54" t="s">
        <v>318</v>
      </c>
      <c r="B53" s="50">
        <v>57848.051140000003</v>
      </c>
      <c r="C53" s="52">
        <v>63074.956579999998</v>
      </c>
      <c r="D53" s="68">
        <f>IF(OR(57848.05114="",63074.95658=""),"-",63074.95658/57848.05114*100)</f>
        <v>109.03557740839045</v>
      </c>
      <c r="E53" s="22">
        <f>IF(57848.05114="","-",57848.05114/7486893.14515*100)</f>
        <v>0.77265763005411525</v>
      </c>
      <c r="F53" s="22">
        <f>IF(63074.95658="","-",63074.95658/7126566.5717*100)</f>
        <v>0.88506794885596429</v>
      </c>
      <c r="G53" s="22">
        <f>IF(OR(5721069.63319="",52159.99976="",57848.05114=""),"-",(57848.05114-52159.99976)/5721069.63319*100)</f>
        <v>9.9422865734784191E-2</v>
      </c>
      <c r="H53" s="22">
        <f>IF(OR(7486893.14515="",63074.95658="",57848.05114=""),"-",(63074.95658-57848.05114)/7486893.14515*100)</f>
        <v>6.9814078265374696E-2</v>
      </c>
    </row>
    <row r="54" spans="1:8" s="2" customFormat="1" x14ac:dyDescent="0.25">
      <c r="A54" s="54" t="s">
        <v>30</v>
      </c>
      <c r="B54" s="50">
        <v>52813.855819999997</v>
      </c>
      <c r="C54" s="22">
        <v>53521.919249999999</v>
      </c>
      <c r="D54" s="68">
        <f>IF(OR(52813.85582="",53521.91925=""),"-",53521.91925/52813.85582*100)</f>
        <v>101.34067740180383</v>
      </c>
      <c r="E54" s="22">
        <f>IF(52813.85582="","-",52813.85582/7486893.14515*100)</f>
        <v>0.7054175182694139</v>
      </c>
      <c r="F54" s="22">
        <f>IF(53521.91925="","-",53521.91925/7126566.5717*100)</f>
        <v>0.75101970509247151</v>
      </c>
      <c r="G54" s="22">
        <f>IF(OR(5721069.63319="",45307.87967="",52813.85582=""),"-",(52813.85582-45307.87967)/5721069.63319*100)</f>
        <v>0.131198825241614</v>
      </c>
      <c r="H54" s="22">
        <f>IF(OR(7486893.14515="",53521.91925="",52813.85582=""),"-",(53521.91925-52813.85582)/7486893.14515*100)</f>
        <v>9.4573732558035049E-3</v>
      </c>
    </row>
    <row r="55" spans="1:8" s="2" customFormat="1" x14ac:dyDescent="0.25">
      <c r="A55" s="73" t="s">
        <v>65</v>
      </c>
      <c r="B55" s="52">
        <v>33861.989000000001</v>
      </c>
      <c r="C55" s="52">
        <v>47052.249609999999</v>
      </c>
      <c r="D55" s="68">
        <f>IF(OR(33861.989="",47052.24961=""),"-",47052.24961/33861.989*100)</f>
        <v>138.95300010285868</v>
      </c>
      <c r="E55" s="22">
        <f>IF(33861.989="","-",33861.989/7486893.14515*100)</f>
        <v>0.4522835887131067</v>
      </c>
      <c r="F55" s="22">
        <f>IF(47052.24961="","-",47052.24961/7126566.5717*100)</f>
        <v>0.66023728448488994</v>
      </c>
      <c r="G55" s="22">
        <f>IF(OR(5721069.63319="",43192.58796="",33861.989=""),"-",(33861.989-43192.58796)/5721069.63319*100)</f>
        <v>-0.16309186145663751</v>
      </c>
      <c r="H55" s="22">
        <f>IF(OR(7486893.14515="",47052.24961="",33861.989=""),"-",(47052.24961-33861.989)/7486893.14515*100)</f>
        <v>0.17617802677662939</v>
      </c>
    </row>
    <row r="56" spans="1:8" s="2" customFormat="1" x14ac:dyDescent="0.25">
      <c r="A56" s="54" t="s">
        <v>68</v>
      </c>
      <c r="B56" s="50">
        <v>5658.1050400000004</v>
      </c>
      <c r="C56" s="22">
        <v>37059.783620000002</v>
      </c>
      <c r="D56" s="68" t="s">
        <v>379</v>
      </c>
      <c r="E56" s="22">
        <f>IF(5658.10504="","-",5658.10504/7486893.14515*100)</f>
        <v>7.5573471269124684E-2</v>
      </c>
      <c r="F56" s="22">
        <f>IF(37059.78362="","-",37059.78362/7126566.5717*100)</f>
        <v>0.52002297666265418</v>
      </c>
      <c r="G56" s="22">
        <f>IF(OR(5721069.63319="",3889.71662="",5658.10504=""),"-",(5658.10504-3889.71662)/5721069.63319*100)</f>
        <v>3.0910101316385618E-2</v>
      </c>
      <c r="H56" s="22">
        <f>IF(OR(7486893.14515="",37059.78362="",5658.10504=""),"-",(37059.78362-5658.10504)/7486893.14515*100)</f>
        <v>0.41942202154096409</v>
      </c>
    </row>
    <row r="57" spans="1:8" s="2" customFormat="1" x14ac:dyDescent="0.25">
      <c r="A57" s="54" t="s">
        <v>60</v>
      </c>
      <c r="B57" s="50">
        <v>34943.729420000003</v>
      </c>
      <c r="C57" s="52">
        <v>32461.033380000001</v>
      </c>
      <c r="D57" s="68">
        <f>IF(OR(34943.72942="",32461.03338=""),"-",32461.03338/34943.72942*100)</f>
        <v>92.895160072470588</v>
      </c>
      <c r="E57" s="22">
        <f>IF(34943.72942="","-",34943.72942/7486893.14515*100)</f>
        <v>0.46673204415420982</v>
      </c>
      <c r="F57" s="22">
        <f>IF(32461.03338="","-",32461.03338/7126566.5717*100)</f>
        <v>0.45549330176616332</v>
      </c>
      <c r="G57" s="22">
        <f>IF(OR(5721069.63319="",24921.56365="",34943.72942=""),"-",(34943.72942-24921.56365)/5721069.63319*100)</f>
        <v>0.17517992984839378</v>
      </c>
      <c r="H57" s="22">
        <f>IF(OR(7486893.14515="",32461.03338="",34943.72942=""),"-",(32461.03338-34943.72942)/7486893.14515*100)</f>
        <v>-3.3160564627642504E-2</v>
      </c>
    </row>
    <row r="58" spans="1:8" s="2" customFormat="1" x14ac:dyDescent="0.25">
      <c r="A58" s="54" t="s">
        <v>319</v>
      </c>
      <c r="B58" s="50">
        <v>29138.336340000002</v>
      </c>
      <c r="C58" s="22">
        <v>31357.307489999999</v>
      </c>
      <c r="D58" s="68">
        <f>IF(OR(29138.33634="",31357.30749=""),"-",31357.30749/29138.33634*100)</f>
        <v>107.61529801876122</v>
      </c>
      <c r="E58" s="22">
        <f>IF(29138.33634="","-",29138.33634/7486893.14515*100)</f>
        <v>0.38919129437389899</v>
      </c>
      <c r="F58" s="22">
        <f>IF(31357.30749="","-",31357.30749/7126566.5717*100)</f>
        <v>0.44000581731070393</v>
      </c>
      <c r="G58" s="22">
        <f>IF(OR(5721069.63319="",30714.06679="",29138.33634=""),"-",(29138.33634-30714.06679)/5721069.63319*100)</f>
        <v>-2.7542584709310567E-2</v>
      </c>
      <c r="H58" s="22">
        <f>IF(OR(7486893.14515="",31357.30749="",29138.33634=""),"-",(31357.30749-29138.33634)/7486893.14515*100)</f>
        <v>2.9638076929646633E-2</v>
      </c>
    </row>
    <row r="59" spans="1:8" s="2" customFormat="1" x14ac:dyDescent="0.25">
      <c r="A59" s="54" t="s">
        <v>56</v>
      </c>
      <c r="B59" s="50">
        <v>28195.725060000001</v>
      </c>
      <c r="C59" s="52">
        <v>31183.07228</v>
      </c>
      <c r="D59" s="68">
        <f>IF(OR(28195.72506="",31183.07228=""),"-",31183.07228/28195.72506*100)</f>
        <v>110.59503599798543</v>
      </c>
      <c r="E59" s="22">
        <f>IF(28195.72506="","-",28195.72506/7486893.14515*100)</f>
        <v>0.37660114166668929</v>
      </c>
      <c r="F59" s="22">
        <f>IF(31183.07228="","-",31183.07228/7126566.5717*100)</f>
        <v>0.43756094840718596</v>
      </c>
      <c r="G59" s="22">
        <f>IF(OR(5721069.63319="",10134.65832="",28195.72506=""),"-",(28195.72506-10134.65832)/5721069.63319*100)</f>
        <v>0.31569388065513487</v>
      </c>
      <c r="H59" s="22">
        <f>IF(OR(7486893.14515="",31183.07228="",28195.72506=""),"-",(31183.07228-28195.72506)/7486893.14515*100)</f>
        <v>3.9901026528409843E-2</v>
      </c>
    </row>
    <row r="60" spans="1:8" s="2" customFormat="1" x14ac:dyDescent="0.25">
      <c r="A60" s="54" t="s">
        <v>72</v>
      </c>
      <c r="B60" s="50">
        <v>17334.001390000001</v>
      </c>
      <c r="C60" s="22">
        <v>25946.31626</v>
      </c>
      <c r="D60" s="68">
        <f>IF(OR(17334.00139="",25946.31626=""),"-",25946.31626/17334.00139*100)</f>
        <v>149.68451701502948</v>
      </c>
      <c r="E60" s="22">
        <f>IF(17334.00139="","-",17334.00139/7486893.14515*100)</f>
        <v>0.23152462648981367</v>
      </c>
      <c r="F60" s="22">
        <f>IF(25946.31626="","-",25946.31626/7126566.5717*100)</f>
        <v>0.3640787748062902</v>
      </c>
      <c r="G60" s="22">
        <f>IF(OR(5721069.63319="",18144.88906="",17334.00139=""),"-",(17334.00139-18144.88906)/5721069.63319*100)</f>
        <v>-1.4173707400723573E-2</v>
      </c>
      <c r="H60" s="22">
        <f>IF(OR(7486893.14515="",25946.31626="",17334.00139=""),"-",(25946.31626-17334.00139)/7486893.14515*100)</f>
        <v>0.11503189244231493</v>
      </c>
    </row>
    <row r="61" spans="1:8" s="2" customFormat="1" x14ac:dyDescent="0.25">
      <c r="A61" s="73" t="s">
        <v>267</v>
      </c>
      <c r="B61" s="52">
        <v>18855.048900000002</v>
      </c>
      <c r="C61" s="52">
        <v>18919.835650000001</v>
      </c>
      <c r="D61" s="68">
        <f>IF(OR(18855.0489="",18919.83565=""),"-",18919.83565/18855.0489*100)</f>
        <v>100.34360425339443</v>
      </c>
      <c r="E61" s="22">
        <f>IF(18855.0489="","-",18855.0489/7486893.14515*100)</f>
        <v>0.25184076404528727</v>
      </c>
      <c r="F61" s="22">
        <f>IF(18919.83565="","-",18919.83565/7126566.5717*100)</f>
        <v>0.26548318127177456</v>
      </c>
      <c r="G61" s="22">
        <f>IF(OR(5721069.63319="",18885.62642="",18855.0489=""),"-",(18855.0489-18885.62642)/5721069.63319*100)</f>
        <v>-5.3447208232893417E-4</v>
      </c>
      <c r="H61" s="22">
        <f>IF(OR(7486893.14515="",18919.83565="",18855.0489=""),"-",(18919.83565-18855.0489)/7486893.14515*100)</f>
        <v>8.6533557704063224E-4</v>
      </c>
    </row>
    <row r="62" spans="1:8" s="2" customFormat="1" x14ac:dyDescent="0.25">
      <c r="A62" s="54" t="s">
        <v>64</v>
      </c>
      <c r="B62" s="50">
        <v>11908.19816</v>
      </c>
      <c r="C62" s="22">
        <v>15682.11843</v>
      </c>
      <c r="D62" s="68">
        <f>IF(OR(11908.19816="",15682.11843=""),"-",15682.11843/11908.19816*100)</f>
        <v>131.69178257947297</v>
      </c>
      <c r="E62" s="22">
        <f>IF(11908.19816="","-",11908.19816/7486893.14515*100)</f>
        <v>0.15905393504532805</v>
      </c>
      <c r="F62" s="22">
        <f>IF(15682.11843="","-",15682.11843/7126566.5717*100)</f>
        <v>0.22005152512395773</v>
      </c>
      <c r="G62" s="22">
        <f>IF(OR(5721069.63319="",10354.15585="",11908.19816=""),"-",(11908.19816-10354.15585)/5721069.63319*100)</f>
        <v>2.7163492312424192E-2</v>
      </c>
      <c r="H62" s="22">
        <f>IF(OR(7486893.14515="",15682.11843="",11908.19816=""),"-",(15682.11843-11908.19816)/7486893.14515*100)</f>
        <v>5.0407027278661524E-2</v>
      </c>
    </row>
    <row r="63" spans="1:8" s="2" customFormat="1" x14ac:dyDescent="0.25">
      <c r="A63" s="54" t="s">
        <v>71</v>
      </c>
      <c r="B63" s="50">
        <v>12596.09885</v>
      </c>
      <c r="C63" s="52">
        <v>14478.02901</v>
      </c>
      <c r="D63" s="68">
        <f>IF(OR(12596.09885="",14478.02901=""),"-",14478.02901/12596.09885*100)</f>
        <v>114.94057947949497</v>
      </c>
      <c r="E63" s="22">
        <f>IF(12596.09885="","-",12596.09885/7486893.14515*100)</f>
        <v>0.16824200113180107</v>
      </c>
      <c r="F63" s="22">
        <f>IF(14478.02901="","-",14478.02901/7126566.5717*100)</f>
        <v>0.20315573936393264</v>
      </c>
      <c r="G63" s="22">
        <f>IF(OR(5721069.63319="",10757.47319="",12596.09885=""),"-",(12596.09885-10757.47319)/5721069.63319*100)</f>
        <v>3.2137795515255842E-2</v>
      </c>
      <c r="H63" s="22">
        <f>IF(OR(7486893.14515="",14478.02901="",12596.09885=""),"-",(14478.02901-12596.09885)/7486893.14515*100)</f>
        <v>2.5136329896989537E-2</v>
      </c>
    </row>
    <row r="64" spans="1:8" s="2" customFormat="1" x14ac:dyDescent="0.25">
      <c r="A64" s="54" t="s">
        <v>57</v>
      </c>
      <c r="B64" s="50">
        <v>6928.1043499999996</v>
      </c>
      <c r="C64" s="22">
        <v>13031.392970000001</v>
      </c>
      <c r="D64" s="68" t="s">
        <v>334</v>
      </c>
      <c r="E64" s="22">
        <f>IF(6928.10435="","-",6928.10435/7486893.14515*100)</f>
        <v>9.2536439557548866E-2</v>
      </c>
      <c r="F64" s="22">
        <f>IF(13031.39297="","-",13031.39297/7126566.5717*100)</f>
        <v>0.18285653882401662</v>
      </c>
      <c r="G64" s="22">
        <f>IF(OR(5721069.63319="",8133.1599="",6928.10435=""),"-",(6928.10435-8133.1599)/5721069.63319*100)</f>
        <v>-2.1063465877237984E-2</v>
      </c>
      <c r="H64" s="22">
        <f>IF(OR(7486893.14515="",13031.39297="",6928.10435=""),"-",(13031.39297-6928.10435)/7486893.14515*100)</f>
        <v>8.1519643751743726E-2</v>
      </c>
    </row>
    <row r="65" spans="1:8" s="2" customFormat="1" x14ac:dyDescent="0.25">
      <c r="A65" s="54" t="s">
        <v>76</v>
      </c>
      <c r="B65" s="50">
        <v>8942.0508100000006</v>
      </c>
      <c r="C65" s="22">
        <v>11040.29782</v>
      </c>
      <c r="D65" s="68">
        <f>IF(OR(8942.05081="",11040.29782=""),"-",11040.29782/8942.05081*100)</f>
        <v>123.46494170725919</v>
      </c>
      <c r="E65" s="22">
        <f>IF(8942.05081="","-",8942.05081/7486893.14515*100)</f>
        <v>0.11943606829479929</v>
      </c>
      <c r="F65" s="22">
        <f>IF(11040.29782="","-",11040.29782/7126566.5717*100)</f>
        <v>0.15491748668765193</v>
      </c>
      <c r="G65" s="22">
        <f>IF(OR(5721069.63319="",8404.48471="",8942.05081=""),"-",(8942.05081-8404.48471)/5721069.63319*100)</f>
        <v>9.3962516533863533E-3</v>
      </c>
      <c r="H65" s="22">
        <f>IF(OR(7486893.14515="",11040.29782="",8942.05081=""),"-",(11040.29782-8942.05081)/7486893.14515*100)</f>
        <v>2.8025603802816938E-2</v>
      </c>
    </row>
    <row r="66" spans="1:8" s="2" customFormat="1" x14ac:dyDescent="0.25">
      <c r="A66" s="73" t="s">
        <v>75</v>
      </c>
      <c r="B66" s="52">
        <v>12033.387000000001</v>
      </c>
      <c r="C66" s="52">
        <v>10913.952579999999</v>
      </c>
      <c r="D66" s="68">
        <f>IF(OR(12033.387="",10913.95258=""),"-",10913.95258/12033.387*100)</f>
        <v>90.697262375090233</v>
      </c>
      <c r="E66" s="22">
        <f>IF(12033.387="","-",12033.387/7486893.14515*100)</f>
        <v>0.16072604171992508</v>
      </c>
      <c r="F66" s="22">
        <f>IF(10913.95258="","-",10913.95258/7126566.5717*100)</f>
        <v>0.15314460996323143</v>
      </c>
      <c r="G66" s="22">
        <f>IF(OR(5721069.63319="",11430.41859="",12033.387=""),"-",(12033.387-11430.41859)/5721069.63319*100)</f>
        <v>1.0539434907450922E-2</v>
      </c>
      <c r="H66" s="22">
        <f>IF(OR(7486893.14515="",10913.95258="",12033.387=""),"-",(10913.95258-12033.387)/7486893.14515*100)</f>
        <v>-1.495192195610765E-2</v>
      </c>
    </row>
    <row r="67" spans="1:8" s="2" customFormat="1" x14ac:dyDescent="0.25">
      <c r="A67" s="54" t="s">
        <v>67</v>
      </c>
      <c r="B67" s="50">
        <v>14122.14279</v>
      </c>
      <c r="C67" s="52">
        <v>10629.62131</v>
      </c>
      <c r="D67" s="68">
        <f>IF(OR(14122.14279="",10629.62131=""),"-",10629.62131/14122.14279*100)</f>
        <v>75.269181653700031</v>
      </c>
      <c r="E67" s="22">
        <f>IF(14122.14279="","-",14122.14279/7486893.14515*100)</f>
        <v>0.18862487437994629</v>
      </c>
      <c r="F67" s="22">
        <f>IF(10629.62131="","-",10629.62131/7126566.5717*100)</f>
        <v>0.14915487286978879</v>
      </c>
      <c r="G67" s="22">
        <f>IF(OR(5721069.63319="",9660.4022="",14122.14279=""),"-",(14122.14279-9660.4022)/5721069.63319*100)</f>
        <v>7.7987874227501516E-2</v>
      </c>
      <c r="H67" s="22">
        <f>IF(OR(7486893.14515="",10629.62131="",14122.14279=""),"-",(10629.62131-14122.14279)/7486893.14515*100)</f>
        <v>-4.664847503884105E-2</v>
      </c>
    </row>
    <row r="68" spans="1:8" s="2" customFormat="1" x14ac:dyDescent="0.25">
      <c r="A68" s="54" t="s">
        <v>59</v>
      </c>
      <c r="B68" s="50">
        <v>8896.2921499999993</v>
      </c>
      <c r="C68" s="52">
        <v>10028.07936</v>
      </c>
      <c r="D68" s="68">
        <f>IF(OR(8896.29215="",10028.07936=""),"-",10028.07936/8896.29215*100)</f>
        <v>112.72201037147821</v>
      </c>
      <c r="E68" s="22">
        <f>IF(8896.29215="","-",8896.29215/7486893.14515*100)</f>
        <v>0.11882488473557294</v>
      </c>
      <c r="F68" s="22">
        <f>IF(10028.07936="","-",10028.07936/7126566.5717*100)</f>
        <v>0.14071403471935662</v>
      </c>
      <c r="G68" s="22">
        <f>IF(OR(5721069.63319="",6927.8696="",8896.29215=""),"-",(8896.29215-6927.8696)/5721069.63319*100)</f>
        <v>3.4406547659907263E-2</v>
      </c>
      <c r="H68" s="22">
        <f>IF(OR(7486893.14515="",10028.07936="",8896.29215=""),"-",(10028.07936-8896.29215)/7486893.14515*100)</f>
        <v>1.5116914159956599E-2</v>
      </c>
    </row>
    <row r="69" spans="1:8" s="2" customFormat="1" x14ac:dyDescent="0.25">
      <c r="A69" s="54" t="s">
        <v>77</v>
      </c>
      <c r="B69" s="50">
        <v>9129.8604599999999</v>
      </c>
      <c r="C69" s="52">
        <v>9852.8345100000006</v>
      </c>
      <c r="D69" s="68">
        <f>IF(OR(9129.86046="",9852.83451=""),"-",9852.83451/9129.86046*100)</f>
        <v>107.91878532172004</v>
      </c>
      <c r="E69" s="22">
        <f>IF(9129.86046="","-",9129.86046/7486893.14515*100)</f>
        <v>0.12194458078935336</v>
      </c>
      <c r="F69" s="22">
        <f>IF(9852.83451="","-",9852.83451/7126566.5717*100)</f>
        <v>0.13825499854482753</v>
      </c>
      <c r="G69" s="22">
        <f>IF(OR(5721069.63319="",6430.59272="",9129.86046=""),"-",(9129.86046-6430.59272)/5721069.63319*100)</f>
        <v>4.7181172631435363E-2</v>
      </c>
      <c r="H69" s="22">
        <f>IF(OR(7486893.14515="",9852.83451="",9129.86046=""),"-",(9852.83451-9129.86046)/7486893.14515*100)</f>
        <v>9.6565295641803349E-3</v>
      </c>
    </row>
    <row r="70" spans="1:8" s="2" customFormat="1" x14ac:dyDescent="0.25">
      <c r="A70" s="54" t="s">
        <v>78</v>
      </c>
      <c r="B70" s="50">
        <v>5995.5721999999996</v>
      </c>
      <c r="C70" s="52">
        <v>9683.0656199999994</v>
      </c>
      <c r="D70" s="68" t="s">
        <v>351</v>
      </c>
      <c r="E70" s="22">
        <f>IF(5995.5722="","-",5995.5722/7486893.14515*100)</f>
        <v>8.0080910516051956E-2</v>
      </c>
      <c r="F70" s="22">
        <f>IF(9683.06562="","-",9683.06562/7126566.5717*100)</f>
        <v>0.13587280105474636</v>
      </c>
      <c r="G70" s="22">
        <f>IF(OR(5721069.63319="",5427.08059="",5995.5722=""),"-",(5995.5722-5427.08059)/5721069.63319*100)</f>
        <v>9.9368063395343757E-3</v>
      </c>
      <c r="H70" s="22">
        <f>IF(OR(7486893.14515="",9683.06562="",5995.5722=""),"-",(9683.06562-5995.5722)/7486893.14515*100)</f>
        <v>4.9252651914616322E-2</v>
      </c>
    </row>
    <row r="71" spans="1:8" s="2" customFormat="1" x14ac:dyDescent="0.25">
      <c r="A71" s="54" t="s">
        <v>31</v>
      </c>
      <c r="B71" s="50">
        <v>7292.5409300000001</v>
      </c>
      <c r="C71" s="22">
        <v>8538.1993700000003</v>
      </c>
      <c r="D71" s="68">
        <f>IF(OR(7292.54093="",8538.19937=""),"-",8538.19937/7292.54093*100)</f>
        <v>117.08126772214085</v>
      </c>
      <c r="E71" s="22">
        <f>IF(7292.54093="","-",7292.54093/7486893.14515*100)</f>
        <v>9.7404100587759807E-2</v>
      </c>
      <c r="F71" s="22">
        <f>IF(8538.19937="","-",8538.19937/7126566.5717*100)</f>
        <v>0.11980803496463044</v>
      </c>
      <c r="G71" s="22">
        <f>IF(OR(5721069.63319="",2709.53894="",7292.54093=""),"-",(7292.54093-2709.53894)/5721069.63319*100)</f>
        <v>8.0107432418097896E-2</v>
      </c>
      <c r="H71" s="22">
        <f>IF(OR(7486893.14515="",8538.19937="",7292.54093=""),"-",(8538.19937-7292.54093)/7486893.14515*100)</f>
        <v>1.6637855193738622E-2</v>
      </c>
    </row>
    <row r="72" spans="1:8" s="2" customFormat="1" x14ac:dyDescent="0.25">
      <c r="A72" s="54" t="s">
        <v>52</v>
      </c>
      <c r="B72" s="50">
        <v>2525.8630800000001</v>
      </c>
      <c r="C72" s="22">
        <v>8091.3316800000002</v>
      </c>
      <c r="D72" s="68" t="s">
        <v>347</v>
      </c>
      <c r="E72" s="22">
        <f>IF(2525.86308="","-",2525.86308/7486893.14515*100)</f>
        <v>3.37371327602859E-2</v>
      </c>
      <c r="F72" s="22">
        <f>IF(8091.33168="","-",8091.33168/7126566.5717*100)</f>
        <v>0.11353758641827802</v>
      </c>
      <c r="G72" s="22">
        <f>IF(OR(5721069.63319="",3154.56039="",2525.86308=""),"-",(2525.86308-3154.56039)/5721069.63319*100)</f>
        <v>-1.0989156754056949E-2</v>
      </c>
      <c r="H72" s="22">
        <f>IF(OR(7486893.14515="",8091.33168="",2525.86308=""),"-",(8091.33168-2525.86308)/7486893.14515*100)</f>
        <v>7.4336156428321712E-2</v>
      </c>
    </row>
    <row r="73" spans="1:8" s="2" customFormat="1" x14ac:dyDescent="0.25">
      <c r="A73" s="54" t="s">
        <v>55</v>
      </c>
      <c r="B73" s="50">
        <v>10262.456690000001</v>
      </c>
      <c r="C73" s="52">
        <v>7995.7226499999997</v>
      </c>
      <c r="D73" s="68">
        <f>IF(OR(10262.45669="",7995.72265=""),"-",7995.72265/10262.45669*100)</f>
        <v>77.912364373641978</v>
      </c>
      <c r="E73" s="22">
        <f>IF(10262.45669="","-",10262.45669/7486893.14515*100)</f>
        <v>0.13707230076668059</v>
      </c>
      <c r="F73" s="22">
        <f>IF(7995.72265="","-",7995.72265/7126566.5717*100)</f>
        <v>0.11219600026963149</v>
      </c>
      <c r="G73" s="22">
        <f>IF(OR(5721069.63319="",12037.87665="",10262.45669=""),"-",(10262.45669-12037.87665)/5721069.63319*100)</f>
        <v>-3.1033007354081897E-2</v>
      </c>
      <c r="H73" s="22">
        <f>IF(OR(7486893.14515="",7995.72265="",10262.45669=""),"-",(7995.72265-10262.45669)/7486893.14515*100)</f>
        <v>-3.0276030338009949E-2</v>
      </c>
    </row>
    <row r="74" spans="1:8" s="2" customFormat="1" x14ac:dyDescent="0.25">
      <c r="A74" s="54" t="s">
        <v>33</v>
      </c>
      <c r="B74" s="50">
        <v>6928.4629299999997</v>
      </c>
      <c r="C74" s="22">
        <v>7945.9056099999998</v>
      </c>
      <c r="D74" s="68">
        <f>IF(OR(6928.46293="",7945.90561=""),"-",7945.90561/6928.46293*100)</f>
        <v>114.68496967190961</v>
      </c>
      <c r="E74" s="22">
        <f>IF(6928.46293="","-",6928.46293/7486893.14515*100)</f>
        <v>9.254122899414223E-2</v>
      </c>
      <c r="F74" s="22">
        <f>IF(7945.90561="","-",7945.90561/7126566.5717*100)</f>
        <v>0.11149696743946295</v>
      </c>
      <c r="G74" s="22">
        <f>IF(OR(5721069.63319="",4188.96637="",6928.46293=""),"-",(6928.46293-4188.96637)/5721069.63319*100)</f>
        <v>4.7884342188516393E-2</v>
      </c>
      <c r="H74" s="22">
        <f>IF(OR(7486893.14515="",7945.90561="",6928.46293=""),"-",(7945.90561-6928.46293)/7486893.14515*100)</f>
        <v>1.3589651411802212E-2</v>
      </c>
    </row>
    <row r="75" spans="1:8" s="2" customFormat="1" x14ac:dyDescent="0.25">
      <c r="A75" s="54" t="s">
        <v>106</v>
      </c>
      <c r="B75" s="50">
        <v>3716.8353200000001</v>
      </c>
      <c r="C75" s="52">
        <v>7556.3433800000003</v>
      </c>
      <c r="D75" s="68" t="s">
        <v>348</v>
      </c>
      <c r="E75" s="22">
        <f>IF(3716.83532="","-",3716.83532/7486893.14515*100)</f>
        <v>4.9644562142679455E-2</v>
      </c>
      <c r="F75" s="22">
        <f>IF(7556.34338="","-",7556.34338/7126566.5717*100)</f>
        <v>0.10603062925149213</v>
      </c>
      <c r="G75" s="22">
        <f>IF(OR(5721069.63319="",4437.06984="",3716.83532=""),"-",(3716.83532-4437.06984)/5721069.63319*100)</f>
        <v>-1.2589158429774358E-2</v>
      </c>
      <c r="H75" s="22">
        <f>IF(OR(7486893.14515="",7556.34338="",3716.83532=""),"-",(7556.34338-3716.83532)/7486893.14515*100)</f>
        <v>5.12830620868047E-2</v>
      </c>
    </row>
    <row r="76" spans="1:8" s="2" customFormat="1" x14ac:dyDescent="0.25">
      <c r="A76" s="54" t="s">
        <v>74</v>
      </c>
      <c r="B76" s="50">
        <v>6248.3543900000004</v>
      </c>
      <c r="C76" s="22">
        <v>6834.0627000000004</v>
      </c>
      <c r="D76" s="68">
        <f>IF(OR(6248.35439="",6834.0627=""),"-",6834.0627/6248.35439*100)</f>
        <v>109.37380105932179</v>
      </c>
      <c r="E76" s="22">
        <f>IF(6248.35439="","-",6248.35439/7486893.14515*100)</f>
        <v>8.3457240124332172E-2</v>
      </c>
      <c r="F76" s="22">
        <f>IF(6834.0627="","-",6834.0627/7126566.5717*100)</f>
        <v>9.5895584939014678E-2</v>
      </c>
      <c r="G76" s="22">
        <f>IF(OR(5721069.63319="",15536.87773="",6248.35439=""),"-",(6248.35439-15536.87773)/5721069.63319*100)</f>
        <v>-0.16235641122271796</v>
      </c>
      <c r="H76" s="22">
        <f>IF(OR(7486893.14515="",6834.0627="",6248.35439=""),"-",(6834.0627-6248.35439)/7486893.14515*100)</f>
        <v>7.8231156588553837E-3</v>
      </c>
    </row>
    <row r="77" spans="1:8" s="2" customFormat="1" x14ac:dyDescent="0.25">
      <c r="A77" s="54" t="s">
        <v>323</v>
      </c>
      <c r="B77" s="50">
        <v>3873.2455500000001</v>
      </c>
      <c r="C77" s="22">
        <v>5466.5632400000004</v>
      </c>
      <c r="D77" s="68">
        <f>IF(OR(3873.24555="",5466.56324=""),"-",5466.56324/3873.24555*100)</f>
        <v>141.13650088618834</v>
      </c>
      <c r="E77" s="22">
        <f>IF(3873.24555="","-",3873.24555/7486893.14515*100)</f>
        <v>5.1733682782812034E-2</v>
      </c>
      <c r="F77" s="22">
        <f>IF(5466.56324="","-",5466.56324/7126566.5717*100)</f>
        <v>7.6706829088049669E-2</v>
      </c>
      <c r="G77" s="22">
        <f>IF(OR(5721069.63319="",2098.46135="",3873.24555=""),"-",(3873.24555-2098.46135)/5721069.63319*100)</f>
        <v>3.1021894746811558E-2</v>
      </c>
      <c r="H77" s="22">
        <f>IF(OR(7486893.14515="",5466.56324="",3873.24555=""),"-",(5466.56324-3873.24555)/7486893.14515*100)</f>
        <v>2.1281426876409333E-2</v>
      </c>
    </row>
    <row r="78" spans="1:8" s="2" customFormat="1" x14ac:dyDescent="0.25">
      <c r="A78" s="73" t="s">
        <v>83</v>
      </c>
      <c r="B78" s="52">
        <v>4248.0336200000002</v>
      </c>
      <c r="C78" s="52">
        <v>5308.3633499999996</v>
      </c>
      <c r="D78" s="68">
        <f>IF(OR(4248.03362="",5308.36335=""),"-",5308.36335/4248.03362*100)</f>
        <v>124.96048348129598</v>
      </c>
      <c r="E78" s="22">
        <f>IF(4248.03362="","-",4248.03362/7486893.14515*100)</f>
        <v>5.6739605302793338E-2</v>
      </c>
      <c r="F78" s="22">
        <f>IF(5308.36335="","-",5308.36335/7126566.5717*100)</f>
        <v>7.4486967834971357E-2</v>
      </c>
      <c r="G78" s="22">
        <f>IF(OR(5721069.63319="",3105.47232="",4248.03362=""),"-",(4248.03362-3105.47232)/5721069.63319*100)</f>
        <v>1.9971113327682428E-2</v>
      </c>
      <c r="H78" s="22">
        <f>IF(OR(7486893.14515="",5308.36335="",4248.03362=""),"-",(5308.36335-4248.03362)/7486893.14515*100)</f>
        <v>1.4162479808956263E-2</v>
      </c>
    </row>
    <row r="79" spans="1:8" s="2" customFormat="1" x14ac:dyDescent="0.25">
      <c r="A79" s="54" t="s">
        <v>73</v>
      </c>
      <c r="B79" s="50">
        <v>3706.61069</v>
      </c>
      <c r="C79" s="52">
        <v>4986.8783400000002</v>
      </c>
      <c r="D79" s="68">
        <f>IF(OR(3706.61069="",4986.87834=""),"-",4986.87834/3706.61069*100)</f>
        <v>134.54011648576991</v>
      </c>
      <c r="E79" s="22">
        <f>IF(3706.61069="","-",3706.61069/7486893.14515*100)</f>
        <v>4.9507995080725002E-2</v>
      </c>
      <c r="F79" s="22">
        <f>IF(4986.87834="","-",4986.87834/7126566.5717*100)</f>
        <v>6.9975889368706329E-2</v>
      </c>
      <c r="G79" s="22">
        <f>IF(OR(5721069.63319="",3070.67162="",3706.61069=""),"-",(3706.61069-3070.67162)/5721069.63319*100)</f>
        <v>1.1115737279453594E-2</v>
      </c>
      <c r="H79" s="22">
        <f>IF(OR(7486893.14515="",4986.87834="",3706.61069=""),"-",(4986.87834-3706.61069)/7486893.14515*100)</f>
        <v>1.710011917065166E-2</v>
      </c>
    </row>
    <row r="80" spans="1:8" s="2" customFormat="1" x14ac:dyDescent="0.25">
      <c r="A80" s="54" t="s">
        <v>282</v>
      </c>
      <c r="B80" s="50">
        <v>1229.22219</v>
      </c>
      <c r="C80" s="22">
        <v>4665.8460299999997</v>
      </c>
      <c r="D80" s="68" t="s">
        <v>380</v>
      </c>
      <c r="E80" s="22">
        <f>IF(1229.22219="","-",1229.22219/7486893.14515*100)</f>
        <v>1.641832154097576E-2</v>
      </c>
      <c r="F80" s="22">
        <f>IF(4665.84603="","-",4665.84603/7126566.5717*100)</f>
        <v>6.54711631899762E-2</v>
      </c>
      <c r="G80" s="22">
        <f>IF(OR(5721069.63319="",313.94572="",1229.22219=""),"-",(1229.22219-313.94572)/5721069.63319*100)</f>
        <v>1.5998345216603364E-2</v>
      </c>
      <c r="H80" s="22">
        <f>IF(OR(7486893.14515="",4665.84603="",1229.22219=""),"-",(4665.84603-1229.22219)/7486893.14515*100)</f>
        <v>4.5901868416891194E-2</v>
      </c>
    </row>
    <row r="81" spans="1:8" x14ac:dyDescent="0.25">
      <c r="A81" s="54" t="s">
        <v>62</v>
      </c>
      <c r="B81" s="50">
        <v>7434.2221</v>
      </c>
      <c r="C81" s="22">
        <v>4236.3360300000004</v>
      </c>
      <c r="D81" s="68">
        <f>IF(OR(7434.2221="",4236.33603=""),"-",4236.33603/7434.2221*100)</f>
        <v>56.984254344513062</v>
      </c>
      <c r="E81" s="22">
        <f>IF(7434.2221="","-",7434.2221/7486893.14515*100)</f>
        <v>9.9296489957464915E-2</v>
      </c>
      <c r="F81" s="22">
        <f>IF(4236.33603="","-",4236.33603/7126566.5717*100)</f>
        <v>5.9444277793218564E-2</v>
      </c>
      <c r="G81" s="22">
        <f>IF(OR(5721069.63319="",6474.53937="",7434.2221=""),"-",(7434.2221-6474.53937)/5721069.63319*100)</f>
        <v>1.6774533287141478E-2</v>
      </c>
      <c r="H81" s="22">
        <f>IF(OR(7486893.14515="",4236.33603="",7434.2221=""),"-",(4236.33603-7434.2221)/7486893.14515*100)</f>
        <v>-4.271312556492924E-2</v>
      </c>
    </row>
    <row r="82" spans="1:8" x14ac:dyDescent="0.25">
      <c r="A82" s="54" t="s">
        <v>81</v>
      </c>
      <c r="B82" s="50">
        <v>3387.2312999999999</v>
      </c>
      <c r="C82" s="22">
        <v>3839.0118200000002</v>
      </c>
      <c r="D82" s="68">
        <f>IF(OR(3387.2313="",3839.01182=""),"-",3839.01182/3387.2313*100)</f>
        <v>113.33775228163488</v>
      </c>
      <c r="E82" s="22">
        <f>IF(3387.2313="","-",3387.2313/7486893.14515*100)</f>
        <v>4.5242148302787576E-2</v>
      </c>
      <c r="F82" s="22">
        <f>IF(3839.01182="","-",3839.01182/7126566.5717*100)</f>
        <v>5.3869023482428877E-2</v>
      </c>
      <c r="G82" s="22">
        <f>IF(OR(5721069.63319="",3632.5429="",3387.2313=""),"-",(3387.2313-3632.5429)/5721069.63319*100)</f>
        <v>-4.2878625104798302E-3</v>
      </c>
      <c r="H82" s="22">
        <f>IF(OR(7486893.14515="",3839.01182="",3387.2313=""),"-",(3839.01182-3387.2313)/7486893.14515*100)</f>
        <v>6.0342856675156785E-3</v>
      </c>
    </row>
    <row r="83" spans="1:8" x14ac:dyDescent="0.25">
      <c r="A83" s="54" t="s">
        <v>88</v>
      </c>
      <c r="B83" s="50">
        <v>2281.4901100000002</v>
      </c>
      <c r="C83" s="52">
        <v>3051.4250900000002</v>
      </c>
      <c r="D83" s="68">
        <f>IF(OR(2281.49011="",3051.42509=""),"-",3051.42509/2281.49011*100)</f>
        <v>133.74702246682105</v>
      </c>
      <c r="E83" s="22">
        <f>IF(2281.49011="","-",2281.49011/7486893.14515*100)</f>
        <v>3.0473122372234557E-2</v>
      </c>
      <c r="F83" s="22">
        <f>IF(3051.42509="","-",3051.42509/7126566.5717*100)</f>
        <v>4.2817604512632799E-2</v>
      </c>
      <c r="G83" s="22">
        <f>IF(OR(5721069.63319="",1627.48244="",2281.49011=""),"-",(2281.49011-1627.48244)/5721069.63319*100)</f>
        <v>1.143156283583518E-2</v>
      </c>
      <c r="H83" s="22">
        <f>IF(OR(7486893.14515="",3051.42509="",2281.49011=""),"-",(3051.42509-2281.49011)/7486893.14515*100)</f>
        <v>1.0283771453299862E-2</v>
      </c>
    </row>
    <row r="84" spans="1:8" x14ac:dyDescent="0.25">
      <c r="A84" s="54" t="s">
        <v>80</v>
      </c>
      <c r="B84" s="50">
        <v>2922.2573299999999</v>
      </c>
      <c r="C84" s="22">
        <v>2976.0436399999999</v>
      </c>
      <c r="D84" s="68">
        <f>IF(OR(2922.25733="",2976.04364=""),"-",2976.04364/2922.25733*100)</f>
        <v>101.84057404691325</v>
      </c>
      <c r="E84" s="22">
        <f>IF(2922.25733="","-",2922.25733/7486893.14515*100)</f>
        <v>3.9031642008848955E-2</v>
      </c>
      <c r="F84" s="22">
        <f>IF(2976.04364="","-",2976.04364/7126566.5717*100)</f>
        <v>4.1759851817255701E-2</v>
      </c>
      <c r="G84" s="22">
        <f>IF(OR(5721069.63319="",2882.97907="",2922.25733=""),"-",(2922.25733-2882.97907)/5721069.63319*100)</f>
        <v>6.8655448226206874E-4</v>
      </c>
      <c r="H84" s="22">
        <f>IF(OR(7486893.14515="",2976.04364="",2922.25733=""),"-",(2976.04364-2922.25733)/7486893.14515*100)</f>
        <v>7.1840627289896156E-4</v>
      </c>
    </row>
    <row r="85" spans="1:8" x14ac:dyDescent="0.25">
      <c r="A85" s="54" t="s">
        <v>66</v>
      </c>
      <c r="B85" s="50">
        <v>3717.67931</v>
      </c>
      <c r="C85" s="52">
        <v>2904.4414099999999</v>
      </c>
      <c r="D85" s="68">
        <f>IF(OR(3717.67931="",2904.44141=""),"-",2904.44141/3717.67931*100)</f>
        <v>78.125119673111342</v>
      </c>
      <c r="E85" s="22">
        <f>IF(3717.67931="","-",3717.67931/7486893.14515*100)</f>
        <v>4.9655835042981857E-2</v>
      </c>
      <c r="F85" s="22">
        <f>IF(2904.44141="","-",2904.44141/7126566.5717*100)</f>
        <v>4.0755129146392899E-2</v>
      </c>
      <c r="G85" s="22">
        <f>IF(OR(5721069.63319="",3798.81329="",3717.67931=""),"-",(3717.67931-3798.81329)/5721069.63319*100)</f>
        <v>-1.418161029352141E-3</v>
      </c>
      <c r="H85" s="22">
        <f>IF(OR(7486893.14515="",2904.44141="",3717.67931=""),"-",(2904.44141-3717.67931)/7486893.14515*100)</f>
        <v>-1.0862154490969523E-2</v>
      </c>
    </row>
    <row r="86" spans="1:8" x14ac:dyDescent="0.25">
      <c r="A86" s="54" t="s">
        <v>32</v>
      </c>
      <c r="B86" s="50">
        <v>3653.3050499999999</v>
      </c>
      <c r="C86" s="52">
        <v>2869.1608700000002</v>
      </c>
      <c r="D86" s="68">
        <f>IF(OR(3653.30505="",2869.16087=""),"-",2869.16087/3653.30505*100)</f>
        <v>78.536033283067894</v>
      </c>
      <c r="E86" s="22">
        <f>IF(3653.30505="","-",3653.30505/7486893.14515*100)</f>
        <v>4.879600896089463E-2</v>
      </c>
      <c r="F86" s="22">
        <f>IF(2869.16087="","-",2869.16087/7126566.5717*100)</f>
        <v>4.0260072520666552E-2</v>
      </c>
      <c r="G86" s="22">
        <f>IF(OR(5721069.63319="",1765.70707="",3653.30505=""),"-",(3653.30505-1765.70707)/5721069.63319*100)</f>
        <v>3.2993794884952271E-2</v>
      </c>
      <c r="H86" s="22">
        <f>IF(OR(7486893.14515="",2869.16087="",3653.30505=""),"-",(2869.16087-3653.30505)/7486893.14515*100)</f>
        <v>-1.0473559122557631E-2</v>
      </c>
    </row>
    <row r="87" spans="1:8" x14ac:dyDescent="0.25">
      <c r="A87" s="54" t="s">
        <v>58</v>
      </c>
      <c r="B87" s="50">
        <v>1396.6211000000001</v>
      </c>
      <c r="C87" s="52">
        <v>2757.0313500000002</v>
      </c>
      <c r="D87" s="68" t="s">
        <v>348</v>
      </c>
      <c r="E87" s="22">
        <f>IF(1396.6211="","-",1396.6211/7486893.14515*100)</f>
        <v>1.8654214410749662E-2</v>
      </c>
      <c r="F87" s="22">
        <f>IF(2757.03135="","-",2757.03135/7126566.5717*100)</f>
        <v>3.8686670814924086E-2</v>
      </c>
      <c r="G87" s="22">
        <f>IF(OR(5721069.63319="",900.22613="",1396.6211=""),"-",(1396.6211-900.22613)/5721069.63319*100)</f>
        <v>8.6766112252896332E-3</v>
      </c>
      <c r="H87" s="22">
        <f>IF(OR(7486893.14515="",2757.03135="",1396.6211=""),"-",(2757.03135-1396.6211)/7486893.14515*100)</f>
        <v>1.8170557848568629E-2</v>
      </c>
    </row>
    <row r="88" spans="1:8" x14ac:dyDescent="0.25">
      <c r="A88" s="54" t="s">
        <v>61</v>
      </c>
      <c r="B88" s="50">
        <v>1867.16616</v>
      </c>
      <c r="C88" s="52">
        <v>2355.0645199999999</v>
      </c>
      <c r="D88" s="68">
        <f>IF(OR(1867.16616="",2355.06452=""),"-",2355.06452/1867.16616*100)</f>
        <v>126.13042001575263</v>
      </c>
      <c r="E88" s="22">
        <f>IF(1867.16616="","-",1867.16616/7486893.14515*100)</f>
        <v>2.4939131944330579E-2</v>
      </c>
      <c r="F88" s="22">
        <f>IF(2355.06452="","-",2355.06452/7126566.5717*100)</f>
        <v>3.3046271248655626E-2</v>
      </c>
      <c r="G88" s="22">
        <f>IF(OR(5721069.63319="",1226.84066="",1867.16616=""),"-",(1867.16616-1226.84066)/5721069.63319*100)</f>
        <v>1.1192408781134902E-2</v>
      </c>
      <c r="H88" s="22">
        <f>IF(OR(7486893.14515="",2355.06452="",1867.16616=""),"-",(2355.06452-1867.16616)/7486893.14515*100)</f>
        <v>6.5166999253363162E-3</v>
      </c>
    </row>
    <row r="89" spans="1:8" x14ac:dyDescent="0.25">
      <c r="A89" s="54" t="s">
        <v>92</v>
      </c>
      <c r="B89" s="50">
        <v>1494.8593000000001</v>
      </c>
      <c r="C89" s="22">
        <v>2343.81259</v>
      </c>
      <c r="D89" s="68">
        <f>IF(OR(1494.8593="",2343.81259=""),"-",2343.81259/1494.8593*100)</f>
        <v>156.79151810474738</v>
      </c>
      <c r="E89" s="22">
        <f>IF(1494.8593="","-",1494.8593/7486893.14515*100)</f>
        <v>1.9966350140423309E-2</v>
      </c>
      <c r="F89" s="22">
        <f>IF(2343.81259="","-",2343.81259/7126566.5717*100)</f>
        <v>3.2888384138687665E-2</v>
      </c>
      <c r="G89" s="22">
        <f>IF(OR(5721069.63319="",705.65822="",1494.8593=""),"-",(1494.8593-705.65822)/5721069.63319*100)</f>
        <v>1.3794642096672942E-2</v>
      </c>
      <c r="H89" s="22">
        <f>IF(OR(7486893.14515="",2343.81259="",1494.8593=""),"-",(2343.81259-1494.8593)/7486893.14515*100)</f>
        <v>1.1339193354855757E-2</v>
      </c>
    </row>
    <row r="90" spans="1:8" x14ac:dyDescent="0.25">
      <c r="A90" s="54" t="s">
        <v>82</v>
      </c>
      <c r="B90" s="50">
        <v>1898.0537200000001</v>
      </c>
      <c r="C90" s="22">
        <v>2324.5844000000002</v>
      </c>
      <c r="D90" s="68">
        <f>IF(OR(1898.05372="",2324.5844=""),"-",2324.5844/1898.05372*100)</f>
        <v>122.47200253109803</v>
      </c>
      <c r="E90" s="22">
        <f>IF(1898.05372="","-",1898.05372/7486893.14515*100)</f>
        <v>2.5351687050983986E-2</v>
      </c>
      <c r="F90" s="22">
        <f>IF(2324.5844="","-",2324.5844/7126566.5717*100)</f>
        <v>3.2618574128403667E-2</v>
      </c>
      <c r="G90" s="22">
        <f>IF(OR(5721069.63319="",2434.72186="",1898.05372=""),"-",(1898.05372-2434.72186)/5721069.63319*100)</f>
        <v>-9.3805559870586679E-3</v>
      </c>
      <c r="H90" s="22">
        <f>IF(OR(7486893.14515="",2324.5844="",1898.05372=""),"-",(2324.5844-1898.05372)/7486893.14515*100)</f>
        <v>5.6970317557731688E-3</v>
      </c>
    </row>
    <row r="91" spans="1:8" x14ac:dyDescent="0.25">
      <c r="A91" s="54" t="s">
        <v>117</v>
      </c>
      <c r="B91" s="50">
        <v>1529.2318299999999</v>
      </c>
      <c r="C91" s="22">
        <v>2169.55188</v>
      </c>
      <c r="D91" s="68">
        <f>IF(OR(1529.23183="",2169.55188=""),"-",2169.55188/1529.23183*100)</f>
        <v>141.87200641775812</v>
      </c>
      <c r="E91" s="22">
        <f>IF(1529.23183="","-",1529.23183/7486893.14515*100)</f>
        <v>2.0425452859449907E-2</v>
      </c>
      <c r="F91" s="22">
        <f>IF(2169.55188="","-",2169.55188/7126566.5717*100)</f>
        <v>3.0443157419105762E-2</v>
      </c>
      <c r="G91" s="22">
        <f>IF(OR(5721069.63319="",1218.7572="",1529.23183=""),"-",(1529.23183-1218.7572)/5721069.63319*100)</f>
        <v>5.4268633298714623E-3</v>
      </c>
      <c r="H91" s="22">
        <f>IF(OR(7486893.14515="",2169.55188="",1529.23183=""),"-",(2169.55188-1529.23183)/7486893.14515*100)</f>
        <v>8.5525469321650269E-3</v>
      </c>
    </row>
    <row r="92" spans="1:8" x14ac:dyDescent="0.25">
      <c r="A92" s="54" t="s">
        <v>79</v>
      </c>
      <c r="B92" s="50">
        <v>1898.83113</v>
      </c>
      <c r="C92" s="52">
        <v>1860.2434900000001</v>
      </c>
      <c r="D92" s="68">
        <f>IF(OR(1898.83113="",1860.24349=""),"-",1860.24349/1898.83113*100)</f>
        <v>97.967821393364247</v>
      </c>
      <c r="E92" s="22">
        <f>IF(1898.83113="","-",1898.83113/7486893.14515*100)</f>
        <v>2.536207066385154E-2</v>
      </c>
      <c r="F92" s="22">
        <f>IF(1860.24349="","-",1860.24349/7126566.5717*100)</f>
        <v>2.6102941315206851E-2</v>
      </c>
      <c r="G92" s="22">
        <f>IF(OR(5721069.63319="",1766.33372="",1898.83113=""),"-",(1898.83113-1766.33372)/5721069.63319*100)</f>
        <v>2.3159552058470744E-3</v>
      </c>
      <c r="H92" s="22">
        <f>IF(OR(7486893.14515="",1860.24349="",1898.83113=""),"-",(1860.24349-1898.83113)/7486893.14515*100)</f>
        <v>-5.1540257423063384E-4</v>
      </c>
    </row>
    <row r="93" spans="1:8" x14ac:dyDescent="0.25">
      <c r="A93" s="54" t="s">
        <v>268</v>
      </c>
      <c r="B93" s="50">
        <v>1375.9865</v>
      </c>
      <c r="C93" s="52">
        <v>1525.1015600000001</v>
      </c>
      <c r="D93" s="68">
        <f>IF(OR(1375.9865="",1525.10156=""),"-",1525.10156/1375.9865*100)</f>
        <v>110.83695661258307</v>
      </c>
      <c r="E93" s="22">
        <f>IF(1375.9865="","-",1375.9865/7486893.14515*100)</f>
        <v>1.8378604760659129E-2</v>
      </c>
      <c r="F93" s="22">
        <f>IF(1525.10156="","-",1525.10156/7126566.5717*100)</f>
        <v>2.1400228913264697E-2</v>
      </c>
      <c r="G93" s="22">
        <f>IF(OR(5721069.63319="",1854.63534="",1375.9865=""),"-",(1375.9865-1854.63534)/5721069.63319*100)</f>
        <v>-8.3664222022956074E-3</v>
      </c>
      <c r="H93" s="22">
        <f>IF(OR(7486893.14515="",1525.10156="",1375.9865=""),"-",(1525.10156-1375.9865)/7486893.14515*100)</f>
        <v>1.9916814239107532E-3</v>
      </c>
    </row>
    <row r="94" spans="1:8" x14ac:dyDescent="0.25">
      <c r="A94" s="54" t="s">
        <v>107</v>
      </c>
      <c r="B94" s="50">
        <v>427.83235999999999</v>
      </c>
      <c r="C94" s="22">
        <v>1370.2347500000001</v>
      </c>
      <c r="D94" s="68" t="s">
        <v>347</v>
      </c>
      <c r="E94" s="22">
        <f>IF(427.83236="","-",427.83236/7486893.14515*100)</f>
        <v>5.7144178727480469E-3</v>
      </c>
      <c r="F94" s="22">
        <f>IF(1370.23475="","-",1370.23475/7126566.5717*100)</f>
        <v>1.9227137447102229E-2</v>
      </c>
      <c r="G94" s="22">
        <f>IF(OR(5721069.63319="",796.76113="",427.83236=""),"-",(427.83236-796.76113)/5721069.63319*100)</f>
        <v>-6.4485977912191522E-3</v>
      </c>
      <c r="H94" s="22">
        <f>IF(OR(7486893.14515="",1370.23475="",427.83236=""),"-",(1370.23475-427.83236)/7486893.14515*100)</f>
        <v>1.2587362631327084E-2</v>
      </c>
    </row>
    <row r="95" spans="1:8" x14ac:dyDescent="0.25">
      <c r="A95" s="54" t="s">
        <v>85</v>
      </c>
      <c r="B95" s="50">
        <v>1294.7139299999999</v>
      </c>
      <c r="C95" s="22">
        <v>1283.2405900000001</v>
      </c>
      <c r="D95" s="68">
        <f>IF(OR(1294.71393="",1283.24059=""),"-",1283.24059/1294.71393*100)</f>
        <v>99.113832041646461</v>
      </c>
      <c r="E95" s="22">
        <f>IF(1294.71393="","-",1294.71393/7486893.14515*100)</f>
        <v>1.7293073440465941E-2</v>
      </c>
      <c r="F95" s="22">
        <f>IF(1283.24059="","-",1283.24059/7126566.5717*100)</f>
        <v>1.8006435175892711E-2</v>
      </c>
      <c r="G95" s="22">
        <f>IF(OR(5721069.63319="",2042.19454="",1294.71393=""),"-",(1294.71393-2042.19454)/5721069.63319*100)</f>
        <v>-1.3065399617994404E-2</v>
      </c>
      <c r="H95" s="22">
        <f>IF(OR(7486893.14515="",1283.24059="",1294.71393=""),"-",(1283.24059-1294.71393)/7486893.14515*100)</f>
        <v>-1.5324567584395398E-4</v>
      </c>
    </row>
    <row r="96" spans="1:8" x14ac:dyDescent="0.25">
      <c r="A96" s="54" t="s">
        <v>320</v>
      </c>
      <c r="B96" s="50">
        <v>1402.7252000000001</v>
      </c>
      <c r="C96" s="52">
        <v>1150.57008</v>
      </c>
      <c r="D96" s="68">
        <f>IF(OR(1402.7252="",1150.57008=""),"-",1150.57008/1402.7252*100)</f>
        <v>82.02391173980476</v>
      </c>
      <c r="E96" s="22">
        <f>IF(1402.7252="","-",1402.7252/7486893.14515*100)</f>
        <v>1.8735744891840534E-2</v>
      </c>
      <c r="F96" s="22">
        <f>IF(1150.57008="","-",1150.57008/7126566.5717*100)</f>
        <v>1.6144802246975128E-2</v>
      </c>
      <c r="G96" s="22">
        <f>IF(OR(5721069.63319="",1299.97688="",1402.7252=""),"-",(1402.7252-1299.97688)/5721069.63319*100)</f>
        <v>1.7959634576709199E-3</v>
      </c>
      <c r="H96" s="22">
        <f>IF(OR(7486893.14515="",1150.57008="",1402.7252=""),"-",(1150.57008-1402.7252)/7486893.14515*100)</f>
        <v>-3.3679540379622738E-3</v>
      </c>
    </row>
    <row r="97" spans="1:8" x14ac:dyDescent="0.25">
      <c r="A97" s="54" t="s">
        <v>84</v>
      </c>
      <c r="B97" s="50">
        <v>1458.7748899999999</v>
      </c>
      <c r="C97" s="22">
        <v>1145.7706800000001</v>
      </c>
      <c r="D97" s="68">
        <f>IF(OR(1458.77489="",1145.77068=""),"-",1145.77068/1458.77489*100)</f>
        <v>78.543350852440312</v>
      </c>
      <c r="E97" s="22">
        <f>IF(1458.77489="","-",1458.77489/7486893.14515*100)</f>
        <v>1.9484382396254614E-2</v>
      </c>
      <c r="F97" s="22">
        <f>IF(1145.77068="","-",1145.77068/7126566.5717*100)</f>
        <v>1.6077457054143301E-2</v>
      </c>
      <c r="G97" s="22">
        <f>IF(OR(5721069.63319="",502.3514="",1458.77489=""),"-",(1458.77489-502.3514)/5721069.63319*100)</f>
        <v>1.6717564220009494E-2</v>
      </c>
      <c r="H97" s="22">
        <f>IF(OR(7486893.14515="",1145.77068="",1458.77489=""),"-",(1145.77068-1458.77489)/7486893.14515*100)</f>
        <v>-4.1806955693332358E-3</v>
      </c>
    </row>
    <row r="98" spans="1:8" x14ac:dyDescent="0.25">
      <c r="A98" s="54" t="s">
        <v>86</v>
      </c>
      <c r="B98" s="50">
        <v>657.25028999999995</v>
      </c>
      <c r="C98" s="52">
        <v>1012.17299</v>
      </c>
      <c r="D98" s="68">
        <f>IF(OR(657.25029="",1012.17299=""),"-",1012.17299/657.25029*100)</f>
        <v>154.00114772106076</v>
      </c>
      <c r="E98" s="22">
        <f>IF(657.25029="","-",657.25029/7486893.14515*100)</f>
        <v>8.7786786489101407E-3</v>
      </c>
      <c r="F98" s="22">
        <f>IF(1012.17299="","-",1012.17299/7126566.5717*100)</f>
        <v>1.4202813933141328E-2</v>
      </c>
      <c r="G98" s="22">
        <f>IF(OR(5721069.63319="",386.17744="",657.25029=""),"-",(657.25029-386.17744)/5721069.63319*100)</f>
        <v>4.7381498107872694E-3</v>
      </c>
      <c r="H98" s="22">
        <f>IF(OR(7486893.14515="",1012.17299="",657.25029=""),"-",(1012.17299-657.25029)/7486893.14515*100)</f>
        <v>4.7405872251551837E-3</v>
      </c>
    </row>
    <row r="99" spans="1:8" x14ac:dyDescent="0.25">
      <c r="A99" s="54" t="s">
        <v>89</v>
      </c>
      <c r="B99" s="50">
        <v>460.64033000000001</v>
      </c>
      <c r="C99" s="52">
        <v>1011.94773</v>
      </c>
      <c r="D99" s="68" t="s">
        <v>345</v>
      </c>
      <c r="E99" s="22">
        <f>IF(460.64033="","-",460.64033/7486893.14515*100)</f>
        <v>6.1526232720230858E-3</v>
      </c>
      <c r="F99" s="22">
        <f>IF(1011.94773="","-",1011.94773/7126566.5717*100)</f>
        <v>1.4199653084256613E-2</v>
      </c>
      <c r="G99" s="22">
        <f>IF(OR(5721069.63319="",606.39609="",460.64033=""),"-",(460.64033-606.39609)/5721069.63319*100)</f>
        <v>-2.5477012052854226E-3</v>
      </c>
      <c r="H99" s="22">
        <f>IF(OR(7486893.14515="",1011.94773="",460.64033=""),"-",(1011.94773-460.64033)/7486893.14515*100)</f>
        <v>7.3636338773865918E-3</v>
      </c>
    </row>
    <row r="100" spans="1:8" x14ac:dyDescent="0.25">
      <c r="A100" s="54" t="s">
        <v>307</v>
      </c>
      <c r="B100" s="50">
        <v>280.93164000000002</v>
      </c>
      <c r="C100" s="52">
        <v>897.47454000000005</v>
      </c>
      <c r="D100" s="68" t="s">
        <v>347</v>
      </c>
      <c r="E100" s="22">
        <f>IF(280.93164="","-",280.93164/7486893.14515*100)</f>
        <v>3.7523126690005878E-3</v>
      </c>
      <c r="F100" s="22">
        <f>IF(897.47454="","-",897.47454/7126566.5717*100)</f>
        <v>1.2593364995198704E-2</v>
      </c>
      <c r="G100" s="22">
        <f>IF(OR(5721069.63319="",530.4001="",280.93164=""),"-",(280.93164-530.4001)/5721069.63319*100)</f>
        <v>-4.3605213009948861E-3</v>
      </c>
      <c r="H100" s="22">
        <f>IF(OR(7486893.14515="",897.47454="",280.93164=""),"-",(897.47454-280.93164)/7486893.14515*100)</f>
        <v>8.2349632624234229E-3</v>
      </c>
    </row>
    <row r="101" spans="1:8" x14ac:dyDescent="0.25">
      <c r="A101" s="54" t="s">
        <v>306</v>
      </c>
      <c r="B101" s="50">
        <v>20.002400000000002</v>
      </c>
      <c r="C101" s="52">
        <v>747.95536000000004</v>
      </c>
      <c r="D101" s="68" t="s">
        <v>381</v>
      </c>
      <c r="E101" s="22">
        <f>IF(20.0024="","-",20.0024/7486893.14515*100)</f>
        <v>2.6716556002882896E-4</v>
      </c>
      <c r="F101" s="22">
        <f>IF(747.95536="","-",747.95536/7126566.5717*100)</f>
        <v>1.0495311486602443E-2</v>
      </c>
      <c r="G101" s="22">
        <f>IF(OR(5721069.63319="",981.93792="",20.0024=""),"-",(20.0024-981.93792)/5721069.63319*100)</f>
        <v>-1.6813910364234394E-2</v>
      </c>
      <c r="H101" s="22">
        <f>IF(OR(7486893.14515="",747.95536="",20.0024=""),"-",(747.95536-20.0024)/7486893.14515*100)</f>
        <v>9.7230312479024382E-3</v>
      </c>
    </row>
    <row r="102" spans="1:8" x14ac:dyDescent="0.25">
      <c r="A102" s="54" t="s">
        <v>70</v>
      </c>
      <c r="B102" s="50">
        <v>18.397390000000001</v>
      </c>
      <c r="C102" s="52">
        <v>594.17647999999997</v>
      </c>
      <c r="D102" s="68" t="s">
        <v>382</v>
      </c>
      <c r="E102" s="22">
        <f>IF(18.39739="","-",18.39739/7486893.14515*100)</f>
        <v>2.45727962765407E-4</v>
      </c>
      <c r="F102" s="22">
        <f>IF(594.17648="","-",594.17648/7126566.5717*100)</f>
        <v>8.3374858569273524E-3</v>
      </c>
      <c r="G102" s="22">
        <f>IF(OR(5721069.63319="",30.97974="",18.39739=""),"-",(18.39739-30.97974)/5721069.63319*100)</f>
        <v>-2.1993002719290851E-4</v>
      </c>
      <c r="H102" s="22">
        <f>IF(OR(7486893.14515="",594.17648="",18.39739=""),"-",(594.17648-18.39739)/7486893.14515*100)</f>
        <v>7.690494292321895E-3</v>
      </c>
    </row>
    <row r="103" spans="1:8" x14ac:dyDescent="0.25">
      <c r="A103" s="54" t="s">
        <v>91</v>
      </c>
      <c r="B103" s="50">
        <v>1044.8198</v>
      </c>
      <c r="C103" s="52">
        <v>523.75</v>
      </c>
      <c r="D103" s="68">
        <f>IF(OR(1044.8198="",523.75=""),"-",523.75/1044.8198*100)</f>
        <v>50.128261351861823</v>
      </c>
      <c r="E103" s="22">
        <f>IF(1044.8198="","-",1044.8198/7486893.14515*100)</f>
        <v>1.3955318711565063E-2</v>
      </c>
      <c r="F103" s="22">
        <f>IF(523.75="","-",523.75/7126566.5717*100)</f>
        <v>7.3492613130120886E-3</v>
      </c>
      <c r="G103" s="22">
        <f>IF(OR(5721069.63319="",593.36011="",1044.8198=""),"-",(1044.8198-593.36011)/5721069.63319*100)</f>
        <v>7.8911762825070089E-3</v>
      </c>
      <c r="H103" s="22">
        <f>IF(OR(7486893.14515="",523.75="",1044.8198=""),"-",(523.75-1044.8198)/7486893.14515*100)</f>
        <v>-6.9597600753464519E-3</v>
      </c>
    </row>
    <row r="104" spans="1:8" x14ac:dyDescent="0.25">
      <c r="A104" s="54" t="s">
        <v>103</v>
      </c>
      <c r="B104" s="50">
        <v>327.37524999999999</v>
      </c>
      <c r="C104" s="22">
        <v>513.90386000000001</v>
      </c>
      <c r="D104" s="68">
        <f>IF(OR(327.37525="",513.90386=""),"-",513.90386/327.37525*100)</f>
        <v>156.9770042176371</v>
      </c>
      <c r="E104" s="22">
        <f>IF(327.37525="","-",327.37525/7486893.14515*100)</f>
        <v>4.3726448829054451E-3</v>
      </c>
      <c r="F104" s="22">
        <f>IF(513.90386="","-",513.90386/7126566.5717*100)</f>
        <v>7.2111002518483631E-3</v>
      </c>
      <c r="G104" s="22">
        <f>IF(OR(5721069.63319="",483.81485="",327.37525=""),"-",(327.37525-483.81485)/5721069.63319*100)</f>
        <v>-2.7344467036799747E-3</v>
      </c>
      <c r="H104" s="22">
        <f>IF(OR(7486893.14515="",513.90386="",327.37525=""),"-",(513.90386-327.37525)/7486893.14515*100)</f>
        <v>2.4914020593553281E-3</v>
      </c>
    </row>
    <row r="105" spans="1:8" x14ac:dyDescent="0.25">
      <c r="A105" s="54" t="s">
        <v>93</v>
      </c>
      <c r="B105" s="50">
        <v>676.30520999999999</v>
      </c>
      <c r="C105" s="52">
        <v>506.97568000000001</v>
      </c>
      <c r="D105" s="68">
        <f>IF(OR(676.30521="",506.97568=""),"-",506.97568/676.30521*100)</f>
        <v>74.962557215846388</v>
      </c>
      <c r="E105" s="22">
        <f>IF(676.30521="","-",676.30521/7486893.14515*100)</f>
        <v>9.0331890263200786E-3</v>
      </c>
      <c r="F105" s="22">
        <f>IF(506.97568="","-",506.97568/7126566.5717*100)</f>
        <v>7.1138840127198018E-3</v>
      </c>
      <c r="G105" s="22">
        <f>IF(OR(5721069.63319="",397.95914="",676.30521=""),"-",(676.30521-397.95914)/5721069.63319*100)</f>
        <v>4.8652802333538029E-3</v>
      </c>
      <c r="H105" s="22">
        <f>IF(OR(7486893.14515="",506.97568="",676.30521=""),"-",(506.97568-676.30521)/7486893.14515*100)</f>
        <v>-2.2616795340493329E-3</v>
      </c>
    </row>
    <row r="106" spans="1:8" x14ac:dyDescent="0.25">
      <c r="A106" s="54" t="s">
        <v>324</v>
      </c>
      <c r="B106" s="50">
        <v>0.75722999999999996</v>
      </c>
      <c r="C106" s="52">
        <v>462.63015999999999</v>
      </c>
      <c r="D106" s="68" t="s">
        <v>383</v>
      </c>
      <c r="E106" s="22">
        <f>IF(0.75723="","-",0.75723/7486893.14515*100)</f>
        <v>1.0114075162012063E-5</v>
      </c>
      <c r="F106" s="22">
        <f>IF(462.63016="","-",462.63016/7126566.5717*100)</f>
        <v>6.4916275649080516E-3</v>
      </c>
      <c r="G106" s="22">
        <f>IF(OR(5721069.63319="",21.4717="",0.75723=""),"-",(0.75723-21.4717)/5721069.63319*100)</f>
        <v>-3.6207337662572478E-4</v>
      </c>
      <c r="H106" s="22">
        <f>IF(OR(7486893.14515="",462.63016="",0.75723=""),"-",(462.63016-0.75723)/7486893.14515*100)</f>
        <v>6.1690867098751203E-3</v>
      </c>
    </row>
    <row r="107" spans="1:8" x14ac:dyDescent="0.25">
      <c r="A107" s="54" t="s">
        <v>180</v>
      </c>
      <c r="B107" s="50">
        <v>185.55010999999999</v>
      </c>
      <c r="C107" s="22">
        <v>440.17849000000001</v>
      </c>
      <c r="D107" s="68" t="s">
        <v>340</v>
      </c>
      <c r="E107" s="22">
        <f>IF(185.55011="","-",185.55011/7486893.14515*100)</f>
        <v>2.4783325526717193E-3</v>
      </c>
      <c r="F107" s="22">
        <f>IF(440.17849="","-",440.17849/7126566.5717*100)</f>
        <v>6.1765856751829669E-3</v>
      </c>
      <c r="G107" s="22">
        <f>IF(OR(5721069.63319="",118.333="",185.55011=""),"-",(185.55011-118.333)/5721069.63319*100)</f>
        <v>1.1749045949388406E-3</v>
      </c>
      <c r="H107" s="22">
        <f>IF(OR(7486893.14515="",440.17849="",185.55011=""),"-",(440.17849-185.55011)/7486893.14515*100)</f>
        <v>3.400988568468457E-3</v>
      </c>
    </row>
    <row r="108" spans="1:8" x14ac:dyDescent="0.25">
      <c r="A108" s="54" t="s">
        <v>286</v>
      </c>
      <c r="B108" s="50">
        <v>844.55745000000002</v>
      </c>
      <c r="C108" s="22">
        <v>417.48163</v>
      </c>
      <c r="D108" s="68">
        <f>IF(OR(844.55745="",417.48163=""),"-",417.48163/844.55745*100)</f>
        <v>49.431998971769175</v>
      </c>
      <c r="E108" s="22">
        <f>IF(844.55745="","-",844.55745/7486893.14515*100)</f>
        <v>1.1280479547742753E-2</v>
      </c>
      <c r="F108" s="22">
        <f>IF(417.48163="","-",417.48163/7126566.5717*100)</f>
        <v>5.8581032787632008E-3</v>
      </c>
      <c r="G108" s="22">
        <f>IF(OR(5721069.63319="",191.99476="",844.55745=""),"-",(844.55745-191.99476)/5721069.63319*100)</f>
        <v>1.1406305670783084E-2</v>
      </c>
      <c r="H108" s="22">
        <f>IF(OR(7486893.14515="",417.48163="",844.55745=""),"-",(417.48163-844.55745)/7486893.14515*100)</f>
        <v>-5.7043130136919234E-3</v>
      </c>
    </row>
    <row r="109" spans="1:8" x14ac:dyDescent="0.25">
      <c r="A109" s="54" t="s">
        <v>273</v>
      </c>
      <c r="B109" s="50">
        <v>105.48183</v>
      </c>
      <c r="C109" s="52">
        <v>399.78949999999998</v>
      </c>
      <c r="D109" s="68" t="s">
        <v>380</v>
      </c>
      <c r="E109" s="22">
        <f>IF(105.48183="","-",105.48183/7486893.14515*100)</f>
        <v>1.4088865428556435E-3</v>
      </c>
      <c r="F109" s="22">
        <f>IF(399.7895="","-",399.7895/7126566.5717*100)</f>
        <v>5.6098472662500171E-3</v>
      </c>
      <c r="G109" s="22">
        <f>IF(OR(5721069.63319="",114.24333="",105.48183=""),"-",(105.48183-114.24333)/5721069.63319*100)</f>
        <v>-1.5314443909529362E-4</v>
      </c>
      <c r="H109" s="22">
        <f>IF(OR(7486893.14515="",399.7895="",105.48183=""),"-",(399.7895-105.48183)/7486893.14515*100)</f>
        <v>3.9309719571816257E-3</v>
      </c>
    </row>
    <row r="110" spans="1:8" x14ac:dyDescent="0.25">
      <c r="A110" s="73" t="s">
        <v>108</v>
      </c>
      <c r="B110" s="52">
        <v>326.32181000000003</v>
      </c>
      <c r="C110" s="52">
        <v>334.46364</v>
      </c>
      <c r="D110" s="68">
        <f>IF(OR(326.32181="",334.46364=""),"-",334.46364/326.32181*100)</f>
        <v>102.49503090216372</v>
      </c>
      <c r="E110" s="22">
        <f>IF(326.32181="","-",326.32181/7486893.14515*100)</f>
        <v>4.358574426982318E-3</v>
      </c>
      <c r="F110" s="22">
        <f>IF(334.46364="","-",334.46364/7126566.5717*100)</f>
        <v>4.6931946349617233E-3</v>
      </c>
      <c r="G110" s="22">
        <f>IF(OR(5721069.63319="",185.00202="",326.32181=""),"-",(326.32181-185.00202)/5721069.63319*100)</f>
        <v>2.4701637816144147E-3</v>
      </c>
      <c r="H110" s="22">
        <f>IF(OR(7486893.14515="",334.46364="",326.32181=""),"-",(334.46364-326.32181)/7486893.14515*100)</f>
        <v>1.0874777884701396E-4</v>
      </c>
    </row>
    <row r="111" spans="1:8" x14ac:dyDescent="0.25">
      <c r="A111" s="73" t="s">
        <v>331</v>
      </c>
      <c r="B111" s="52">
        <v>20.0166</v>
      </c>
      <c r="C111" s="52">
        <v>281.52985000000001</v>
      </c>
      <c r="D111" s="68" t="s">
        <v>384</v>
      </c>
      <c r="E111" s="22">
        <f>IF(20.0166="","-",20.0166/7486893.14515*100)</f>
        <v>2.6735522481667482E-4</v>
      </c>
      <c r="F111" s="22">
        <f>IF(281.52985="","-",281.52985/7126566.5717*100)</f>
        <v>3.9504275609796588E-3</v>
      </c>
      <c r="G111" s="22">
        <f>IF(OR(5721069.63319="",262.58596="",20.0166=""),"-",(20.0166-262.58596)/5721069.63319*100)</f>
        <v>-4.2399302150207558E-3</v>
      </c>
      <c r="H111" s="22">
        <f>IF(OR(7486893.14515="",281.52985="",20.0166=""),"-",(281.52985-20.0166)/7486893.14515*100)</f>
        <v>3.4929475408555545E-3</v>
      </c>
    </row>
    <row r="112" spans="1:8" x14ac:dyDescent="0.25">
      <c r="A112" s="54" t="s">
        <v>289</v>
      </c>
      <c r="B112" s="50">
        <v>161.12370000000001</v>
      </c>
      <c r="C112" s="52">
        <v>240.39931000000001</v>
      </c>
      <c r="D112" s="68">
        <f>IF(OR(161.1237="",240.39931=""),"-",240.39931/161.1237*100)</f>
        <v>149.20170651493231</v>
      </c>
      <c r="E112" s="22">
        <f>IF(161.1237="","-",161.1237/7486893.14515*100)</f>
        <v>2.1520769279894923E-3</v>
      </c>
      <c r="F112" s="22">
        <f>IF(240.39931="","-",240.39931/7126566.5717*100)</f>
        <v>3.3732837205876849E-3</v>
      </c>
      <c r="G112" s="22">
        <f>IF(OR(5721069.63319="",160.94806="",161.1237=""),"-",(161.1237-160.94806)/5721069.63319*100)</f>
        <v>3.0700552739484977E-6</v>
      </c>
      <c r="H112" s="22">
        <f>IF(OR(7486893.14515="",240.39931="",161.1237=""),"-",(240.39931-161.1237)/7486893.14515*100)</f>
        <v>1.0588585740849614E-3</v>
      </c>
    </row>
    <row r="113" spans="1:8" x14ac:dyDescent="0.25">
      <c r="A113" s="73" t="s">
        <v>294</v>
      </c>
      <c r="B113" s="52">
        <v>167.27104</v>
      </c>
      <c r="C113" s="52">
        <v>239.62388999999999</v>
      </c>
      <c r="D113" s="68">
        <f>IF(OR(167.27104="",239.62389=""),"-",239.62389/167.27104*100)</f>
        <v>143.2548575055192</v>
      </c>
      <c r="E113" s="22">
        <f>IF(167.27104="","-",167.27104/7486893.14515*100)</f>
        <v>2.234184951716026E-3</v>
      </c>
      <c r="F113" s="22">
        <f>IF(239.62389="","-",239.62389/7126566.5717*100)</f>
        <v>3.3624030252037505E-3</v>
      </c>
      <c r="G113" s="22">
        <f>IF(OR(5721069.63319="",4.88567="",167.27104=""),"-",(167.27104-4.88567)/5721069.63319*100)</f>
        <v>2.8383742973157248E-3</v>
      </c>
      <c r="H113" s="22">
        <f>IF(OR(7486893.14515="",239.62389="",167.27104=""),"-",(239.62389-167.27104)/7486893.14515*100)</f>
        <v>9.6639351727451951E-4</v>
      </c>
    </row>
    <row r="114" spans="1:8" x14ac:dyDescent="0.25">
      <c r="A114" s="54" t="s">
        <v>295</v>
      </c>
      <c r="B114" s="50">
        <v>183.74848</v>
      </c>
      <c r="C114" s="52">
        <v>221.15532999999999</v>
      </c>
      <c r="D114" s="68">
        <f>IF(OR(183.74848="",221.15533=""),"-",221.15533/183.74848*100)</f>
        <v>120.35763778835069</v>
      </c>
      <c r="E114" s="22">
        <f>IF(183.74848="","-",183.74848/7486893.14515*100)</f>
        <v>2.4542687659303915E-3</v>
      </c>
      <c r="F114" s="22">
        <f>IF(221.15533="","-",221.15533/7126566.5717*100)</f>
        <v>3.1032521449840984E-3</v>
      </c>
      <c r="G114" s="22">
        <f>IF(OR(5721069.63319="",157.72429="",183.74848=""),"-",(183.74848-157.72429)/5721069.63319*100)</f>
        <v>4.5488329400894263E-4</v>
      </c>
      <c r="H114" s="22">
        <f>IF(OR(7486893.14515="",221.15533="",183.74848=""),"-",(221.15533-183.74848)/7486893.14515*100)</f>
        <v>4.9963114572073328E-4</v>
      </c>
    </row>
    <row r="115" spans="1:8" x14ac:dyDescent="0.25">
      <c r="A115" s="54" t="s">
        <v>292</v>
      </c>
      <c r="B115" s="50">
        <v>1.3113999999999999</v>
      </c>
      <c r="C115" s="52">
        <v>200.69078999999999</v>
      </c>
      <c r="D115" s="68" t="s">
        <v>385</v>
      </c>
      <c r="E115" s="22">
        <f>IF(1.3114="","-",1.3114/7486893.14515*100)</f>
        <v>1.751594385782737E-5</v>
      </c>
      <c r="F115" s="22">
        <f>IF(200.69079="","-",200.69079/7126566.5717*100)</f>
        <v>2.816093668400636E-3</v>
      </c>
      <c r="G115" s="22">
        <f>IF(OR(5721069.63319="",1.71151="",1.3114=""),"-",(1.3114-1.71151)/5721069.63319*100)</f>
        <v>-6.9936222708917393E-6</v>
      </c>
      <c r="H115" s="22">
        <f>IF(OR(7486893.14515="",200.69079="",1.3114=""),"-",(200.69079-1.3114)/7486893.14515*100)</f>
        <v>2.6630457538873477E-3</v>
      </c>
    </row>
    <row r="116" spans="1:8" x14ac:dyDescent="0.25">
      <c r="A116" s="54" t="s">
        <v>274</v>
      </c>
      <c r="B116" s="50">
        <v>0.12814999999999999</v>
      </c>
      <c r="C116" s="52">
        <v>175.47826000000001</v>
      </c>
      <c r="D116" s="68" t="s">
        <v>386</v>
      </c>
      <c r="E116" s="22">
        <f>IF(0.12815="","-",0.12815/7486893.14515*100)</f>
        <v>1.7116579269334889E-6</v>
      </c>
      <c r="F116" s="22">
        <f>IF(175.47826="","-",175.47826/7126566.5717*100)</f>
        <v>2.4623113842342278E-3</v>
      </c>
      <c r="G116" s="22">
        <f>IF(OR(5721069.63319="",6.94972="",0.12815=""),"-",(0.12815-6.94972)/5721069.63319*100)</f>
        <v>-1.1923591980817011E-4</v>
      </c>
      <c r="H116" s="22">
        <f>IF(OR(7486893.14515="",175.47826="",0.12815=""),"-",(175.47826-0.12815)/7486893.14515*100)</f>
        <v>2.3420944656274622E-3</v>
      </c>
    </row>
    <row r="117" spans="1:8" x14ac:dyDescent="0.25">
      <c r="A117" s="54" t="s">
        <v>109</v>
      </c>
      <c r="B117" s="50">
        <v>117.61263</v>
      </c>
      <c r="C117" s="22">
        <v>169.99852999999999</v>
      </c>
      <c r="D117" s="68">
        <f>IF(OR(117.61263="",169.99853=""),"-",169.99853/117.61263*100)</f>
        <v>144.54104971549398</v>
      </c>
      <c r="E117" s="22">
        <f>IF(117.61263="","-",117.61263/7486893.14515*100)</f>
        <v>1.5709136983768669E-3</v>
      </c>
      <c r="F117" s="22">
        <f>IF(169.99853="","-",169.99853/7126566.5717*100)</f>
        <v>2.3854197991368493E-3</v>
      </c>
      <c r="G117" s="22">
        <f>IF(OR(5721069.63319="",305.14755="",117.61263=""),"-",(117.61263-305.14755)/5721069.63319*100)</f>
        <v>-3.277969541080953E-3</v>
      </c>
      <c r="H117" s="22">
        <f>IF(OR(7486893.14515="",169.99853="",117.61263=""),"-",(169.99853-117.61263)/7486893.14515*100)</f>
        <v>6.9970145138154548E-4</v>
      </c>
    </row>
    <row r="118" spans="1:8" x14ac:dyDescent="0.25">
      <c r="A118" s="54" t="s">
        <v>54</v>
      </c>
      <c r="B118" s="50">
        <v>341.80281000000002</v>
      </c>
      <c r="C118" s="52">
        <v>161.25206</v>
      </c>
      <c r="D118" s="68">
        <f>IF(OR(341.80281="",161.25206=""),"-",161.25206/341.80281*100)</f>
        <v>47.176926368744596</v>
      </c>
      <c r="E118" s="22">
        <f>IF(341.80281="","-",341.80281/7486893.14515*100)</f>
        <v>4.5653491157599795E-3</v>
      </c>
      <c r="F118" s="22">
        <f>IF(161.25206="","-",161.25206/7126566.5717*100)</f>
        <v>2.2626893101699362E-3</v>
      </c>
      <c r="G118" s="22">
        <f>IF(OR(5721069.63319="",210.16781="",341.80281=""),"-",(341.80281-210.16781)/5721069.63319*100)</f>
        <v>2.3008809268172097E-3</v>
      </c>
      <c r="H118" s="22">
        <f>IF(OR(7486893.14515="",161.25206="",341.80281=""),"-",(161.25206-341.80281)/7486893.14515*100)</f>
        <v>-2.4115577249417615E-3</v>
      </c>
    </row>
    <row r="119" spans="1:8" x14ac:dyDescent="0.25">
      <c r="A119" s="54" t="s">
        <v>287</v>
      </c>
      <c r="B119" s="50">
        <v>2.48489</v>
      </c>
      <c r="C119" s="52">
        <v>138.68710999999999</v>
      </c>
      <c r="D119" s="68" t="s">
        <v>387</v>
      </c>
      <c r="E119" s="22">
        <f>IF(2.48489="","-",2.48489/7486893.14515*100)</f>
        <v>3.3189868638765182E-5</v>
      </c>
      <c r="F119" s="22">
        <f>IF(138.68711="","-",138.68711/7126566.5717*100)</f>
        <v>1.9460578752008629E-3</v>
      </c>
      <c r="G119" s="22">
        <f>IF(OR(5721069.63319="",23.15915="",2.48489=""),"-",(2.48489-23.15915)/5721069.63319*100)</f>
        <v>-3.6137053602810771E-4</v>
      </c>
      <c r="H119" s="22">
        <f>IF(OR(7486893.14515="",138.68711="",2.48489=""),"-",(138.68711-2.48489)/7486893.14515*100)</f>
        <v>1.8192088141157938E-3</v>
      </c>
    </row>
    <row r="120" spans="1:8" x14ac:dyDescent="0.25">
      <c r="A120" s="54" t="s">
        <v>296</v>
      </c>
      <c r="B120" s="50">
        <v>233.03778</v>
      </c>
      <c r="C120" s="52">
        <v>134.13740000000001</v>
      </c>
      <c r="D120" s="68">
        <f>IF(OR(233.03778="",134.1374=""),"-",134.1374/233.03778*100)</f>
        <v>57.560366392093165</v>
      </c>
      <c r="E120" s="22">
        <f>IF(233.03778="","-",233.03778/7486893.14515*100)</f>
        <v>3.1126099368863247E-3</v>
      </c>
      <c r="F120" s="22">
        <f>IF(134.1374="","-",134.1374/7126566.5717*100)</f>
        <v>1.8822163330749933E-3</v>
      </c>
      <c r="G120" s="22">
        <f>IF(OR(5721069.63319="",77.2153="",233.03778=""),"-",(233.03778-77.2153)/5721069.63319*100)</f>
        <v>2.7236599096088126E-3</v>
      </c>
      <c r="H120" s="22">
        <f>IF(OR(7486893.14515="",134.1374="",233.03778=""),"-",(134.1374-233.03778)/7486893.14515*100)</f>
        <v>-1.3209802528578564E-3</v>
      </c>
    </row>
    <row r="121" spans="1:8" x14ac:dyDescent="0.25">
      <c r="A121" s="54" t="s">
        <v>261</v>
      </c>
      <c r="B121" s="50">
        <v>76.901039999999995</v>
      </c>
      <c r="C121" s="52">
        <v>119.92041</v>
      </c>
      <c r="D121" s="68">
        <f>IF(OR(76.90104="",119.92041=""),"-",119.92041/76.90104*100)</f>
        <v>155.94120703699195</v>
      </c>
      <c r="E121" s="22">
        <f>IF(76.90104="","-",76.90104/7486893.14515*100)</f>
        <v>1.027142213854306E-3</v>
      </c>
      <c r="F121" s="22">
        <f>IF(119.92041="","-",119.92041/7126566.5717*100)</f>
        <v>1.682723493753791E-3</v>
      </c>
      <c r="G121" s="22">
        <f>IF(OR(5721069.63319="",78.08858="",76.90104=""),"-",(76.90104-78.08858)/5721069.63319*100)</f>
        <v>-2.0757307219451554E-5</v>
      </c>
      <c r="H121" s="22">
        <f>IF(OR(7486893.14515="",119.92041="",76.90104=""),"-",(119.92041-76.90104)/7486893.14515*100)</f>
        <v>5.7459575241658022E-4</v>
      </c>
    </row>
    <row r="122" spans="1:8" x14ac:dyDescent="0.25">
      <c r="A122" s="54" t="s">
        <v>304</v>
      </c>
      <c r="B122" s="50">
        <v>102.63749</v>
      </c>
      <c r="C122" s="52">
        <v>111.88862</v>
      </c>
      <c r="D122" s="68">
        <f>IF(OR(102.63749="",111.88862=""),"-",111.88862/102.63749*100)</f>
        <v>109.01340241270515</v>
      </c>
      <c r="E122" s="22">
        <f>IF(102.63749="","-",102.63749/7486893.14515*100)</f>
        <v>1.3708956173160885E-3</v>
      </c>
      <c r="F122" s="22">
        <f>IF(111.88862="","-",111.88862/7126566.5717*100)</f>
        <v>1.5700213963385405E-3</v>
      </c>
      <c r="G122" s="22">
        <f>IF(OR(5721069.63319="",31.33484="",102.63749=""),"-",(102.63749-31.33484)/5721069.63319*100)</f>
        <v>1.2463167654235051E-3</v>
      </c>
      <c r="H122" s="22">
        <f>IF(OR(7486893.14515="",111.88862="",102.63749=""),"-",(111.88862-102.63749)/7486893.14515*100)</f>
        <v>1.2356433864683743E-4</v>
      </c>
    </row>
    <row r="123" spans="1:8" s="19" customFormat="1" ht="12" x14ac:dyDescent="0.2">
      <c r="A123" s="54" t="s">
        <v>303</v>
      </c>
      <c r="B123" s="50">
        <v>64.228279999999998</v>
      </c>
      <c r="C123" s="22">
        <v>91.324010000000001</v>
      </c>
      <c r="D123" s="68">
        <f>IF(OR(64.22828="",91.32401=""),"-",91.32401/64.22828*100)</f>
        <v>142.18660378263283</v>
      </c>
      <c r="E123" s="22">
        <f>IF(64.22828="","-",64.22828/7486893.14515*100)</f>
        <v>8.5787627464146445E-4</v>
      </c>
      <c r="F123" s="22">
        <f>IF(91.32401="","-",91.32401/7126566.5717*100)</f>
        <v>1.2814587372642083E-3</v>
      </c>
      <c r="G123" s="22">
        <f>IF(OR(5721069.63319="",114.65807="",64.22828=""),"-",(64.22828-114.65807)/5721069.63319*100)</f>
        <v>-8.8147485056707731E-4</v>
      </c>
      <c r="H123" s="22">
        <f>IF(OR(7486893.14515="",91.32401="",64.22828=""),"-",(91.32401-64.22828)/7486893.14515*100)</f>
        <v>3.6190886492820564E-4</v>
      </c>
    </row>
    <row r="124" spans="1:8" s="19" customFormat="1" ht="14.25" customHeight="1" x14ac:dyDescent="0.2">
      <c r="A124" s="54" t="s">
        <v>288</v>
      </c>
      <c r="B124" s="50">
        <v>24.181999999999999</v>
      </c>
      <c r="C124" s="52">
        <v>82.900700000000001</v>
      </c>
      <c r="D124" s="68" t="s">
        <v>352</v>
      </c>
      <c r="E124" s="22">
        <f>IF(24.182="","-",24.182/7486893.14515*100)</f>
        <v>3.229911196964934E-4</v>
      </c>
      <c r="F124" s="22">
        <f>IF(82.9007="","-",82.9007/7126566.5717*100)</f>
        <v>1.1632628302274391E-3</v>
      </c>
      <c r="G124" s="22">
        <f>IF(OR(5721069.63319="",113.45346="",24.182=""),"-",(24.182-113.45346)/5721069.63319*100)</f>
        <v>-1.5603980675589731E-3</v>
      </c>
      <c r="H124" s="22">
        <f>IF(OR(7486893.14515="",82.9007="",24.182=""),"-",(82.9007-24.182)/7486893.14515*100)</f>
        <v>7.8428660409074892E-4</v>
      </c>
    </row>
    <row r="125" spans="1:8" s="19" customFormat="1" ht="15" customHeight="1" x14ac:dyDescent="0.2">
      <c r="A125" s="54" t="s">
        <v>325</v>
      </c>
      <c r="B125" s="50">
        <v>63.970770000000002</v>
      </c>
      <c r="C125" s="22">
        <v>82.887129999999999</v>
      </c>
      <c r="D125" s="68">
        <f>IF(OR(63.97077="",82.88713=""),"-",82.88713/63.97077*100)</f>
        <v>129.57031781859121</v>
      </c>
      <c r="E125" s="22">
        <f>IF(63.97077="","-",63.97077/7486893.14515*100)</f>
        <v>8.5443679721060512E-4</v>
      </c>
      <c r="F125" s="22">
        <f>IF(82.88713="","-",82.88713/7126566.5717*100)</f>
        <v>1.1630724159534197E-3</v>
      </c>
      <c r="G125" s="22">
        <f>IF(OR(5721069.63319="",60.5427="",63.97077=""),"-",(63.97077-60.5427)/5721069.63319*100)</f>
        <v>5.9920088721041258E-5</v>
      </c>
      <c r="H125" s="22">
        <f>IF(OR(7486893.14515="",82.88713="",63.97077=""),"-",(82.88713-63.97077)/7486893.14515*100)</f>
        <v>2.5265967649416756E-4</v>
      </c>
    </row>
    <row r="126" spans="1:8" x14ac:dyDescent="0.25">
      <c r="A126" s="54" t="s">
        <v>293</v>
      </c>
      <c r="B126" s="50">
        <v>55.815750000000001</v>
      </c>
      <c r="C126" s="22">
        <v>82.438310000000001</v>
      </c>
      <c r="D126" s="68">
        <f>IF(OR(55.81575="",82.43831=""),"-",82.43831/55.81575*100)</f>
        <v>147.6972180791264</v>
      </c>
      <c r="E126" s="22">
        <f>IF(55.81575="","-",55.81575/7486893.14515*100)</f>
        <v>7.4551284381769718E-4</v>
      </c>
      <c r="F126" s="22">
        <f>IF(82.43831="","-",82.43831/7126566.5717*100)</f>
        <v>1.1567745725882532E-3</v>
      </c>
      <c r="G126" s="22">
        <f>IF(OR(5721069.63319="",179.15791="",55.81575=""),"-",(55.81575-179.15791)/5721069.63319*100)</f>
        <v>-2.1559283125037903E-3</v>
      </c>
      <c r="H126" s="22">
        <f>IF(OR(7486893.14515="",82.43831="",55.81575=""),"-",(82.43831-55.81575)/7486893.14515*100)</f>
        <v>3.5558888692362411E-4</v>
      </c>
    </row>
    <row r="127" spans="1:8" x14ac:dyDescent="0.25">
      <c r="A127" s="54" t="s">
        <v>378</v>
      </c>
      <c r="B127" s="50">
        <v>1.1934499999999999</v>
      </c>
      <c r="C127" s="22">
        <v>81.615830000000003</v>
      </c>
      <c r="D127" s="68" t="s">
        <v>388</v>
      </c>
      <c r="E127" s="22">
        <f>IF(1.19345="","-",1.19345/7486893.14515*100)</f>
        <v>1.5940524017938138E-5</v>
      </c>
      <c r="F127" s="22">
        <f>IF(81.61583="","-",81.61583/7126566.5717*100)</f>
        <v>1.1452335311663417E-3</v>
      </c>
      <c r="G127" s="22">
        <f>IF(OR(5721069.63319="",16.748="",1.19345=""),"-",(1.19345-16.748)/5721069.63319*100)</f>
        <v>-2.7188185072529817E-4</v>
      </c>
      <c r="H127" s="22">
        <f>IF(OR(7486893.14515="",81.61583="",1.19345=""),"-",(81.61583-1.19345)/7486893.14515*100)</f>
        <v>1.074175608504544E-3</v>
      </c>
    </row>
    <row r="128" spans="1:8" x14ac:dyDescent="0.25">
      <c r="A128" s="54" t="s">
        <v>297</v>
      </c>
      <c r="B128" s="50">
        <v>106.92697</v>
      </c>
      <c r="C128" s="22">
        <v>79.907309999999995</v>
      </c>
      <c r="D128" s="68">
        <f>IF(OR(106.92697="",79.90731=""),"-",79.90731/106.92697*100)</f>
        <v>74.73073444426602</v>
      </c>
      <c r="E128" s="22">
        <f>IF(106.92697="","-",106.92697/7486893.14515*100)</f>
        <v>1.4281888084547746E-3</v>
      </c>
      <c r="F128" s="22">
        <f>IF(79.90731="","-",79.90731/7126566.5717*100)</f>
        <v>1.121259574243177E-3</v>
      </c>
      <c r="G128" s="22">
        <f>IF(OR(5721069.63319="",54.89323="",106.92697=""),"-",(106.92697-54.89323)/5721069.63319*100)</f>
        <v>9.0951069181422633E-4</v>
      </c>
      <c r="H128" s="22">
        <f>IF(OR(7486893.14515="",79.90731="",106.92697=""),"-",(79.90731-106.92697)/7486893.14515*100)</f>
        <v>-3.6089282264570988E-4</v>
      </c>
    </row>
    <row r="129" spans="1:8" x14ac:dyDescent="0.25">
      <c r="A129" s="54" t="s">
        <v>298</v>
      </c>
      <c r="B129" s="50">
        <v>49.733469999999997</v>
      </c>
      <c r="C129" s="52">
        <v>63.498739999999998</v>
      </c>
      <c r="D129" s="68">
        <f>IF(OR(49.73347="",63.49874=""),"-",63.49874/49.73347*100)</f>
        <v>127.67808077739198</v>
      </c>
      <c r="E129" s="22">
        <f>IF(49.73347="","-",49.73347/7486893.14515*100)</f>
        <v>6.6427380537970244E-4</v>
      </c>
      <c r="F129" s="22">
        <f>IF(63.49874="","-",63.49874/7126566.5717*100)</f>
        <v>8.9101447886780552E-4</v>
      </c>
      <c r="G129" s="22">
        <f>IF(OR(5721069.63319="",106.79451="",49.73347=""),"-",(49.73347-106.79451)/5721069.63319*100)</f>
        <v>-9.9738411972768548E-4</v>
      </c>
      <c r="H129" s="22">
        <f>IF(OR(7486893.14515="",63.49874="",49.73347=""),"-",(63.49874-49.73347)/7486893.14515*100)</f>
        <v>1.8385824043604958E-4</v>
      </c>
    </row>
    <row r="130" spans="1:8" x14ac:dyDescent="0.25">
      <c r="A130" s="73" t="s">
        <v>327</v>
      </c>
      <c r="B130" s="52">
        <v>88.406329999999997</v>
      </c>
      <c r="C130" s="52">
        <v>62.427610000000001</v>
      </c>
      <c r="D130" s="68">
        <f>IF(OR(88.40633="",62.42761=""),"-",62.42761/88.40633*100)</f>
        <v>70.614411886569656</v>
      </c>
      <c r="E130" s="22">
        <f>IF(88.40633="","-",88.40633/7486893.14515*100)</f>
        <v>1.1808146354709164E-3</v>
      </c>
      <c r="F130" s="22">
        <f>IF(62.42761="","-",62.42761/7126566.5717*100)</f>
        <v>8.759843800225423E-4</v>
      </c>
      <c r="G130" s="22">
        <f>IF(OR(5721069.63319="",74.31712="",88.40633=""),"-",(88.40633-74.31712)/5721069.63319*100)</f>
        <v>2.4626880816593061E-4</v>
      </c>
      <c r="H130" s="22">
        <f>IF(OR(7486893.14515="",62.42761="",88.40633=""),"-",(62.42761-88.40633)/7486893.14515*100)</f>
        <v>-3.4698932516258731E-4</v>
      </c>
    </row>
    <row r="131" spans="1:8" s="19" customFormat="1" ht="14.25" customHeight="1" x14ac:dyDescent="0.2">
      <c r="A131" s="55" t="s">
        <v>326</v>
      </c>
      <c r="B131" s="53">
        <v>29.52693</v>
      </c>
      <c r="C131" s="56">
        <v>61.726300000000002</v>
      </c>
      <c r="D131" s="72" t="s">
        <v>339</v>
      </c>
      <c r="E131" s="56">
        <f>IF(29.52693="","-",29.52693/7486893.14515*100)</f>
        <v>3.943816136754604E-4</v>
      </c>
      <c r="F131" s="56">
        <f>IF(61.7263="","-",61.7263/7126566.5717*100)</f>
        <v>8.6614359634439725E-4</v>
      </c>
      <c r="G131" s="56">
        <f>IF(OR(5721069.63319="",9.94625="",29.52693=""),"-",(29.52693-9.94625)/5721069.63319*100)</f>
        <v>3.4225557903377673E-4</v>
      </c>
      <c r="H131" s="56">
        <f>IF(OR(7486893.14515="",61.7263="",29.52693=""),"-",(61.7263-29.52693)/7486893.14515*100)</f>
        <v>4.3007652674806383E-4</v>
      </c>
    </row>
    <row r="132" spans="1:8" s="19" customFormat="1" ht="15.75" customHeight="1" x14ac:dyDescent="0.2">
      <c r="A132" s="9" t="s">
        <v>256</v>
      </c>
      <c r="B132" s="9"/>
      <c r="C132" s="9"/>
      <c r="D132" s="11"/>
      <c r="E132" s="10"/>
      <c r="F132" s="10"/>
      <c r="G132" s="18"/>
      <c r="H132" s="18"/>
    </row>
    <row r="133" spans="1:8" s="19" customFormat="1" ht="15" customHeight="1" x14ac:dyDescent="0.2">
      <c r="A133" s="85" t="s">
        <v>413</v>
      </c>
      <c r="B133" s="85"/>
      <c r="C133" s="44"/>
      <c r="D133" s="44"/>
      <c r="E133" s="44"/>
      <c r="F133" s="44"/>
      <c r="G133" s="18"/>
      <c r="H133" s="18"/>
    </row>
  </sheetData>
  <mergeCells count="8">
    <mergeCell ref="A133:B133"/>
    <mergeCell ref="A1:H1"/>
    <mergeCell ref="A2:H2"/>
    <mergeCell ref="G3:H3"/>
    <mergeCell ref="B3:C3"/>
    <mergeCell ref="A3:A4"/>
    <mergeCell ref="D3:D4"/>
    <mergeCell ref="E3:F3"/>
  </mergeCells>
  <phoneticPr fontId="3" type="noConversion"/>
  <pageMargins left="0.59055118110236227" right="0.39370078740157483" top="0.39370078740157483" bottom="0.39370078740157483" header="0.11811023622047245" footer="0.1181102362204724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54"/>
  <sheetViews>
    <sheetView workbookViewId="0">
      <selection sqref="A1:D1"/>
    </sheetView>
  </sheetViews>
  <sheetFormatPr defaultRowHeight="15.75" x14ac:dyDescent="0.25"/>
  <cols>
    <col min="1" max="1" width="49.75" style="24" customWidth="1"/>
    <col min="2" max="2" width="14" style="24" customWidth="1"/>
    <col min="3" max="3" width="13.5" style="24" customWidth="1"/>
    <col min="4" max="4" width="12.25" style="24" customWidth="1"/>
  </cols>
  <sheetData>
    <row r="1" spans="1:4" x14ac:dyDescent="0.25">
      <c r="A1" s="97" t="s">
        <v>308</v>
      </c>
      <c r="B1" s="97"/>
      <c r="C1" s="97"/>
      <c r="D1" s="97"/>
    </row>
    <row r="2" spans="1:4" x14ac:dyDescent="0.25">
      <c r="A2" s="98"/>
      <c r="B2" s="98"/>
      <c r="C2" s="98"/>
      <c r="D2" s="98"/>
    </row>
    <row r="3" spans="1:4" ht="38.25" customHeight="1" x14ac:dyDescent="0.25">
      <c r="A3" s="101"/>
      <c r="B3" s="89" t="s">
        <v>358</v>
      </c>
      <c r="C3" s="96"/>
      <c r="D3" s="99" t="s">
        <v>364</v>
      </c>
    </row>
    <row r="4" spans="1:4" ht="42.75" customHeight="1" x14ac:dyDescent="0.25">
      <c r="A4" s="102"/>
      <c r="B4" s="13" t="s">
        <v>360</v>
      </c>
      <c r="C4" s="13" t="s">
        <v>361</v>
      </c>
      <c r="D4" s="100"/>
    </row>
    <row r="5" spans="1:4" s="17" customFormat="1" ht="15.75" customHeight="1" x14ac:dyDescent="0.2">
      <c r="A5" s="74" t="s">
        <v>411</v>
      </c>
      <c r="B5" s="64">
        <v>-3857140.70633</v>
      </c>
      <c r="C5" s="64">
        <v>-3768364.0608899998</v>
      </c>
      <c r="D5" s="64">
        <f>IF(-3857140.70633="","-",-3768364.06089/-3857140.70633*100)</f>
        <v>97.698381982946387</v>
      </c>
    </row>
    <row r="6" spans="1:4" x14ac:dyDescent="0.25">
      <c r="A6" s="20" t="s">
        <v>332</v>
      </c>
      <c r="B6" s="57"/>
      <c r="C6" s="57"/>
      <c r="D6" s="57"/>
    </row>
    <row r="7" spans="1:4" x14ac:dyDescent="0.25">
      <c r="A7" s="46" t="s">
        <v>271</v>
      </c>
      <c r="B7" s="21">
        <v>-1314528.5487599999</v>
      </c>
      <c r="C7" s="21">
        <v>-1287131.3400999999</v>
      </c>
      <c r="D7" s="21">
        <f>IF(-1314528.54876="","-",-1287131.3401/-1314528.54876*100)</f>
        <v>97.915814861088876</v>
      </c>
    </row>
    <row r="8" spans="1:4" x14ac:dyDescent="0.25">
      <c r="A8" s="47" t="s">
        <v>2</v>
      </c>
      <c r="B8" s="22">
        <v>-284298.16396999999</v>
      </c>
      <c r="C8" s="22">
        <v>-323314.49803999998</v>
      </c>
      <c r="D8" s="22">
        <f>IF(OR(-284298.16397="",-323314.49804="",-284298.16397=0),"-",-323314.49804/-284298.16397*100)</f>
        <v>113.72373761587751</v>
      </c>
    </row>
    <row r="9" spans="1:4" x14ac:dyDescent="0.25">
      <c r="A9" s="47" t="s">
        <v>1</v>
      </c>
      <c r="B9" s="22">
        <v>-76945.392810000005</v>
      </c>
      <c r="C9" s="22">
        <v>-174857.29037</v>
      </c>
      <c r="D9" s="22" t="s">
        <v>337</v>
      </c>
    </row>
    <row r="10" spans="1:4" x14ac:dyDescent="0.25">
      <c r="A10" s="47" t="s">
        <v>3</v>
      </c>
      <c r="B10" s="22">
        <v>-149255.92804</v>
      </c>
      <c r="C10" s="22">
        <v>-158443.18505999999</v>
      </c>
      <c r="D10" s="22">
        <f>IF(OR(-149255.92804="",-158443.18506="",-149255.92804=0),"-",-158443.18506/-149255.92804*100)</f>
        <v>106.15537160945317</v>
      </c>
    </row>
    <row r="11" spans="1:4" x14ac:dyDescent="0.25">
      <c r="A11" s="47" t="s">
        <v>262</v>
      </c>
      <c r="B11" s="22">
        <v>-119747.46279000001</v>
      </c>
      <c r="C11" s="22">
        <v>-137723.90732999999</v>
      </c>
      <c r="D11" s="22">
        <f>IF(OR(-119747.46279="",-137723.90733="",-119747.46279=0),"-",-137723.90733/-119747.46279*100)</f>
        <v>115.01196277663527</v>
      </c>
    </row>
    <row r="12" spans="1:4" x14ac:dyDescent="0.25">
      <c r="A12" s="47" t="s">
        <v>36</v>
      </c>
      <c r="B12" s="22">
        <v>-105684.99653</v>
      </c>
      <c r="C12" s="22">
        <v>-112866.52684000001</v>
      </c>
      <c r="D12" s="22">
        <f>IF(OR(-105684.99653="",-112866.52684="",-105684.99653=0),"-",-112866.52684/-105684.99653*100)</f>
        <v>106.79522216567557</v>
      </c>
    </row>
    <row r="13" spans="1:4" x14ac:dyDescent="0.25">
      <c r="A13" s="47" t="s">
        <v>6</v>
      </c>
      <c r="B13" s="22">
        <v>-24833.847470000001</v>
      </c>
      <c r="C13" s="22">
        <v>-88501.762489999994</v>
      </c>
      <c r="D13" s="22" t="s">
        <v>336</v>
      </c>
    </row>
    <row r="14" spans="1:4" x14ac:dyDescent="0.25">
      <c r="A14" s="47" t="s">
        <v>38</v>
      </c>
      <c r="B14" s="22">
        <v>-36351.425499999998</v>
      </c>
      <c r="C14" s="22">
        <v>-58548.261960000003</v>
      </c>
      <c r="D14" s="22" t="s">
        <v>351</v>
      </c>
    </row>
    <row r="15" spans="1:4" x14ac:dyDescent="0.25">
      <c r="A15" s="47" t="s">
        <v>5</v>
      </c>
      <c r="B15" s="22">
        <v>-51600.95794</v>
      </c>
      <c r="C15" s="22">
        <v>-54070.58986</v>
      </c>
      <c r="D15" s="22">
        <f>IF(OR(-51600.95794="",-54070.58986="",-51600.95794=0),"-",-54070.58986/-51600.95794*100)</f>
        <v>104.78601952093915</v>
      </c>
    </row>
    <row r="16" spans="1:4" x14ac:dyDescent="0.25">
      <c r="A16" s="47" t="s">
        <v>4</v>
      </c>
      <c r="B16" s="22">
        <v>17616.779859999999</v>
      </c>
      <c r="C16" s="22">
        <v>-52487.444839999996</v>
      </c>
      <c r="D16" s="22" t="s">
        <v>354</v>
      </c>
    </row>
    <row r="17" spans="1:4" x14ac:dyDescent="0.25">
      <c r="A17" s="47" t="s">
        <v>34</v>
      </c>
      <c r="B17" s="22">
        <v>-54545.197010000004</v>
      </c>
      <c r="C17" s="22">
        <v>-46516.275840000002</v>
      </c>
      <c r="D17" s="22">
        <f>IF(OR(-54545.19701="",-46516.27584="",-54545.19701=0),"-",-46516.27584/-54545.19701*100)</f>
        <v>85.280241689239801</v>
      </c>
    </row>
    <row r="18" spans="1:4" x14ac:dyDescent="0.25">
      <c r="A18" s="47" t="s">
        <v>44</v>
      </c>
      <c r="B18" s="22">
        <v>-26794.582620000001</v>
      </c>
      <c r="C18" s="22">
        <v>-38299.025220000003</v>
      </c>
      <c r="D18" s="22">
        <f>IF(OR(-26794.58262="",-38299.02522="",-26794.58262=0),"-",-38299.02522/-26794.58262*100)</f>
        <v>142.93570369486878</v>
      </c>
    </row>
    <row r="19" spans="1:4" x14ac:dyDescent="0.25">
      <c r="A19" s="47" t="s">
        <v>35</v>
      </c>
      <c r="B19" s="22">
        <v>-29597.772079999999</v>
      </c>
      <c r="C19" s="22">
        <v>-32203.284520000001</v>
      </c>
      <c r="D19" s="22">
        <f>IF(OR(-29597.77208="",-32203.28452="",-29597.77208=0),"-",-32203.28452/-29597.77208*100)</f>
        <v>108.8030694775186</v>
      </c>
    </row>
    <row r="20" spans="1:4" x14ac:dyDescent="0.25">
      <c r="A20" s="47" t="s">
        <v>270</v>
      </c>
      <c r="B20" s="22">
        <v>-16221.074629999999</v>
      </c>
      <c r="C20" s="22">
        <v>-30446.630209999999</v>
      </c>
      <c r="D20" s="22" t="s">
        <v>334</v>
      </c>
    </row>
    <row r="21" spans="1:4" x14ac:dyDescent="0.25">
      <c r="A21" s="47" t="s">
        <v>46</v>
      </c>
      <c r="B21" s="22">
        <v>-23535.93967</v>
      </c>
      <c r="C21" s="22">
        <v>-24808.5056</v>
      </c>
      <c r="D21" s="22">
        <f>IF(OR(-23535.93967="",-24808.5056="",-23535.93967=0),"-",-24808.5056/-23535.93967*100)</f>
        <v>105.40690513250284</v>
      </c>
    </row>
    <row r="22" spans="1:4" x14ac:dyDescent="0.25">
      <c r="A22" s="47" t="s">
        <v>45</v>
      </c>
      <c r="B22" s="22">
        <v>-96.700429999999997</v>
      </c>
      <c r="C22" s="22">
        <v>-21623.348689999999</v>
      </c>
      <c r="D22" s="22" t="s">
        <v>390</v>
      </c>
    </row>
    <row r="23" spans="1:4" x14ac:dyDescent="0.25">
      <c r="A23" s="47" t="s">
        <v>43</v>
      </c>
      <c r="B23" s="22">
        <v>-17076.079320000001</v>
      </c>
      <c r="C23" s="22">
        <v>-16070.929620000001</v>
      </c>
      <c r="D23" s="22">
        <f>IF(OR(-17076.07932="",-16070.92962="",-17076.07932=0),"-",-16070.92962/-17076.07932*100)</f>
        <v>94.113697405804743</v>
      </c>
    </row>
    <row r="24" spans="1:4" x14ac:dyDescent="0.25">
      <c r="A24" s="47" t="s">
        <v>42</v>
      </c>
      <c r="B24" s="22">
        <v>-15467.16224</v>
      </c>
      <c r="C24" s="22">
        <v>-13765.467919999999</v>
      </c>
      <c r="D24" s="22">
        <f>IF(OR(-15467.16224="",-13765.46792="",-15467.16224=0),"-",-13765.46792/-15467.16224*100)</f>
        <v>88.998018553143453</v>
      </c>
    </row>
    <row r="25" spans="1:4" x14ac:dyDescent="0.25">
      <c r="A25" s="47" t="s">
        <v>39</v>
      </c>
      <c r="B25" s="22">
        <v>-10418.424290000001</v>
      </c>
      <c r="C25" s="22">
        <v>-7202.1797100000003</v>
      </c>
      <c r="D25" s="22">
        <f>IF(OR(-10418.42429="",-7202.17971="",-10418.42429=0),"-",-7202.17971/-10418.42429*100)</f>
        <v>69.129260908609041</v>
      </c>
    </row>
    <row r="26" spans="1:4" x14ac:dyDescent="0.25">
      <c r="A26" s="47" t="s">
        <v>47</v>
      </c>
      <c r="B26" s="22">
        <v>-6692.1529</v>
      </c>
      <c r="C26" s="22">
        <v>-6228.5690500000001</v>
      </c>
      <c r="D26" s="22">
        <f>IF(OR(-6692.1529="",-6228.56905="",-6692.1529=0),"-",-6228.56905/-6692.1529*100)</f>
        <v>93.072724772920239</v>
      </c>
    </row>
    <row r="27" spans="1:4" x14ac:dyDescent="0.25">
      <c r="A27" s="47" t="s">
        <v>40</v>
      </c>
      <c r="B27" s="22">
        <v>-1691.4915599999999</v>
      </c>
      <c r="C27" s="22">
        <v>-2442.3308200000001</v>
      </c>
      <c r="D27" s="22">
        <f>IF(OR(-1691.49156="",-2442.33082="",-1691.49156=0),"-",-2442.33082/-1691.49156*100)</f>
        <v>144.38918158125483</v>
      </c>
    </row>
    <row r="28" spans="1:4" x14ac:dyDescent="0.25">
      <c r="A28" s="47" t="s">
        <v>48</v>
      </c>
      <c r="B28" s="22">
        <v>-2423.7083200000002</v>
      </c>
      <c r="C28" s="22">
        <v>-1719.0104899999999</v>
      </c>
      <c r="D28" s="22">
        <f>IF(OR(-2423.70832="",-1719.01049="",-2423.70832=0),"-",-1719.01049/-2423.70832*100)</f>
        <v>70.924808724508566</v>
      </c>
    </row>
    <row r="29" spans="1:4" x14ac:dyDescent="0.25">
      <c r="A29" s="47" t="s">
        <v>49</v>
      </c>
      <c r="B29" s="22">
        <v>-33.283119999999997</v>
      </c>
      <c r="C29" s="22">
        <v>161.12737000000001</v>
      </c>
      <c r="D29" s="22" t="s">
        <v>354</v>
      </c>
    </row>
    <row r="30" spans="1:4" x14ac:dyDescent="0.25">
      <c r="A30" s="47" t="s">
        <v>265</v>
      </c>
      <c r="B30" s="22">
        <v>-25650.559529999999</v>
      </c>
      <c r="C30" s="22">
        <v>1061.3406299999999</v>
      </c>
      <c r="D30" s="22" t="s">
        <v>354</v>
      </c>
    </row>
    <row r="31" spans="1:4" ht="16.5" customHeight="1" x14ac:dyDescent="0.25">
      <c r="A31" s="47" t="s">
        <v>37</v>
      </c>
      <c r="B31" s="22">
        <v>-2217.31097</v>
      </c>
      <c r="C31" s="22">
        <v>2979.8628199999998</v>
      </c>
      <c r="D31" s="22" t="s">
        <v>354</v>
      </c>
    </row>
    <row r="32" spans="1:4" x14ac:dyDescent="0.25">
      <c r="A32" s="47" t="s">
        <v>263</v>
      </c>
      <c r="B32" s="22">
        <v>-5302.0777099999996</v>
      </c>
      <c r="C32" s="22">
        <v>3521.8252000000002</v>
      </c>
      <c r="D32" s="22" t="s">
        <v>354</v>
      </c>
    </row>
    <row r="33" spans="1:4" x14ac:dyDescent="0.25">
      <c r="A33" s="47" t="s">
        <v>41</v>
      </c>
      <c r="B33" s="22">
        <v>13660.205330000001</v>
      </c>
      <c r="C33" s="22">
        <v>24994.39732</v>
      </c>
      <c r="D33" s="22" t="s">
        <v>338</v>
      </c>
    </row>
    <row r="34" spans="1:4" ht="15" customHeight="1" x14ac:dyDescent="0.25">
      <c r="A34" s="47" t="s">
        <v>0</v>
      </c>
      <c r="B34" s="22">
        <v>-259199.39110000001</v>
      </c>
      <c r="C34" s="22">
        <v>82329.771859999993</v>
      </c>
      <c r="D34" s="22" t="s">
        <v>354</v>
      </c>
    </row>
    <row r="35" spans="1:4" ht="14.25" customHeight="1" x14ac:dyDescent="0.25">
      <c r="A35" s="47" t="s">
        <v>410</v>
      </c>
      <c r="B35" s="22">
        <v>-124.45140000000001</v>
      </c>
      <c r="C35" s="22">
        <v>-40.640819999999998</v>
      </c>
      <c r="D35" s="22">
        <f>IF(OR(-124.4514="",-40.64082="",-124.4514=0),"-",-40.64082/-124.4514*100)</f>
        <v>32.655976549882119</v>
      </c>
    </row>
    <row r="36" spans="1:4" x14ac:dyDescent="0.25">
      <c r="A36" s="46" t="s">
        <v>176</v>
      </c>
      <c r="B36" s="21">
        <v>-1037627.48188</v>
      </c>
      <c r="C36" s="21">
        <v>-497253.36038000003</v>
      </c>
      <c r="D36" s="21">
        <f>IF(-1037627.48188="","-",-497253.36038/-1037627.48188*100)</f>
        <v>47.922146344761771</v>
      </c>
    </row>
    <row r="37" spans="1:4" x14ac:dyDescent="0.25">
      <c r="A37" s="47" t="s">
        <v>8</v>
      </c>
      <c r="B37" s="22">
        <v>-164497.5374</v>
      </c>
      <c r="C37" s="22">
        <v>-293236.55596999999</v>
      </c>
      <c r="D37" s="22" t="s">
        <v>338</v>
      </c>
    </row>
    <row r="38" spans="1:4" x14ac:dyDescent="0.25">
      <c r="A38" s="47" t="s">
        <v>264</v>
      </c>
      <c r="B38" s="22">
        <v>-825471.27080000006</v>
      </c>
      <c r="C38" s="22">
        <v>-160518.96546000001</v>
      </c>
      <c r="D38" s="22">
        <f>IF(OR(-825471.2708="",-160518.96546="",-825471.2708=0),"-",-160518.96546/-825471.2708*100)</f>
        <v>19.44573616770867</v>
      </c>
    </row>
    <row r="39" spans="1:4" x14ac:dyDescent="0.25">
      <c r="A39" s="47" t="s">
        <v>10</v>
      </c>
      <c r="B39" s="22">
        <v>-7181.0002000000004</v>
      </c>
      <c r="C39" s="22">
        <v>-16844.071400000001</v>
      </c>
      <c r="D39" s="22" t="s">
        <v>337</v>
      </c>
    </row>
    <row r="40" spans="1:4" x14ac:dyDescent="0.25">
      <c r="A40" s="47" t="s">
        <v>9</v>
      </c>
      <c r="B40" s="22">
        <v>1393.22803</v>
      </c>
      <c r="C40" s="22">
        <v>-14973.74287</v>
      </c>
      <c r="D40" s="22" t="s">
        <v>354</v>
      </c>
    </row>
    <row r="41" spans="1:4" x14ac:dyDescent="0.25">
      <c r="A41" s="47" t="s">
        <v>12</v>
      </c>
      <c r="B41" s="22">
        <v>-11988.979439999999</v>
      </c>
      <c r="C41" s="22">
        <v>-13361.600619999999</v>
      </c>
      <c r="D41" s="22">
        <f>IF(OR(-11988.97944="",-13361.60062="",-11988.97944=0),"-",-13361.60062/-11988.97944*100)</f>
        <v>111.44902438835112</v>
      </c>
    </row>
    <row r="42" spans="1:4" x14ac:dyDescent="0.25">
      <c r="A42" s="47" t="s">
        <v>11</v>
      </c>
      <c r="B42" s="22">
        <v>-9726.3947900000003</v>
      </c>
      <c r="C42" s="22">
        <v>-2608.2434400000002</v>
      </c>
      <c r="D42" s="22">
        <f>IF(OR(-9726.39479="",-2608.24344="",-9726.39479=0),"-",-2608.24344/-9726.39479*100)</f>
        <v>26.81613790426864</v>
      </c>
    </row>
    <row r="43" spans="1:4" x14ac:dyDescent="0.25">
      <c r="A43" s="47" t="s">
        <v>7</v>
      </c>
      <c r="B43" s="22">
        <v>-18759.899069999999</v>
      </c>
      <c r="C43" s="22">
        <v>-819.66147999999998</v>
      </c>
      <c r="D43" s="22">
        <f>IF(OR(-18759.89907="",-819.66148="",-18759.89907=0),"-",-819.66148/-18759.89907*100)</f>
        <v>4.3692211612735505</v>
      </c>
    </row>
    <row r="44" spans="1:4" x14ac:dyDescent="0.25">
      <c r="A44" s="47" t="s">
        <v>14</v>
      </c>
      <c r="B44" s="22">
        <v>151.84912</v>
      </c>
      <c r="C44" s="22">
        <v>150.46609000000001</v>
      </c>
      <c r="D44" s="22">
        <f>IF(OR(151.84912="",150.46609="",151.84912=0),"-",150.46609/151.84912*100)</f>
        <v>99.089207760966943</v>
      </c>
    </row>
    <row r="45" spans="1:4" x14ac:dyDescent="0.25">
      <c r="A45" s="47" t="s">
        <v>13</v>
      </c>
      <c r="B45" s="22">
        <v>731.18994999999995</v>
      </c>
      <c r="C45" s="22">
        <v>1336.5238400000001</v>
      </c>
      <c r="D45" s="22" t="s">
        <v>338</v>
      </c>
    </row>
    <row r="46" spans="1:4" x14ac:dyDescent="0.25">
      <c r="A46" s="47" t="s">
        <v>266</v>
      </c>
      <c r="B46" s="22">
        <v>-2278.6672800000001</v>
      </c>
      <c r="C46" s="22">
        <v>3622.4909299999999</v>
      </c>
      <c r="D46" s="22" t="s">
        <v>354</v>
      </c>
    </row>
    <row r="47" spans="1:4" x14ac:dyDescent="0.25">
      <c r="A47" s="46" t="s">
        <v>113</v>
      </c>
      <c r="B47" s="21">
        <v>-1504984.6756899999</v>
      </c>
      <c r="C47" s="21">
        <v>-1983979.36041</v>
      </c>
      <c r="D47" s="21">
        <f>IF(-1504984.67569="","-",-1983979.36041/-1504984.67569*100)</f>
        <v>131.82721342331226</v>
      </c>
    </row>
    <row r="48" spans="1:4" x14ac:dyDescent="0.25">
      <c r="A48" s="47" t="s">
        <v>53</v>
      </c>
      <c r="B48" s="22">
        <v>-757827.01662000001</v>
      </c>
      <c r="C48" s="22">
        <v>-822364.62633999996</v>
      </c>
      <c r="D48" s="22">
        <f>IF(OR(-757827.01662="",-822364.62634="",-757827.01662=0),"-",-822364.62634/-757827.01662*100)</f>
        <v>108.51614000353874</v>
      </c>
    </row>
    <row r="49" spans="1:4" x14ac:dyDescent="0.25">
      <c r="A49" s="70" t="s">
        <v>50</v>
      </c>
      <c r="B49" s="52">
        <v>-257455.38787000001</v>
      </c>
      <c r="C49" s="52">
        <v>-514318.08707000001</v>
      </c>
      <c r="D49" s="22" t="s">
        <v>348</v>
      </c>
    </row>
    <row r="50" spans="1:4" x14ac:dyDescent="0.25">
      <c r="A50" s="47" t="s">
        <v>63</v>
      </c>
      <c r="B50" s="22">
        <v>-213527.97732999999</v>
      </c>
      <c r="C50" s="22">
        <v>-182997.59080000001</v>
      </c>
      <c r="D50" s="22">
        <f>IF(OR(-213527.97733="",-182997.5908="",-213527.97733=0),"-",-182997.5908/-213527.97733*100)</f>
        <v>85.70192678647615</v>
      </c>
    </row>
    <row r="51" spans="1:4" x14ac:dyDescent="0.25">
      <c r="A51" s="47" t="s">
        <v>69</v>
      </c>
      <c r="B51" s="22">
        <v>-55078.07015</v>
      </c>
      <c r="C51" s="22">
        <v>-78170.994439999995</v>
      </c>
      <c r="D51" s="22">
        <f>IF(OR(-55078.07015="",-78170.99444="",-55078.07015=0),"-",-78170.99444/-55078.07015*100)</f>
        <v>141.92762060672891</v>
      </c>
    </row>
    <row r="52" spans="1:4" x14ac:dyDescent="0.25">
      <c r="A52" s="47" t="s">
        <v>15</v>
      </c>
      <c r="B52" s="52">
        <v>-77359.074890000004</v>
      </c>
      <c r="C52" s="22">
        <v>-54021.304069999998</v>
      </c>
      <c r="D52" s="22">
        <f>IF(OR(-77359.07489="",-54021.30407="",-77359.07489=0),"-",-54021.30407/-77359.07489*100)</f>
        <v>69.831889984226251</v>
      </c>
    </row>
    <row r="53" spans="1:4" x14ac:dyDescent="0.25">
      <c r="A53" s="47" t="s">
        <v>30</v>
      </c>
      <c r="B53" s="22">
        <v>-50531.72795</v>
      </c>
      <c r="C53" s="22">
        <v>-52918.822529999998</v>
      </c>
      <c r="D53" s="22">
        <f>IF(OR(-50531.72795="",-52918.82253="",-50531.72795=0),"-",-52918.82253/-50531.72795*100)</f>
        <v>104.72395201359821</v>
      </c>
    </row>
    <row r="54" spans="1:4" x14ac:dyDescent="0.25">
      <c r="A54" s="70" t="s">
        <v>65</v>
      </c>
      <c r="B54" s="52">
        <v>-32559.860199999999</v>
      </c>
      <c r="C54" s="52">
        <v>-44185.891660000001</v>
      </c>
      <c r="D54" s="22">
        <f>IF(OR(-32559.8602="",-44185.89166="",-32559.8602=0),"-",-44185.89166/-32559.8602*100)</f>
        <v>135.70663813845246</v>
      </c>
    </row>
    <row r="55" spans="1:4" x14ac:dyDescent="0.25">
      <c r="A55" s="47" t="s">
        <v>318</v>
      </c>
      <c r="B55" s="52">
        <v>-2837.3909100000001</v>
      </c>
      <c r="C55" s="22">
        <v>-29549.3426</v>
      </c>
      <c r="D55" s="22" t="s">
        <v>391</v>
      </c>
    </row>
    <row r="56" spans="1:4" x14ac:dyDescent="0.25">
      <c r="A56" s="47" t="s">
        <v>68</v>
      </c>
      <c r="B56" s="22">
        <v>-2732.0229100000001</v>
      </c>
      <c r="C56" s="22">
        <v>-28754.276379999999</v>
      </c>
      <c r="D56" s="22" t="s">
        <v>375</v>
      </c>
    </row>
    <row r="57" spans="1:4" x14ac:dyDescent="0.25">
      <c r="A57" s="47" t="s">
        <v>72</v>
      </c>
      <c r="B57" s="22">
        <v>-17166.03</v>
      </c>
      <c r="C57" s="22">
        <v>-25924.971959999999</v>
      </c>
      <c r="D57" s="22">
        <f>IF(OR(-17166.03="",-25924.97196="",-17166.03=0),"-",-25924.97196/-17166.03*100)</f>
        <v>151.02485525191324</v>
      </c>
    </row>
    <row r="58" spans="1:4" x14ac:dyDescent="0.25">
      <c r="A58" s="47" t="s">
        <v>56</v>
      </c>
      <c r="B58" s="22">
        <v>-21875.959760000002</v>
      </c>
      <c r="C58" s="22">
        <v>-23578.79076</v>
      </c>
      <c r="D58" s="22">
        <f>IF(OR(-21875.95976="",-23578.79076="",-21875.95976=0),"-",-23578.79076/-21875.95976*100)</f>
        <v>107.7840287634539</v>
      </c>
    </row>
    <row r="59" spans="1:4" x14ac:dyDescent="0.25">
      <c r="A59" s="47" t="s">
        <v>60</v>
      </c>
      <c r="B59" s="52">
        <v>-21434.823420000001</v>
      </c>
      <c r="C59" s="22">
        <v>-20341.53847</v>
      </c>
      <c r="D59" s="22">
        <f>IF(OR(-21434.82342="",-20341.53847="",-21434.82342=0),"-",-20341.53847/-21434.82342*100)</f>
        <v>94.899491688931292</v>
      </c>
    </row>
    <row r="60" spans="1:4" x14ac:dyDescent="0.25">
      <c r="A60" s="70" t="s">
        <v>267</v>
      </c>
      <c r="B60" s="52">
        <v>-18555.64242</v>
      </c>
      <c r="C60" s="52">
        <v>-18606.89615</v>
      </c>
      <c r="D60" s="22">
        <f>IF(OR(-18555.64242="",-18606.89615="",-18555.64242=0),"-",-18606.89615/-18555.64242*100)</f>
        <v>100.27621641353012</v>
      </c>
    </row>
    <row r="61" spans="1:4" x14ac:dyDescent="0.25">
      <c r="A61" s="47" t="s">
        <v>64</v>
      </c>
      <c r="B61" s="22">
        <v>-11825.2302</v>
      </c>
      <c r="C61" s="22">
        <v>-14611.19328</v>
      </c>
      <c r="D61" s="22">
        <f>IF(OR(-11825.2302="",-14611.19328="",-11825.2302=0),"-",-14611.19328/-11825.2302*100)</f>
        <v>123.5594828420338</v>
      </c>
    </row>
    <row r="62" spans="1:4" x14ac:dyDescent="0.25">
      <c r="A62" s="47" t="s">
        <v>71</v>
      </c>
      <c r="B62" s="22">
        <v>-10870.65554</v>
      </c>
      <c r="C62" s="22">
        <v>-13514.857840000001</v>
      </c>
      <c r="D62" s="22">
        <f>IF(OR(-10870.65554="",-13514.85784="",-10870.65554=0),"-",-13514.85784/-10870.65554*100)</f>
        <v>124.32422120515467</v>
      </c>
    </row>
    <row r="63" spans="1:4" x14ac:dyDescent="0.25">
      <c r="A63" s="70" t="s">
        <v>75</v>
      </c>
      <c r="B63" s="52">
        <v>-11816.03709</v>
      </c>
      <c r="C63" s="52">
        <v>-10699.69161</v>
      </c>
      <c r="D63" s="22">
        <f>IF(OR(-11816.03709="",-10699.69161="",-11816.03709=0),"-",-10699.69161/-11816.03709*100)</f>
        <v>90.552285241684189</v>
      </c>
    </row>
    <row r="64" spans="1:4" x14ac:dyDescent="0.25">
      <c r="A64" s="47" t="s">
        <v>67</v>
      </c>
      <c r="B64" s="22">
        <v>-14058.57755</v>
      </c>
      <c r="C64" s="22">
        <v>-10629.62131</v>
      </c>
      <c r="D64" s="22">
        <f>IF(OR(-14058.57755="",-10629.62131="",-14058.57755=0),"-",-10629.62131/-14058.57755*100)</f>
        <v>75.609507947694183</v>
      </c>
    </row>
    <row r="65" spans="1:4" x14ac:dyDescent="0.25">
      <c r="A65" s="47" t="s">
        <v>76</v>
      </c>
      <c r="B65" s="22">
        <v>-8617.4059199999992</v>
      </c>
      <c r="C65" s="22">
        <v>-10607.39337</v>
      </c>
      <c r="D65" s="22">
        <f>IF(OR(-8617.40592="",-10607.39337="",-8617.40592=0),"-",-10607.39337/-8617.40592*100)</f>
        <v>123.09265071732864</v>
      </c>
    </row>
    <row r="66" spans="1:4" x14ac:dyDescent="0.25">
      <c r="A66" s="47" t="s">
        <v>77</v>
      </c>
      <c r="B66" s="22">
        <v>-7364.4588899999999</v>
      </c>
      <c r="C66" s="22">
        <v>-9776.8361199999999</v>
      </c>
      <c r="D66" s="22">
        <f>IF(OR(-7364.45889="",-9776.83612="",-7364.45889=0),"-",-9776.83612/-7364.45889*100)</f>
        <v>132.757019436631</v>
      </c>
    </row>
    <row r="67" spans="1:4" x14ac:dyDescent="0.25">
      <c r="A67" s="47" t="s">
        <v>33</v>
      </c>
      <c r="B67" s="22">
        <v>-5810.7681899999998</v>
      </c>
      <c r="C67" s="22">
        <v>-7625.6947099999998</v>
      </c>
      <c r="D67" s="22">
        <f>IF(OR(-5810.76819="",-7625.69471="",-5810.76819=0),"-",-7625.69471/-5810.76819*100)</f>
        <v>131.23384827368238</v>
      </c>
    </row>
    <row r="68" spans="1:4" x14ac:dyDescent="0.25">
      <c r="A68" s="47" t="s">
        <v>78</v>
      </c>
      <c r="B68" s="22">
        <v>-4377.00767</v>
      </c>
      <c r="C68" s="22">
        <v>-7437.7481799999996</v>
      </c>
      <c r="D68" s="22" t="s">
        <v>333</v>
      </c>
    </row>
    <row r="69" spans="1:4" x14ac:dyDescent="0.25">
      <c r="A69" s="47" t="s">
        <v>74</v>
      </c>
      <c r="B69" s="22">
        <v>-5158.5571300000001</v>
      </c>
      <c r="C69" s="22">
        <v>-6787.2899900000002</v>
      </c>
      <c r="D69" s="22">
        <f>IF(OR(-5158.55713="",-6787.28999="",-5158.55713=0),"-",-6787.28999/-5158.55713*100)</f>
        <v>131.57341905797603</v>
      </c>
    </row>
    <row r="70" spans="1:4" x14ac:dyDescent="0.25">
      <c r="A70" s="47" t="s">
        <v>73</v>
      </c>
      <c r="B70" s="22">
        <v>-3675.7000200000002</v>
      </c>
      <c r="C70" s="22">
        <v>-4979.7317499999999</v>
      </c>
      <c r="D70" s="22">
        <f>IF(OR(-3675.70002="",-4979.73175="",-3675.70002=0),"-",-4979.73175/-3675.70002*100)</f>
        <v>135.47709886292625</v>
      </c>
    </row>
    <row r="71" spans="1:4" x14ac:dyDescent="0.25">
      <c r="A71" s="47" t="s">
        <v>319</v>
      </c>
      <c r="B71" s="22">
        <v>31449.060939999999</v>
      </c>
      <c r="C71" s="22">
        <v>-4762.7831800000004</v>
      </c>
      <c r="D71" s="22" t="s">
        <v>354</v>
      </c>
    </row>
    <row r="72" spans="1:4" x14ac:dyDescent="0.25">
      <c r="A72" s="47" t="s">
        <v>282</v>
      </c>
      <c r="B72" s="22">
        <v>-1228.0687600000001</v>
      </c>
      <c r="C72" s="22">
        <v>-4586.6221299999997</v>
      </c>
      <c r="D72" s="22" t="s">
        <v>392</v>
      </c>
    </row>
    <row r="73" spans="1:4" x14ac:dyDescent="0.25">
      <c r="A73" s="47" t="s">
        <v>106</v>
      </c>
      <c r="B73" s="22">
        <v>-1235.32368</v>
      </c>
      <c r="C73" s="22">
        <v>-4276.64354</v>
      </c>
      <c r="D73" s="22" t="s">
        <v>350</v>
      </c>
    </row>
    <row r="74" spans="1:4" x14ac:dyDescent="0.25">
      <c r="A74" s="47" t="s">
        <v>81</v>
      </c>
      <c r="B74" s="22">
        <v>-3138.0369999999998</v>
      </c>
      <c r="C74" s="22">
        <v>-3839.0118200000002</v>
      </c>
      <c r="D74" s="22">
        <f>IF(OR(-3138.037="",-3839.01182="",-3138.037=0),"-",-3839.01182/-3138.037*100)</f>
        <v>122.33800366279941</v>
      </c>
    </row>
    <row r="75" spans="1:4" x14ac:dyDescent="0.25">
      <c r="A75" s="70" t="s">
        <v>83</v>
      </c>
      <c r="B75" s="52">
        <v>-2604.9291400000002</v>
      </c>
      <c r="C75" s="52">
        <v>-3755.3466800000001</v>
      </c>
      <c r="D75" s="22">
        <f>IF(OR(-2604.92914="",-3755.34668="",-2604.92914=0),"-",-3755.34668/-2604.92914*100)</f>
        <v>144.1631030316625</v>
      </c>
    </row>
    <row r="76" spans="1:4" x14ac:dyDescent="0.25">
      <c r="A76" s="47" t="s">
        <v>59</v>
      </c>
      <c r="B76" s="22">
        <v>-8575.9029800000008</v>
      </c>
      <c r="C76" s="22">
        <v>-3284.7441199999998</v>
      </c>
      <c r="D76" s="22">
        <f>IF(OR(-8575.90298="",-3284.74412="",-8575.90298=0),"-",-3284.74412/-8575.90298*100)</f>
        <v>38.302020529621238</v>
      </c>
    </row>
    <row r="77" spans="1:4" x14ac:dyDescent="0.25">
      <c r="A77" s="47" t="s">
        <v>323</v>
      </c>
      <c r="B77" s="22">
        <v>-2396.55807</v>
      </c>
      <c r="C77" s="22">
        <v>-3054.7029200000002</v>
      </c>
      <c r="D77" s="22">
        <f>IF(OR(-2396.55807="",-3054.70292="",-2396.55807=0),"-",-3054.70292/-2396.55807*100)</f>
        <v>127.46208649139889</v>
      </c>
    </row>
    <row r="78" spans="1:4" x14ac:dyDescent="0.25">
      <c r="A78" s="47" t="s">
        <v>55</v>
      </c>
      <c r="B78" s="22">
        <v>-10073.998729999999</v>
      </c>
      <c r="C78" s="22">
        <v>-3034.1172499999998</v>
      </c>
      <c r="D78" s="22">
        <f>IF(OR(-10073.99873="",-3034.11725="",-10073.99873=0),"-",-3034.11725/-10073.99873*100)</f>
        <v>30.118300898376233</v>
      </c>
    </row>
    <row r="79" spans="1:4" x14ac:dyDescent="0.25">
      <c r="A79" s="47" t="s">
        <v>66</v>
      </c>
      <c r="B79" s="22">
        <v>48130.829579999998</v>
      </c>
      <c r="C79" s="22">
        <v>-2904.4414099999999</v>
      </c>
      <c r="D79" s="22" t="s">
        <v>354</v>
      </c>
    </row>
    <row r="80" spans="1:4" x14ac:dyDescent="0.25">
      <c r="A80" s="47" t="s">
        <v>58</v>
      </c>
      <c r="B80" s="22">
        <v>-1375.7371000000001</v>
      </c>
      <c r="C80" s="22">
        <v>-2746.4763499999999</v>
      </c>
      <c r="D80" s="22" t="s">
        <v>348</v>
      </c>
    </row>
    <row r="81" spans="1:4" x14ac:dyDescent="0.25">
      <c r="A81" s="47" t="s">
        <v>88</v>
      </c>
      <c r="B81" s="22">
        <v>-2198.1797200000001</v>
      </c>
      <c r="C81" s="22">
        <v>-2583.4701300000002</v>
      </c>
      <c r="D81" s="22">
        <f>IF(OR(-2198.17972="",-2583.47013="",-2198.17972=0),"-",-2583.47013/-2198.17972*100)</f>
        <v>117.52770287590496</v>
      </c>
    </row>
    <row r="82" spans="1:4" x14ac:dyDescent="0.25">
      <c r="A82" s="47" t="s">
        <v>82</v>
      </c>
      <c r="B82" s="22">
        <v>-1898.0537200000001</v>
      </c>
      <c r="C82" s="22">
        <v>-2315.6483800000001</v>
      </c>
      <c r="D82" s="22">
        <f>IF(OR(-1898.05372="",-2315.64838="",-1898.05372=0),"-",-2315.64838/-1898.05372*100)</f>
        <v>122.00120342220873</v>
      </c>
    </row>
    <row r="83" spans="1:4" x14ac:dyDescent="0.25">
      <c r="A83" s="47" t="s">
        <v>117</v>
      </c>
      <c r="B83" s="22">
        <v>-1529.2318299999999</v>
      </c>
      <c r="C83" s="22">
        <v>-2166.8260100000002</v>
      </c>
      <c r="D83" s="22">
        <f>IF(OR(-1529.23183="",-2166.82601="",-1529.23183=0),"-",-2166.82601/-1529.23183*100)</f>
        <v>141.69375548506602</v>
      </c>
    </row>
    <row r="84" spans="1:4" x14ac:dyDescent="0.25">
      <c r="A84" s="47" t="s">
        <v>80</v>
      </c>
      <c r="B84" s="22">
        <v>-2218.4937</v>
      </c>
      <c r="C84" s="22">
        <v>-2113.5539100000001</v>
      </c>
      <c r="D84" s="22">
        <f>IF(OR(-2218.4937="",-2113.55391="",-2218.4937=0),"-",-2113.55391/-2218.4937*100)</f>
        <v>95.269772909429491</v>
      </c>
    </row>
    <row r="85" spans="1:4" x14ac:dyDescent="0.25">
      <c r="A85" s="47" t="s">
        <v>61</v>
      </c>
      <c r="B85" s="22">
        <v>1834.4697000000001</v>
      </c>
      <c r="C85" s="22">
        <v>-1690.60205</v>
      </c>
      <c r="D85" s="22" t="s">
        <v>354</v>
      </c>
    </row>
    <row r="86" spans="1:4" x14ac:dyDescent="0.25">
      <c r="A86" s="47" t="s">
        <v>268</v>
      </c>
      <c r="B86" s="22">
        <v>-1375.9865</v>
      </c>
      <c r="C86" s="22">
        <v>-1525.1015600000001</v>
      </c>
      <c r="D86" s="22">
        <f>IF(OR(-1375.9865="",-1525.10156="",-1375.9865=0),"-",-1525.10156/-1375.9865*100)</f>
        <v>110.83695661258307</v>
      </c>
    </row>
    <row r="87" spans="1:4" x14ac:dyDescent="0.25">
      <c r="A87" s="47" t="s">
        <v>92</v>
      </c>
      <c r="B87" s="22">
        <v>162.06191999999999</v>
      </c>
      <c r="C87" s="22">
        <v>-1165.41166</v>
      </c>
      <c r="D87" s="22" t="s">
        <v>354</v>
      </c>
    </row>
    <row r="88" spans="1:4" x14ac:dyDescent="0.25">
      <c r="A88" s="47" t="s">
        <v>86</v>
      </c>
      <c r="B88" s="22">
        <v>-622.82600000000002</v>
      </c>
      <c r="C88" s="22">
        <v>-1001.4921000000001</v>
      </c>
      <c r="D88" s="22" t="s">
        <v>351</v>
      </c>
    </row>
    <row r="89" spans="1:4" x14ac:dyDescent="0.25">
      <c r="A89" s="47" t="s">
        <v>84</v>
      </c>
      <c r="B89" s="22">
        <v>-1448.4540099999999</v>
      </c>
      <c r="C89" s="22">
        <v>-902.22173999999995</v>
      </c>
      <c r="D89" s="22">
        <f>IF(OR(-1448.45401="",-902.22174="",-1448.45401=0),"-",-902.22174/-1448.45401*100)</f>
        <v>62.288601071980189</v>
      </c>
    </row>
    <row r="90" spans="1:4" x14ac:dyDescent="0.25">
      <c r="A90" s="47" t="s">
        <v>307</v>
      </c>
      <c r="B90" s="22">
        <v>-277.87817999999999</v>
      </c>
      <c r="C90" s="22">
        <v>-897.47454000000005</v>
      </c>
      <c r="D90" s="22" t="s">
        <v>347</v>
      </c>
    </row>
    <row r="91" spans="1:4" x14ac:dyDescent="0.25">
      <c r="A91" s="47" t="s">
        <v>320</v>
      </c>
      <c r="B91" s="52">
        <v>-1367.3751999999999</v>
      </c>
      <c r="C91" s="22">
        <v>-780.26273000000003</v>
      </c>
      <c r="D91" s="22">
        <f>IF(OR(-1367.3752="",-780.26273="",-1367.3752=0),"-",-780.26273/-1367.3752*100)</f>
        <v>57.062811289834713</v>
      </c>
    </row>
    <row r="92" spans="1:4" x14ac:dyDescent="0.25">
      <c r="A92" s="47" t="s">
        <v>89</v>
      </c>
      <c r="B92" s="22">
        <v>-292.14263999999997</v>
      </c>
      <c r="C92" s="22">
        <v>-742.03587000000005</v>
      </c>
      <c r="D92" s="22" t="s">
        <v>335</v>
      </c>
    </row>
    <row r="93" spans="1:4" x14ac:dyDescent="0.25">
      <c r="A93" s="47" t="s">
        <v>389</v>
      </c>
      <c r="B93" s="22">
        <v>4063.0072599999999</v>
      </c>
      <c r="C93" s="22">
        <v>-708.17918999999995</v>
      </c>
      <c r="D93" s="22" t="s">
        <v>354</v>
      </c>
    </row>
    <row r="94" spans="1:4" x14ac:dyDescent="0.25">
      <c r="A94" s="47" t="s">
        <v>32</v>
      </c>
      <c r="B94" s="22">
        <v>-2956.0899399999998</v>
      </c>
      <c r="C94" s="22">
        <v>-585.87999000000002</v>
      </c>
      <c r="D94" s="22">
        <f>IF(OR(-2956.08994="",-585.87999="",-2956.08994=0),"-",-585.87999/-2956.08994*100)</f>
        <v>19.819423694530759</v>
      </c>
    </row>
    <row r="95" spans="1:4" x14ac:dyDescent="0.25">
      <c r="A95" s="47" t="s">
        <v>107</v>
      </c>
      <c r="B95" s="22">
        <v>64.581190000000007</v>
      </c>
      <c r="C95" s="22">
        <v>-565.97758999999996</v>
      </c>
      <c r="D95" s="22" t="s">
        <v>354</v>
      </c>
    </row>
    <row r="96" spans="1:4" x14ac:dyDescent="0.25">
      <c r="A96" s="47" t="s">
        <v>103</v>
      </c>
      <c r="B96" s="22">
        <v>-327.37524999999999</v>
      </c>
      <c r="C96" s="22">
        <v>-474.42851000000002</v>
      </c>
      <c r="D96" s="22">
        <f>IF(OR(-327.37525="",-474.42851="",-327.37525=0),"-",-474.42851/-327.37525*100)</f>
        <v>144.91886909593808</v>
      </c>
    </row>
    <row r="97" spans="1:4" x14ac:dyDescent="0.25">
      <c r="A97" s="47" t="s">
        <v>324</v>
      </c>
      <c r="B97" s="52">
        <v>141.65717000000001</v>
      </c>
      <c r="C97" s="22">
        <v>-462.63015999999999</v>
      </c>
      <c r="D97" s="22" t="s">
        <v>354</v>
      </c>
    </row>
    <row r="98" spans="1:4" x14ac:dyDescent="0.25">
      <c r="A98" s="47" t="s">
        <v>286</v>
      </c>
      <c r="B98" s="22">
        <v>-844.55745000000002</v>
      </c>
      <c r="C98" s="22">
        <v>-417.48163</v>
      </c>
      <c r="D98" s="22">
        <f>IF(OR(-844.55745="",-417.48163="",-844.55745=0),"-",-417.48163/-844.55745*100)</f>
        <v>49.431998971769175</v>
      </c>
    </row>
    <row r="99" spans="1:4" x14ac:dyDescent="0.25">
      <c r="A99" s="47" t="s">
        <v>79</v>
      </c>
      <c r="B99" s="52">
        <v>-1306.70461</v>
      </c>
      <c r="C99" s="22">
        <v>-397.47156999999999</v>
      </c>
      <c r="D99" s="22">
        <f>IF(OR(-1306.70461="",-397.47157="",-1306.70461=0),"-",-397.47157/-1306.70461*100)</f>
        <v>30.417859320171832</v>
      </c>
    </row>
    <row r="100" spans="1:4" x14ac:dyDescent="0.25">
      <c r="A100" s="47" t="s">
        <v>85</v>
      </c>
      <c r="B100" s="22">
        <v>-259.99194999999997</v>
      </c>
      <c r="C100" s="22">
        <v>-392.20976999999999</v>
      </c>
      <c r="D100" s="22">
        <f>IF(OR(-259.99195="",-392.20977="",-259.99195=0),"-",-392.20977/-259.99195*100)</f>
        <v>150.85458222841132</v>
      </c>
    </row>
    <row r="101" spans="1:4" x14ac:dyDescent="0.25">
      <c r="A101" s="47" t="s">
        <v>31</v>
      </c>
      <c r="B101" s="22">
        <v>-68.671620000000004</v>
      </c>
      <c r="C101" s="22">
        <v>-364.39818000000002</v>
      </c>
      <c r="D101" s="22" t="s">
        <v>393</v>
      </c>
    </row>
    <row r="102" spans="1:4" x14ac:dyDescent="0.25">
      <c r="A102" s="47" t="s">
        <v>273</v>
      </c>
      <c r="B102" s="22">
        <v>-53.733550000000001</v>
      </c>
      <c r="C102" s="22">
        <v>-345.03449999999998</v>
      </c>
      <c r="D102" s="22" t="s">
        <v>394</v>
      </c>
    </row>
    <row r="103" spans="1:4" x14ac:dyDescent="0.25">
      <c r="A103" s="70" t="s">
        <v>108</v>
      </c>
      <c r="B103" s="52">
        <v>-326.32181000000003</v>
      </c>
      <c r="C103" s="52">
        <v>-334.46364</v>
      </c>
      <c r="D103" s="22">
        <f>IF(OR(-326.32181="",-334.46364="",-326.32181=0),"-",-334.46364/-326.32181*100)</f>
        <v>102.49503090216372</v>
      </c>
    </row>
    <row r="104" spans="1:4" x14ac:dyDescent="0.25">
      <c r="A104" s="70" t="s">
        <v>331</v>
      </c>
      <c r="B104" s="52">
        <v>-5.41791</v>
      </c>
      <c r="C104" s="52">
        <v>-280.44184999999999</v>
      </c>
      <c r="D104" s="22" t="s">
        <v>395</v>
      </c>
    </row>
    <row r="105" spans="1:4" x14ac:dyDescent="0.25">
      <c r="A105" s="47" t="s">
        <v>93</v>
      </c>
      <c r="B105" s="22">
        <v>-89.171180000000007</v>
      </c>
      <c r="C105" s="22">
        <v>-279.37704000000002</v>
      </c>
      <c r="D105" s="22" t="s">
        <v>342</v>
      </c>
    </row>
    <row r="106" spans="1:4" x14ac:dyDescent="0.25">
      <c r="A106" s="47" t="s">
        <v>289</v>
      </c>
      <c r="B106" s="22">
        <v>-161.12370000000001</v>
      </c>
      <c r="C106" s="22">
        <v>-240.39931000000001</v>
      </c>
      <c r="D106" s="22">
        <f>IF(OR(-161.1237="",-240.39931="",-161.1237=0),"-",-240.39931/-161.1237*100)</f>
        <v>149.20170651493231</v>
      </c>
    </row>
    <row r="107" spans="1:4" x14ac:dyDescent="0.25">
      <c r="A107" s="70" t="s">
        <v>294</v>
      </c>
      <c r="B107" s="52">
        <v>-167.27104</v>
      </c>
      <c r="C107" s="52">
        <v>-239.62388999999999</v>
      </c>
      <c r="D107" s="22">
        <f>IF(OR(-167.27104="",-239.62389="",-167.27104=0),"-",-239.62389/-167.27104*100)</f>
        <v>143.2548575055192</v>
      </c>
    </row>
    <row r="108" spans="1:4" x14ac:dyDescent="0.25">
      <c r="A108" s="47" t="s">
        <v>295</v>
      </c>
      <c r="B108" s="22">
        <v>-183.74848</v>
      </c>
      <c r="C108" s="22">
        <v>-221.15532999999999</v>
      </c>
      <c r="D108" s="22">
        <f>IF(OR(-183.74848="",-221.15533="",-183.74848=0),"-",-221.15533/-183.74848*100)</f>
        <v>120.35763778835069</v>
      </c>
    </row>
    <row r="109" spans="1:4" x14ac:dyDescent="0.25">
      <c r="A109" s="47" t="s">
        <v>91</v>
      </c>
      <c r="B109" s="22">
        <v>-912.45669999999996</v>
      </c>
      <c r="C109" s="22">
        <v>-212.9914</v>
      </c>
      <c r="D109" s="22">
        <f>IF(OR(-912.4567="",-212.9914="",-912.4567=0),"-",-212.9914/-912.4567*100)</f>
        <v>23.342630943473811</v>
      </c>
    </row>
    <row r="110" spans="1:4" x14ac:dyDescent="0.25">
      <c r="A110" s="47" t="s">
        <v>109</v>
      </c>
      <c r="B110" s="22">
        <v>46.60275</v>
      </c>
      <c r="C110" s="22">
        <v>-169.93253000000001</v>
      </c>
      <c r="D110" s="22" t="s">
        <v>354</v>
      </c>
    </row>
    <row r="111" spans="1:4" x14ac:dyDescent="0.25">
      <c r="A111" s="47" t="s">
        <v>180</v>
      </c>
      <c r="B111" s="22">
        <v>285.90143999999998</v>
      </c>
      <c r="C111" s="22">
        <v>-166.07434000000001</v>
      </c>
      <c r="D111" s="22" t="s">
        <v>354</v>
      </c>
    </row>
    <row r="112" spans="1:4" x14ac:dyDescent="0.25">
      <c r="A112" s="47" t="s">
        <v>287</v>
      </c>
      <c r="B112" s="22">
        <v>-2.48489</v>
      </c>
      <c r="C112" s="22">
        <v>-138.68710999999999</v>
      </c>
      <c r="D112" s="22" t="s">
        <v>387</v>
      </c>
    </row>
    <row r="113" spans="1:4" x14ac:dyDescent="0.25">
      <c r="A113" s="47" t="s">
        <v>296</v>
      </c>
      <c r="B113" s="22">
        <v>-232.72479999999999</v>
      </c>
      <c r="C113" s="22">
        <v>-134.13740000000001</v>
      </c>
      <c r="D113" s="22">
        <f>IF(OR(-232.7248="",-134.1374="",-232.7248=0),"-",-134.1374/-232.7248*100)</f>
        <v>57.637776463874935</v>
      </c>
    </row>
    <row r="114" spans="1:4" x14ac:dyDescent="0.25">
      <c r="A114" s="47" t="s">
        <v>261</v>
      </c>
      <c r="B114" s="22">
        <v>-76.901039999999995</v>
      </c>
      <c r="C114" s="22">
        <v>-119.92041</v>
      </c>
      <c r="D114" s="22">
        <f>IF(OR(-76.90104="",-119.92041="",-76.90104=0),"-",-119.92041/-76.90104*100)</f>
        <v>155.94120703699195</v>
      </c>
    </row>
    <row r="115" spans="1:4" x14ac:dyDescent="0.25">
      <c r="A115" s="47" t="s">
        <v>304</v>
      </c>
      <c r="B115" s="22">
        <v>122.52189</v>
      </c>
      <c r="C115" s="22">
        <v>-111.08269</v>
      </c>
      <c r="D115" s="22" t="s">
        <v>354</v>
      </c>
    </row>
    <row r="116" spans="1:4" x14ac:dyDescent="0.25">
      <c r="A116" s="47" t="s">
        <v>288</v>
      </c>
      <c r="B116" s="22">
        <v>-24.181999999999999</v>
      </c>
      <c r="C116" s="22">
        <v>-82.900700000000001</v>
      </c>
      <c r="D116" s="22" t="s">
        <v>352</v>
      </c>
    </row>
    <row r="117" spans="1:4" x14ac:dyDescent="0.25">
      <c r="A117" s="47" t="s">
        <v>325</v>
      </c>
      <c r="B117" s="22">
        <v>-63.970770000000002</v>
      </c>
      <c r="C117" s="22">
        <v>-82.887129999999999</v>
      </c>
      <c r="D117" s="22">
        <f>IF(OR(-63.97077="",-82.88713="",-63.97077=0),"-",-82.88713/-63.97077*100)</f>
        <v>129.57031781859121</v>
      </c>
    </row>
    <row r="118" spans="1:4" x14ac:dyDescent="0.25">
      <c r="A118" s="47" t="s">
        <v>293</v>
      </c>
      <c r="B118" s="22">
        <v>-55.815750000000001</v>
      </c>
      <c r="C118" s="22">
        <v>-82.438310000000001</v>
      </c>
      <c r="D118" s="22">
        <f>IF(OR(-55.81575="",-82.43831="",-55.81575=0),"-",-82.43831/-55.81575*100)</f>
        <v>147.6972180791264</v>
      </c>
    </row>
    <row r="119" spans="1:4" x14ac:dyDescent="0.25">
      <c r="A119" s="47" t="s">
        <v>378</v>
      </c>
      <c r="B119" s="22">
        <v>-1.1934499999999999</v>
      </c>
      <c r="C119" s="22">
        <v>-81.615830000000003</v>
      </c>
      <c r="D119" s="22" t="s">
        <v>388</v>
      </c>
    </row>
    <row r="120" spans="1:4" x14ac:dyDescent="0.25">
      <c r="A120" s="47" t="s">
        <v>297</v>
      </c>
      <c r="B120" s="22">
        <v>-106.92697</v>
      </c>
      <c r="C120" s="22">
        <v>-79.907309999999995</v>
      </c>
      <c r="D120" s="22">
        <f>IF(OR(-106.92697="",-79.90731="",-106.92697=0),"-",-79.90731/-106.92697*100)</f>
        <v>74.73073444426602</v>
      </c>
    </row>
    <row r="121" spans="1:4" x14ac:dyDescent="0.25">
      <c r="A121" s="47" t="s">
        <v>303</v>
      </c>
      <c r="B121" s="22">
        <v>-33.920470000000002</v>
      </c>
      <c r="C121" s="22">
        <v>-68.90258</v>
      </c>
      <c r="D121" s="22" t="s">
        <v>348</v>
      </c>
    </row>
    <row r="122" spans="1:4" x14ac:dyDescent="0.25">
      <c r="A122" s="47" t="s">
        <v>298</v>
      </c>
      <c r="B122" s="22">
        <v>-49.733469999999997</v>
      </c>
      <c r="C122" s="22">
        <v>-63.498739999999998</v>
      </c>
      <c r="D122" s="22">
        <f>IF(OR(-49.73347="",-63.49874="",-49.73347=0),"-",-63.49874/-49.73347*100)</f>
        <v>127.67808077739198</v>
      </c>
    </row>
    <row r="123" spans="1:4" x14ac:dyDescent="0.25">
      <c r="A123" s="70" t="s">
        <v>327</v>
      </c>
      <c r="B123" s="52">
        <v>-88.406329999999997</v>
      </c>
      <c r="C123" s="52">
        <v>-62.427610000000001</v>
      </c>
      <c r="D123" s="22">
        <f>IF(OR(-88.40633="",-62.42761="",-88.40633=0),"-",-62.42761/-88.40633*100)</f>
        <v>70.614411886569656</v>
      </c>
    </row>
    <row r="124" spans="1:4" x14ac:dyDescent="0.25">
      <c r="A124" s="47" t="s">
        <v>326</v>
      </c>
      <c r="B124" s="22">
        <v>-29.52693</v>
      </c>
      <c r="C124" s="22">
        <v>-61.726300000000002</v>
      </c>
      <c r="D124" s="22" t="s">
        <v>339</v>
      </c>
    </row>
    <row r="125" spans="1:4" x14ac:dyDescent="0.25">
      <c r="A125" s="47" t="s">
        <v>285</v>
      </c>
      <c r="B125" s="22">
        <v>-175.30394999999999</v>
      </c>
      <c r="C125" s="22">
        <v>50.252049999999997</v>
      </c>
      <c r="D125" s="22" t="s">
        <v>354</v>
      </c>
    </row>
    <row r="126" spans="1:4" x14ac:dyDescent="0.25">
      <c r="A126" s="47" t="s">
        <v>274</v>
      </c>
      <c r="B126" s="22">
        <v>268.12412999999998</v>
      </c>
      <c r="C126" s="22">
        <v>79.734989999999996</v>
      </c>
      <c r="D126" s="22">
        <f>IF(OR(268.12413="",79.73499="",268.12413=0),"-",79.73499/268.12413*100)</f>
        <v>29.738088101208941</v>
      </c>
    </row>
    <row r="127" spans="1:4" x14ac:dyDescent="0.25">
      <c r="A127" s="47" t="s">
        <v>367</v>
      </c>
      <c r="B127" s="22">
        <v>36.9</v>
      </c>
      <c r="C127" s="22">
        <v>85.157790000000006</v>
      </c>
      <c r="D127" s="22" t="s">
        <v>337</v>
      </c>
    </row>
    <row r="128" spans="1:4" x14ac:dyDescent="0.25">
      <c r="A128" s="47" t="s">
        <v>283</v>
      </c>
      <c r="B128" s="22">
        <v>107.67785000000001</v>
      </c>
      <c r="C128" s="22">
        <v>96.08672</v>
      </c>
      <c r="D128" s="22">
        <f>IF(OR(107.67785="",96.08672="",107.67785=0),"-",96.08672/107.67785*100)</f>
        <v>89.235362704585938</v>
      </c>
    </row>
    <row r="129" spans="1:5" x14ac:dyDescent="0.25">
      <c r="A129" s="47" t="s">
        <v>292</v>
      </c>
      <c r="B129" s="22">
        <v>141.27511000000001</v>
      </c>
      <c r="C129" s="22">
        <v>101.27275</v>
      </c>
      <c r="D129" s="22">
        <f>IF(OR(141.27511="",101.27275="",141.27511=0),"-",101.27275/141.27511*100)</f>
        <v>71.684778727123273</v>
      </c>
    </row>
    <row r="130" spans="1:5" x14ac:dyDescent="0.25">
      <c r="A130" s="47" t="s">
        <v>322</v>
      </c>
      <c r="B130" s="22" t="str">
        <f>IF(OR(0="",112.26016="",0=0),"-",112.26016/0*100)</f>
        <v>-</v>
      </c>
      <c r="C130" s="22">
        <v>112.26016</v>
      </c>
      <c r="D130" s="22" t="str">
        <f>IF(OR(0="",112.26016="",0=0),"-",112.26016/0*100)</f>
        <v>-</v>
      </c>
    </row>
    <row r="131" spans="1:5" x14ac:dyDescent="0.25">
      <c r="A131" s="47" t="s">
        <v>301</v>
      </c>
      <c r="B131" s="52">
        <v>0.16306999999999999</v>
      </c>
      <c r="C131" s="22">
        <v>134.18261999999999</v>
      </c>
      <c r="D131" s="22" t="s">
        <v>396</v>
      </c>
    </row>
    <row r="132" spans="1:5" x14ac:dyDescent="0.25">
      <c r="A132" s="47" t="s">
        <v>300</v>
      </c>
      <c r="B132" s="22">
        <v>-0.9</v>
      </c>
      <c r="C132" s="22">
        <v>162.27208999999999</v>
      </c>
      <c r="D132" s="22" t="s">
        <v>354</v>
      </c>
    </row>
    <row r="133" spans="1:5" x14ac:dyDescent="0.25">
      <c r="A133" s="70" t="s">
        <v>291</v>
      </c>
      <c r="B133" s="52">
        <v>42.291490000000003</v>
      </c>
      <c r="C133" s="52">
        <v>164.60524000000001</v>
      </c>
      <c r="D133" s="22" t="s">
        <v>349</v>
      </c>
    </row>
    <row r="134" spans="1:5" x14ac:dyDescent="0.25">
      <c r="A134" s="47" t="s">
        <v>104</v>
      </c>
      <c r="B134" s="22">
        <v>349.86164000000002</v>
      </c>
      <c r="C134" s="22">
        <v>170.56702000000001</v>
      </c>
      <c r="D134" s="22">
        <f>IF(OR(349.86164="",170.56702="",349.86164=0),"-",170.56702/349.86164*100)</f>
        <v>48.752706927229859</v>
      </c>
    </row>
    <row r="135" spans="1:5" x14ac:dyDescent="0.25">
      <c r="A135" s="47" t="s">
        <v>278</v>
      </c>
      <c r="B135" s="22" t="str">
        <f>IF(OR(0="",112.26016="",0=0),"-",112.26016/0*100)</f>
        <v>-</v>
      </c>
      <c r="C135" s="22">
        <v>175.10164</v>
      </c>
      <c r="D135" s="22" t="str">
        <f>IF(OR(0="",175.10164="",0=0),"-",175.10164/0*100)</f>
        <v>-</v>
      </c>
    </row>
    <row r="136" spans="1:5" x14ac:dyDescent="0.25">
      <c r="A136" s="70" t="s">
        <v>299</v>
      </c>
      <c r="B136" s="52">
        <v>176.90536</v>
      </c>
      <c r="C136" s="52">
        <v>215.64302000000001</v>
      </c>
      <c r="D136" s="22">
        <f>IF(OR(176.90536="",215.64302="",176.90536=0),"-",215.64302/176.90536*100)</f>
        <v>121.89739191622007</v>
      </c>
      <c r="E136" s="8"/>
    </row>
    <row r="137" spans="1:5" x14ac:dyDescent="0.25">
      <c r="A137" s="70" t="s">
        <v>284</v>
      </c>
      <c r="B137" s="52">
        <v>119.80619</v>
      </c>
      <c r="C137" s="52">
        <v>228.19139999999999</v>
      </c>
      <c r="D137" s="22" t="s">
        <v>334</v>
      </c>
    </row>
    <row r="138" spans="1:5" x14ac:dyDescent="0.25">
      <c r="A138" s="70" t="s">
        <v>275</v>
      </c>
      <c r="B138" s="52">
        <v>263.33305000000001</v>
      </c>
      <c r="C138" s="52">
        <v>280.79307999999997</v>
      </c>
      <c r="D138" s="22">
        <f>IF(OR(263.33305="",280.79308="",263.33305=0),"-",280.79308/263.33305*100)</f>
        <v>106.63039827321332</v>
      </c>
    </row>
    <row r="139" spans="1:5" x14ac:dyDescent="0.25">
      <c r="A139" s="47" t="s">
        <v>280</v>
      </c>
      <c r="B139" s="22">
        <v>2.2654399999999999</v>
      </c>
      <c r="C139" s="22">
        <v>396.33472999999998</v>
      </c>
      <c r="D139" s="22" t="s">
        <v>397</v>
      </c>
    </row>
    <row r="140" spans="1:5" x14ac:dyDescent="0.25">
      <c r="A140" s="47" t="s">
        <v>269</v>
      </c>
      <c r="B140" s="22">
        <v>941.22469999999998</v>
      </c>
      <c r="C140" s="22">
        <v>515.10580000000004</v>
      </c>
      <c r="D140" s="22">
        <f>IF(OR(941.2247="",515.1058="",941.2247=0),"-",515.1058/941.2247*100)</f>
        <v>54.72718682372021</v>
      </c>
    </row>
    <row r="141" spans="1:5" x14ac:dyDescent="0.25">
      <c r="A141" s="47" t="s">
        <v>111</v>
      </c>
      <c r="B141" s="22">
        <v>731.23617999999999</v>
      </c>
      <c r="C141" s="22">
        <v>515.92780000000005</v>
      </c>
      <c r="D141" s="22">
        <f>IF(OR(731.23618="",515.9278="",731.23618=0),"-",515.9278/731.23618*100)</f>
        <v>70.555562499656403</v>
      </c>
    </row>
    <row r="142" spans="1:5" x14ac:dyDescent="0.25">
      <c r="A142" s="47" t="s">
        <v>321</v>
      </c>
      <c r="B142" s="22">
        <v>-2.7820200000000002</v>
      </c>
      <c r="C142" s="22">
        <v>669.77376000000004</v>
      </c>
      <c r="D142" s="22" t="s">
        <v>354</v>
      </c>
    </row>
    <row r="143" spans="1:5" x14ac:dyDescent="0.25">
      <c r="A143" s="47" t="s">
        <v>116</v>
      </c>
      <c r="B143" s="22">
        <v>487.15267</v>
      </c>
      <c r="C143" s="22">
        <v>677.54165</v>
      </c>
      <c r="D143" s="22">
        <f>IF(OR(487.15267="",677.54165="",487.15267=0),"-",677.54165/487.15267*100)</f>
        <v>139.0819945624028</v>
      </c>
    </row>
    <row r="144" spans="1:5" x14ac:dyDescent="0.25">
      <c r="A144" s="47" t="s">
        <v>118</v>
      </c>
      <c r="B144" s="22">
        <v>1093.3958</v>
      </c>
      <c r="C144" s="22">
        <v>946.95079999999996</v>
      </c>
      <c r="D144" s="22">
        <f>IF(OR(1093.3958="",946.9508="",1093.3958=0),"-",946.9508/1093.3958*100)</f>
        <v>86.606405475492039</v>
      </c>
    </row>
    <row r="145" spans="1:8" x14ac:dyDescent="0.25">
      <c r="A145" s="47" t="s">
        <v>70</v>
      </c>
      <c r="B145" s="22">
        <v>1782.5135299999999</v>
      </c>
      <c r="C145" s="22">
        <v>1106.15319</v>
      </c>
      <c r="D145" s="22">
        <f>IF(OR(1782.51353="",1106.15319="",1782.51353=0),"-",1106.15319/1782.51353*100)</f>
        <v>62.055808911587896</v>
      </c>
    </row>
    <row r="146" spans="1:8" x14ac:dyDescent="0.25">
      <c r="A146" s="47" t="s">
        <v>87</v>
      </c>
      <c r="B146" s="22">
        <v>1374.41848</v>
      </c>
      <c r="C146" s="22">
        <v>1247.79456</v>
      </c>
      <c r="D146" s="22">
        <f>IF(OR(1374.41848="",1247.79456="",1374.41848=0),"-",1247.79456/1374.41848*100)</f>
        <v>90.787091279506086</v>
      </c>
    </row>
    <row r="147" spans="1:8" x14ac:dyDescent="0.25">
      <c r="A147" s="47" t="s">
        <v>290</v>
      </c>
      <c r="B147" s="22">
        <v>84.655280000000005</v>
      </c>
      <c r="C147" s="22">
        <v>1782.94677</v>
      </c>
      <c r="D147" s="22" t="s">
        <v>373</v>
      </c>
    </row>
    <row r="148" spans="1:8" x14ac:dyDescent="0.25">
      <c r="A148" s="70" t="s">
        <v>279</v>
      </c>
      <c r="B148" s="52">
        <v>-31.599920000000001</v>
      </c>
      <c r="C148" s="52">
        <v>3233.9341100000001</v>
      </c>
      <c r="D148" s="22" t="s">
        <v>354</v>
      </c>
    </row>
    <row r="149" spans="1:8" x14ac:dyDescent="0.25">
      <c r="A149" s="47" t="s">
        <v>51</v>
      </c>
      <c r="B149" s="22">
        <v>15861.85627</v>
      </c>
      <c r="C149" s="22">
        <v>4147.8378700000003</v>
      </c>
      <c r="D149" s="22">
        <f>IF(OR(15861.85627="",4147.83787="",15861.85627=0),"-",4147.83787/15861.85627*100)</f>
        <v>26.149763302577195</v>
      </c>
    </row>
    <row r="150" spans="1:8" x14ac:dyDescent="0.25">
      <c r="A150" s="47" t="s">
        <v>62</v>
      </c>
      <c r="B150" s="22">
        <v>3376.2797700000001</v>
      </c>
      <c r="C150" s="22">
        <v>4734.1650499999996</v>
      </c>
      <c r="D150" s="22">
        <f>IF(OR(3376.27977="",4734.16505="",3376.27977=0),"-",4734.16505/3376.27977*100)</f>
        <v>140.21838747089373</v>
      </c>
    </row>
    <row r="151" spans="1:8" x14ac:dyDescent="0.25">
      <c r="A151" s="47" t="s">
        <v>57</v>
      </c>
      <c r="B151" s="22">
        <v>742.04916000000003</v>
      </c>
      <c r="C151" s="22">
        <v>5056.2558099999997</v>
      </c>
      <c r="D151" s="22" t="s">
        <v>398</v>
      </c>
    </row>
    <row r="152" spans="1:8" s="19" customFormat="1" ht="15" customHeight="1" x14ac:dyDescent="0.2">
      <c r="A152" s="47" t="s">
        <v>52</v>
      </c>
      <c r="B152" s="22">
        <v>11654.576139999999</v>
      </c>
      <c r="C152" s="22">
        <v>5960.6495699999996</v>
      </c>
      <c r="D152" s="22">
        <f>IF(OR(11654.57614="",5960.64957="",11654.57614=0),"-",5960.64957/11654.57614*100)</f>
        <v>51.144284428691378</v>
      </c>
      <c r="E152" s="10"/>
      <c r="F152" s="18"/>
      <c r="G152" s="18"/>
    </row>
    <row r="153" spans="1:8" x14ac:dyDescent="0.25">
      <c r="A153" s="49" t="s">
        <v>54</v>
      </c>
      <c r="B153" s="56">
        <v>15501.1288</v>
      </c>
      <c r="C153" s="56">
        <v>26389.936809999999</v>
      </c>
      <c r="D153" s="56" t="s">
        <v>333</v>
      </c>
    </row>
    <row r="154" spans="1:8" s="19" customFormat="1" ht="14.25" customHeight="1" x14ac:dyDescent="0.2">
      <c r="A154" s="9" t="s">
        <v>256</v>
      </c>
      <c r="B154" s="58"/>
      <c r="C154" s="58"/>
      <c r="D154" s="59"/>
      <c r="E154" s="10"/>
      <c r="F154" s="10"/>
      <c r="G154" s="18"/>
      <c r="H154" s="18"/>
    </row>
  </sheetData>
  <sortState xmlns:xlrd2="http://schemas.microsoft.com/office/spreadsheetml/2017/richdata2" ref="A48:E105">
    <sortCondition ref="C48:C105"/>
  </sortState>
  <mergeCells count="5">
    <mergeCell ref="A1:D1"/>
    <mergeCell ref="A2:D2"/>
    <mergeCell ref="B3:C3"/>
    <mergeCell ref="D3:D4"/>
    <mergeCell ref="A3:A4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0"/>
  <sheetViews>
    <sheetView workbookViewId="0">
      <selection sqref="A1:F1"/>
    </sheetView>
  </sheetViews>
  <sheetFormatPr defaultRowHeight="15.75" x14ac:dyDescent="0.25"/>
  <cols>
    <col min="1" max="1" width="24.625" style="24" customWidth="1"/>
    <col min="2" max="2" width="12" style="24" customWidth="1"/>
    <col min="3" max="3" width="11.75" style="24" customWidth="1"/>
    <col min="4" max="4" width="13.625" style="24" customWidth="1"/>
    <col min="5" max="5" width="10.5" style="24" customWidth="1"/>
    <col min="6" max="6" width="10" style="24" customWidth="1"/>
    <col min="7" max="10" width="9" style="24"/>
  </cols>
  <sheetData>
    <row r="1" spans="1:10" s="27" customFormat="1" ht="15" customHeight="1" x14ac:dyDescent="0.2">
      <c r="A1" s="86" t="s">
        <v>309</v>
      </c>
      <c r="B1" s="86"/>
      <c r="C1" s="86"/>
      <c r="D1" s="86"/>
      <c r="E1" s="86"/>
      <c r="F1" s="86"/>
      <c r="G1" s="26"/>
      <c r="H1" s="26"/>
      <c r="I1" s="26"/>
      <c r="J1" s="26"/>
    </row>
    <row r="2" spans="1:10" x14ac:dyDescent="0.25">
      <c r="A2" s="104"/>
      <c r="B2" s="104"/>
      <c r="C2" s="104"/>
      <c r="D2" s="104"/>
      <c r="E2" s="104"/>
      <c r="F2" s="104"/>
    </row>
    <row r="3" spans="1:10" ht="18.75" customHeight="1" x14ac:dyDescent="0.25">
      <c r="A3" s="87"/>
      <c r="B3" s="89" t="s">
        <v>358</v>
      </c>
      <c r="C3" s="96"/>
      <c r="D3" s="94" t="s">
        <v>366</v>
      </c>
      <c r="E3" s="89" t="s">
        <v>94</v>
      </c>
      <c r="F3" s="103"/>
    </row>
    <row r="4" spans="1:10" ht="44.25" customHeight="1" x14ac:dyDescent="0.25">
      <c r="A4" s="88"/>
      <c r="B4" s="13" t="s">
        <v>360</v>
      </c>
      <c r="C4" s="13" t="s">
        <v>361</v>
      </c>
      <c r="D4" s="95"/>
      <c r="E4" s="13" t="s">
        <v>360</v>
      </c>
      <c r="F4" s="12" t="s">
        <v>361</v>
      </c>
    </row>
    <row r="5" spans="1:10" s="27" customFormat="1" ht="15.75" customHeight="1" x14ac:dyDescent="0.2">
      <c r="A5" s="75" t="s">
        <v>110</v>
      </c>
      <c r="B5" s="77">
        <v>3629752.4388199998</v>
      </c>
      <c r="C5" s="77">
        <v>3358202.5108099999</v>
      </c>
      <c r="D5" s="66">
        <v>92.518775520176291</v>
      </c>
      <c r="E5" s="77">
        <v>100</v>
      </c>
      <c r="F5" s="77">
        <v>100</v>
      </c>
      <c r="G5" s="26"/>
      <c r="H5" s="26"/>
      <c r="I5" s="26"/>
      <c r="J5" s="26"/>
    </row>
    <row r="6" spans="1:10" ht="15.75" customHeight="1" x14ac:dyDescent="0.25">
      <c r="A6" s="20" t="s">
        <v>105</v>
      </c>
      <c r="B6" s="50"/>
      <c r="C6" s="52"/>
      <c r="D6" s="78"/>
      <c r="E6" s="21"/>
      <c r="F6" s="21"/>
    </row>
    <row r="7" spans="1:10" x14ac:dyDescent="0.25">
      <c r="A7" s="20" t="s">
        <v>95</v>
      </c>
      <c r="B7" s="50">
        <v>505073.45153999998</v>
      </c>
      <c r="C7" s="22">
        <v>449034.71714000002</v>
      </c>
      <c r="D7" s="68">
        <v>88.904834687086719</v>
      </c>
      <c r="E7" s="22">
        <f>IF(505073.45154="","-",505073.45154/3629752.43882*100)</f>
        <v>13.914818160551876</v>
      </c>
      <c r="F7" s="22">
        <f>IF(449034.71714="","-",449034.71714/3358202.51081*100)</f>
        <v>13.371281681035152</v>
      </c>
    </row>
    <row r="8" spans="1:10" x14ac:dyDescent="0.25">
      <c r="A8" s="20" t="s">
        <v>96</v>
      </c>
      <c r="B8" s="50">
        <v>300472.71564000001</v>
      </c>
      <c r="C8" s="22">
        <v>107052.72979</v>
      </c>
      <c r="D8" s="68">
        <v>35.62810339101177</v>
      </c>
      <c r="E8" s="22">
        <f>IF(300472.71564="","-",300472.71564/3629752.43882*100)</f>
        <v>8.2780498313455499</v>
      </c>
      <c r="F8" s="22">
        <f>IF(107052.72979="","-",107052.72979/3358202.51081*100)</f>
        <v>3.1877985155868052</v>
      </c>
    </row>
    <row r="9" spans="1:10" x14ac:dyDescent="0.25">
      <c r="A9" s="20" t="s">
        <v>97</v>
      </c>
      <c r="B9" s="50">
        <v>2770529.4465399999</v>
      </c>
      <c r="C9" s="22">
        <v>2725308.8325</v>
      </c>
      <c r="D9" s="68">
        <v>98.36779883005849</v>
      </c>
      <c r="E9" s="22">
        <f>IF(2770529.44654="","-",2770529.44654/3629752.43882*100)</f>
        <v>76.328330739841704</v>
      </c>
      <c r="F9" s="22">
        <f>IF(2725308.8325="","-",2725308.8325/3358202.51081*100)</f>
        <v>81.153796524398842</v>
      </c>
    </row>
    <row r="10" spans="1:10" x14ac:dyDescent="0.25">
      <c r="A10" s="20" t="s">
        <v>98</v>
      </c>
      <c r="B10" s="50">
        <v>34311.49755</v>
      </c>
      <c r="C10" s="22">
        <v>35150.483970000001</v>
      </c>
      <c r="D10" s="68">
        <v>102.44520490187699</v>
      </c>
      <c r="E10" s="22">
        <f>IF(34311.49755="","-",34311.49755/3629752.43882*100)</f>
        <v>0.94528478534900762</v>
      </c>
      <c r="F10" s="22">
        <f>IF(35150.48397="","-",35150.48397/3358202.51081*100)</f>
        <v>1.0467053090708842</v>
      </c>
    </row>
    <row r="11" spans="1:10" x14ac:dyDescent="0.25">
      <c r="A11" s="20" t="s">
        <v>99</v>
      </c>
      <c r="B11" s="50">
        <v>1097.0074999999999</v>
      </c>
      <c r="C11" s="22">
        <v>834.04445999999996</v>
      </c>
      <c r="D11" s="68">
        <v>76.029057230693496</v>
      </c>
      <c r="E11" s="22">
        <f>IF(1097.0075="","-",1097.0075/3629752.43882*100)</f>
        <v>3.0222653431335039E-2</v>
      </c>
      <c r="F11" s="22">
        <f>IF(834.04446="","-",834.04446/3358202.51081*100)</f>
        <v>2.483603824710464E-2</v>
      </c>
    </row>
    <row r="12" spans="1:10" x14ac:dyDescent="0.25">
      <c r="A12" s="20" t="s">
        <v>100</v>
      </c>
      <c r="B12" s="50">
        <v>18038.874670000001</v>
      </c>
      <c r="C12" s="22">
        <v>39493.985840000001</v>
      </c>
      <c r="D12" s="68" t="s">
        <v>345</v>
      </c>
      <c r="E12" s="22">
        <f>IF(18038.87467="","-",18038.87467/3629752.43882*100)</f>
        <v>0.49697258901392949</v>
      </c>
      <c r="F12" s="22">
        <f>IF(39493.98584="","-",39493.98584/3358202.51081*100)</f>
        <v>1.1760453907371426</v>
      </c>
    </row>
    <row r="13" spans="1:10" x14ac:dyDescent="0.25">
      <c r="A13" s="20" t="s">
        <v>101</v>
      </c>
      <c r="B13" s="50">
        <v>229.44538</v>
      </c>
      <c r="C13" s="22">
        <v>1327.71711</v>
      </c>
      <c r="D13" s="68" t="s">
        <v>399</v>
      </c>
      <c r="E13" s="22">
        <f>IF(229.44538="","-",229.44538/3629752.43882*100)</f>
        <v>6.3212404665975146E-3</v>
      </c>
      <c r="F13" s="22">
        <f>IF(1327.71711="","-",1327.71711/3358202.51081*100)</f>
        <v>3.9536540924083645E-2</v>
      </c>
    </row>
    <row r="14" spans="1:10" x14ac:dyDescent="0.25">
      <c r="A14" s="46" t="s">
        <v>177</v>
      </c>
      <c r="B14" s="51">
        <v>2148484.9184099999</v>
      </c>
      <c r="C14" s="21">
        <v>2173488.5705800001</v>
      </c>
      <c r="D14" s="67">
        <v>101.16378066961272</v>
      </c>
      <c r="E14" s="21">
        <f>IF(2148484.91841="","-",2148484.91841/3629752.43882*100)</f>
        <v>59.190949097025836</v>
      </c>
      <c r="F14" s="21">
        <f>IF(2173488.57058="","-",2173488.57058/3358202.51081*100)</f>
        <v>64.721783858584331</v>
      </c>
    </row>
    <row r="15" spans="1:10" x14ac:dyDescent="0.25">
      <c r="A15" s="20" t="s">
        <v>105</v>
      </c>
      <c r="B15" s="50"/>
      <c r="C15" s="21"/>
      <c r="D15" s="67"/>
      <c r="E15" s="21"/>
      <c r="F15" s="21"/>
    </row>
    <row r="16" spans="1:10" x14ac:dyDescent="0.25">
      <c r="A16" s="20" t="s">
        <v>95</v>
      </c>
      <c r="B16" s="50">
        <v>339125.86313999997</v>
      </c>
      <c r="C16" s="22">
        <v>348546.07413000002</v>
      </c>
      <c r="D16" s="68">
        <v>102.77779196867422</v>
      </c>
      <c r="E16" s="22">
        <f>IF(339125.86314="","-",339125.86314/3629752.43882*100)</f>
        <v>9.3429474559495524</v>
      </c>
      <c r="F16" s="22">
        <f>IF(348546.07413="","-",348546.07413/3358202.51081*100)</f>
        <v>10.378947457993846</v>
      </c>
    </row>
    <row r="17" spans="1:7" x14ac:dyDescent="0.25">
      <c r="A17" s="20" t="s">
        <v>96</v>
      </c>
      <c r="B17" s="50">
        <v>49105.063349999997</v>
      </c>
      <c r="C17" s="22">
        <v>54889.03226</v>
      </c>
      <c r="D17" s="68">
        <v>111.77876274952408</v>
      </c>
      <c r="E17" s="22">
        <f>IF(49105.06335="","-",49105.06335/3629752.43882*100)</f>
        <v>1.3528488286094689</v>
      </c>
      <c r="F17" s="22">
        <f>IF(54889.03226="","-",54889.03226/3358202.51081*100)</f>
        <v>1.6344765416413418</v>
      </c>
    </row>
    <row r="18" spans="1:7" x14ac:dyDescent="0.25">
      <c r="A18" s="20" t="s">
        <v>97</v>
      </c>
      <c r="B18" s="50">
        <v>1754438.5087600001</v>
      </c>
      <c r="C18" s="22">
        <v>1743243.0508600001</v>
      </c>
      <c r="D18" s="68">
        <v>99.361878011449207</v>
      </c>
      <c r="E18" s="22">
        <f>IF(1754438.50876="","-",1754438.50876/3629752.43882*100)</f>
        <v>48.334935738216693</v>
      </c>
      <c r="F18" s="22">
        <f>IF(1743243.05086="","-",1743243.05086/3358202.51081*100)</f>
        <v>51.910003796630157</v>
      </c>
    </row>
    <row r="19" spans="1:7" x14ac:dyDescent="0.25">
      <c r="A19" s="20" t="s">
        <v>98</v>
      </c>
      <c r="B19" s="50">
        <v>5230.9934499999999</v>
      </c>
      <c r="C19" s="22">
        <v>6475.8483800000004</v>
      </c>
      <c r="D19" s="68">
        <v>123.79767709324889</v>
      </c>
      <c r="E19" s="22">
        <f>IF(5230.99345="","-",5230.99345/3629752.43882*100)</f>
        <v>0.14411433116084768</v>
      </c>
      <c r="F19" s="22">
        <f>IF(6475.84838="","-",6475.84838/3358202.51081*100)</f>
        <v>0.1928367440365597</v>
      </c>
    </row>
    <row r="20" spans="1:7" x14ac:dyDescent="0.25">
      <c r="A20" s="20" t="s">
        <v>99</v>
      </c>
      <c r="B20" s="50">
        <v>488.47624000000002</v>
      </c>
      <c r="C20" s="22">
        <v>289.68542000000002</v>
      </c>
      <c r="D20" s="68">
        <v>59.303891628382985</v>
      </c>
      <c r="E20" s="22">
        <f>IF(488.47624="","-",488.47624/3629752.43882*100)</f>
        <v>1.3457563517990203E-2</v>
      </c>
      <c r="F20" s="22">
        <f>IF(289.68542="","-",289.68542/3358202.51081*100)</f>
        <v>8.6262046159368676E-3</v>
      </c>
    </row>
    <row r="21" spans="1:7" x14ac:dyDescent="0.25">
      <c r="A21" s="20" t="s">
        <v>100</v>
      </c>
      <c r="B21" s="50">
        <v>25.98704</v>
      </c>
      <c r="C21" s="22">
        <v>19900.77421</v>
      </c>
      <c r="D21" s="68" t="s">
        <v>400</v>
      </c>
      <c r="E21" s="22">
        <f>IF(25.98704="","-",25.98704/3629752.43882*100)</f>
        <v>7.159452452478593E-4</v>
      </c>
      <c r="F21" s="22">
        <f>IF(19900.77421="","-",19900.77421/3358202.51081*100)</f>
        <v>0.59260196923621267</v>
      </c>
    </row>
    <row r="22" spans="1:7" x14ac:dyDescent="0.25">
      <c r="A22" s="20" t="s">
        <v>101</v>
      </c>
      <c r="B22" s="50">
        <v>70.026430000000005</v>
      </c>
      <c r="C22" s="22">
        <v>144.10532000000001</v>
      </c>
      <c r="D22" s="68" t="s">
        <v>339</v>
      </c>
      <c r="E22" s="22">
        <f>IF(70.02643="","-",70.02643/3629752.43882*100)</f>
        <v>1.9292343260402898E-3</v>
      </c>
      <c r="F22" s="22">
        <f>IF(144.10532="","-",144.10532/3358202.51081*100)</f>
        <v>4.29114443027564E-3</v>
      </c>
    </row>
    <row r="23" spans="1:7" x14ac:dyDescent="0.25">
      <c r="A23" s="46" t="s">
        <v>178</v>
      </c>
      <c r="B23" s="51">
        <v>828075.66937999998</v>
      </c>
      <c r="C23" s="21">
        <v>778082.39656999998</v>
      </c>
      <c r="D23" s="67">
        <v>93.962716855643009</v>
      </c>
      <c r="E23" s="21">
        <f>IF(828075.66938="","-",828075.66938/3629752.43882*100)</f>
        <v>22.813557765642003</v>
      </c>
      <c r="F23" s="21">
        <f>IF(778082.39657="","-",778082.39657/3358202.51081*100)</f>
        <v>23.169609160417373</v>
      </c>
    </row>
    <row r="24" spans="1:7" x14ac:dyDescent="0.25">
      <c r="A24" s="20" t="s">
        <v>105</v>
      </c>
      <c r="B24" s="50"/>
      <c r="C24" s="21"/>
      <c r="D24" s="67"/>
      <c r="E24" s="21"/>
      <c r="F24" s="21"/>
    </row>
    <row r="25" spans="1:7" x14ac:dyDescent="0.25">
      <c r="A25" s="20" t="s">
        <v>95</v>
      </c>
      <c r="B25" s="50">
        <v>82.096980000000002</v>
      </c>
      <c r="C25" s="22">
        <v>7496.9248200000002</v>
      </c>
      <c r="D25" s="68" t="s">
        <v>355</v>
      </c>
      <c r="E25" s="22">
        <f>IF(82.09698="","-",82.09698/3629752.43882*100)</f>
        <v>2.2617790437159677E-3</v>
      </c>
      <c r="F25" s="22">
        <f>IF(7496.92482="","-",7496.92482/3358202.51081*100)</f>
        <v>0.22324218970915305</v>
      </c>
    </row>
    <row r="26" spans="1:7" x14ac:dyDescent="0.25">
      <c r="A26" s="20" t="s">
        <v>96</v>
      </c>
      <c r="B26" s="50">
        <v>151897.39960999999</v>
      </c>
      <c r="C26" s="22">
        <v>45569.966070000002</v>
      </c>
      <c r="D26" s="68">
        <v>30.000491244091027</v>
      </c>
      <c r="E26" s="22">
        <f>IF(151897.39961="","-",151897.39961/3629752.43882*100)</f>
        <v>4.1847867635672831</v>
      </c>
      <c r="F26" s="22">
        <f>IF(45569.96607="","-",45569.96607/3358202.51081*100)</f>
        <v>1.356974927012621</v>
      </c>
    </row>
    <row r="27" spans="1:7" x14ac:dyDescent="0.25">
      <c r="A27" s="20" t="s">
        <v>97</v>
      </c>
      <c r="B27" s="50">
        <v>649705.66078000003</v>
      </c>
      <c r="C27" s="22">
        <v>694239.14904000005</v>
      </c>
      <c r="D27" s="68">
        <v>106.85440976557533</v>
      </c>
      <c r="E27" s="22">
        <f>IF(649705.66078="","-",649705.66078/3629752.43882*100)</f>
        <v>17.899448288302921</v>
      </c>
      <c r="F27" s="22">
        <f>IF(694239.14904="","-",694239.14904/3358202.51081*100)</f>
        <v>20.672938776183251</v>
      </c>
      <c r="G27" s="25"/>
    </row>
    <row r="28" spans="1:7" x14ac:dyDescent="0.25">
      <c r="A28" s="20" t="s">
        <v>98</v>
      </c>
      <c r="B28" s="50">
        <v>8176.4327599999997</v>
      </c>
      <c r="C28" s="22">
        <v>10675.301090000001</v>
      </c>
      <c r="D28" s="68">
        <v>130.56184039358504</v>
      </c>
      <c r="E28" s="22">
        <f>IF(8176.43276="","-",8176.43276/3629752.43882*100)</f>
        <v>0.22526144407407811</v>
      </c>
      <c r="F28" s="22">
        <f>IF(10675.30109="","-",10675.30109/3358202.51081*100)</f>
        <v>0.31788735359575182</v>
      </c>
    </row>
    <row r="29" spans="1:7" x14ac:dyDescent="0.25">
      <c r="A29" s="20" t="s">
        <v>99</v>
      </c>
      <c r="B29" s="50">
        <v>61.072670000000002</v>
      </c>
      <c r="C29" s="22">
        <v>33.858260000000001</v>
      </c>
      <c r="D29" s="68">
        <v>55.439298789458526</v>
      </c>
      <c r="E29" s="22">
        <f>IF(61.07267="","-",61.07267/3629752.43882*100)</f>
        <v>1.6825574479083258E-3</v>
      </c>
      <c r="F29" s="22">
        <f>IF(33.85826="","-",33.85826/3358202.51081*100)</f>
        <v>1.0082256770105676E-3</v>
      </c>
    </row>
    <row r="30" spans="1:7" x14ac:dyDescent="0.25">
      <c r="A30" s="20" t="s">
        <v>100</v>
      </c>
      <c r="B30" s="50">
        <v>18012.887630000001</v>
      </c>
      <c r="C30" s="22">
        <v>19593.211630000002</v>
      </c>
      <c r="D30" s="68">
        <v>108.77329627798274</v>
      </c>
      <c r="E30" s="22">
        <f>IF(18012.88763="","-",18012.88763/3629752.43882*100)</f>
        <v>0.49625664376868162</v>
      </c>
      <c r="F30" s="22">
        <f>IF(19593.21163="","-",19593.21163/3358202.51081*100)</f>
        <v>0.58344342150092998</v>
      </c>
    </row>
    <row r="31" spans="1:7" x14ac:dyDescent="0.25">
      <c r="A31" s="20" t="s">
        <v>101</v>
      </c>
      <c r="B31" s="50">
        <v>140.11895000000001</v>
      </c>
      <c r="C31" s="22">
        <v>473.98566</v>
      </c>
      <c r="D31" s="68" t="s">
        <v>352</v>
      </c>
      <c r="E31" s="22">
        <f>IF(140.11895="","-",140.11895/3629752.43882*100)</f>
        <v>3.8602894374127465E-3</v>
      </c>
      <c r="F31" s="22">
        <f>IF(473.98566="","-",473.98566/3358202.51081*100)</f>
        <v>1.4114266738656997E-2</v>
      </c>
    </row>
    <row r="32" spans="1:7" x14ac:dyDescent="0.25">
      <c r="A32" s="46" t="s">
        <v>260</v>
      </c>
      <c r="B32" s="51">
        <v>653191.85103000002</v>
      </c>
      <c r="C32" s="21">
        <v>406631.54366000002</v>
      </c>
      <c r="D32" s="67">
        <v>62.253003159606791</v>
      </c>
      <c r="E32" s="21">
        <f>IF(653191.85103="","-",653191.85103/3629752.43882*100)</f>
        <v>17.995493137332165</v>
      </c>
      <c r="F32" s="21">
        <f>IF(406631.54366="","-",406631.54366/3358202.51081*100)</f>
        <v>12.108606980998307</v>
      </c>
    </row>
    <row r="33" spans="1:10" x14ac:dyDescent="0.25">
      <c r="A33" s="20" t="s">
        <v>105</v>
      </c>
      <c r="B33" s="50"/>
      <c r="C33" s="21"/>
      <c r="D33" s="67"/>
      <c r="E33" s="21"/>
      <c r="F33" s="21"/>
    </row>
    <row r="34" spans="1:10" x14ac:dyDescent="0.25">
      <c r="A34" s="20" t="s">
        <v>95</v>
      </c>
      <c r="B34" s="50">
        <v>165865.49142000001</v>
      </c>
      <c r="C34" s="22">
        <v>92991.71819</v>
      </c>
      <c r="D34" s="68">
        <v>56.064536024873881</v>
      </c>
      <c r="E34" s="22">
        <f>IF(165865.49142="","-",165865.49142/3629752.43882*100)</f>
        <v>4.569608925558609</v>
      </c>
      <c r="F34" s="22">
        <f>IF(92991.71819="","-",92991.71819/3358202.51081*100)</f>
        <v>2.7690920333321518</v>
      </c>
    </row>
    <row r="35" spans="1:10" x14ac:dyDescent="0.25">
      <c r="A35" s="20" t="s">
        <v>96</v>
      </c>
      <c r="B35" s="50">
        <v>99470.252680000005</v>
      </c>
      <c r="C35" s="22">
        <v>6593.73146</v>
      </c>
      <c r="D35" s="68">
        <v>6.6288476025212404</v>
      </c>
      <c r="E35" s="22">
        <f>IF(99470.25268="","-",99470.25268/3629752.43882*100)</f>
        <v>2.7404142391687984</v>
      </c>
      <c r="F35" s="22">
        <f>IF(6593.73146="","-",6593.73146/3358202.51081*100)</f>
        <v>0.19634704693284236</v>
      </c>
    </row>
    <row r="36" spans="1:10" x14ac:dyDescent="0.25">
      <c r="A36" s="20" t="s">
        <v>97</v>
      </c>
      <c r="B36" s="50">
        <v>366385.277</v>
      </c>
      <c r="C36" s="22">
        <v>287826.63260000001</v>
      </c>
      <c r="D36" s="68">
        <v>78.558460360840314</v>
      </c>
      <c r="E36" s="22">
        <f>IF(366385.277="","-",366385.277/3629752.43882*100)</f>
        <v>10.093946713322097</v>
      </c>
      <c r="F36" s="22">
        <f>IF(287826.6326="","-",287826.6326/3358202.51081*100)</f>
        <v>8.5708539515854305</v>
      </c>
    </row>
    <row r="37" spans="1:10" x14ac:dyDescent="0.25">
      <c r="A37" s="20" t="s">
        <v>98</v>
      </c>
      <c r="B37" s="50">
        <v>20904.071339999999</v>
      </c>
      <c r="C37" s="22">
        <v>17999.334500000001</v>
      </c>
      <c r="D37" s="68">
        <v>86.104444475168933</v>
      </c>
      <c r="E37" s="22">
        <f>IF(20904.07134="","-",20904.07134/3629752.43882*100)</f>
        <v>0.57590901011408169</v>
      </c>
      <c r="F37" s="22">
        <f>IF(17999.3345="","-",17999.3345/3358202.51081*100)</f>
        <v>0.53598121143857269</v>
      </c>
    </row>
    <row r="38" spans="1:10" x14ac:dyDescent="0.25">
      <c r="A38" s="20" t="s">
        <v>99</v>
      </c>
      <c r="B38" s="50">
        <v>547.45858999999996</v>
      </c>
      <c r="C38" s="22">
        <v>510.50078000000002</v>
      </c>
      <c r="D38" s="68">
        <v>93.249204474077217</v>
      </c>
      <c r="E38" s="22">
        <f>IF(547.45859="","-",547.45859/3629752.43882*100)</f>
        <v>1.508253246543651E-2</v>
      </c>
      <c r="F38" s="22">
        <f>IF(510.50078="","-",510.50078/3358202.51081*100)</f>
        <v>1.5201607954157207E-2</v>
      </c>
    </row>
    <row r="39" spans="1:10" x14ac:dyDescent="0.25">
      <c r="A39" s="76" t="s">
        <v>101</v>
      </c>
      <c r="B39" s="53">
        <v>19.3</v>
      </c>
      <c r="C39" s="60">
        <v>709.62612999999999</v>
      </c>
      <c r="D39" s="72" t="s">
        <v>401</v>
      </c>
      <c r="E39" s="56">
        <f>IF(19.3="","-",19.3/3629752.43882*100)</f>
        <v>5.317167031444783E-4</v>
      </c>
      <c r="F39" s="56">
        <f>IF(709.62613="","-",709.62613/3358202.51081*100)</f>
        <v>2.1131129755151003E-2</v>
      </c>
    </row>
    <row r="40" spans="1:10" s="19" customFormat="1" ht="14.25" customHeight="1" x14ac:dyDescent="0.2">
      <c r="A40" s="28" t="s">
        <v>16</v>
      </c>
      <c r="B40" s="28"/>
      <c r="C40" s="28"/>
      <c r="D40" s="28"/>
      <c r="E40" s="29"/>
      <c r="F40" s="29"/>
      <c r="G40" s="29"/>
      <c r="H40" s="29"/>
      <c r="I40" s="29"/>
      <c r="J40" s="29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H40"/>
  <sheetViews>
    <sheetView workbookViewId="0">
      <selection sqref="A1:F1"/>
    </sheetView>
  </sheetViews>
  <sheetFormatPr defaultRowHeight="15.75" x14ac:dyDescent="0.25"/>
  <cols>
    <col min="1" max="1" width="24.875" style="24" customWidth="1"/>
    <col min="2" max="2" width="12.25" style="24" customWidth="1"/>
    <col min="3" max="3" width="12" style="24" customWidth="1"/>
    <col min="4" max="4" width="12.125" style="24" customWidth="1"/>
    <col min="5" max="5" width="10.75" style="24" customWidth="1"/>
    <col min="6" max="6" width="10.5" style="24" customWidth="1"/>
    <col min="7" max="8" width="9" style="24"/>
  </cols>
  <sheetData>
    <row r="1" spans="1:8" x14ac:dyDescent="0.25">
      <c r="A1" s="86" t="s">
        <v>310</v>
      </c>
      <c r="B1" s="86"/>
      <c r="C1" s="86"/>
      <c r="D1" s="86"/>
      <c r="E1" s="86"/>
      <c r="F1" s="86"/>
    </row>
    <row r="2" spans="1:8" x14ac:dyDescent="0.25">
      <c r="A2" s="104"/>
      <c r="B2" s="104"/>
      <c r="C2" s="104"/>
      <c r="D2" s="104"/>
      <c r="E2" s="104"/>
      <c r="F2" s="104"/>
    </row>
    <row r="3" spans="1:8" ht="36.75" customHeight="1" x14ac:dyDescent="0.25">
      <c r="A3" s="87"/>
      <c r="B3" s="89" t="s">
        <v>358</v>
      </c>
      <c r="C3" s="96"/>
      <c r="D3" s="94" t="s">
        <v>366</v>
      </c>
      <c r="E3" s="89" t="s">
        <v>94</v>
      </c>
      <c r="F3" s="103"/>
    </row>
    <row r="4" spans="1:8" ht="51.75" customHeight="1" x14ac:dyDescent="0.25">
      <c r="A4" s="88"/>
      <c r="B4" s="13" t="s">
        <v>360</v>
      </c>
      <c r="C4" s="13" t="s">
        <v>361</v>
      </c>
      <c r="D4" s="95"/>
      <c r="E4" s="13" t="s">
        <v>360</v>
      </c>
      <c r="F4" s="12" t="s">
        <v>361</v>
      </c>
    </row>
    <row r="5" spans="1:8" s="27" customFormat="1" ht="15.75" customHeight="1" x14ac:dyDescent="0.2">
      <c r="A5" s="74" t="s">
        <v>357</v>
      </c>
      <c r="B5" s="79">
        <v>7486893.1451500002</v>
      </c>
      <c r="C5" s="77">
        <v>7126566.5717000002</v>
      </c>
      <c r="D5" s="80">
        <v>95.187234992349019</v>
      </c>
      <c r="E5" s="63">
        <v>100</v>
      </c>
      <c r="F5" s="63">
        <v>100</v>
      </c>
      <c r="G5" s="26"/>
      <c r="H5" s="26"/>
    </row>
    <row r="6" spans="1:8" ht="15.75" customHeight="1" x14ac:dyDescent="0.25">
      <c r="A6" s="20" t="s">
        <v>105</v>
      </c>
      <c r="B6" s="50"/>
      <c r="C6" s="61"/>
      <c r="D6" s="67"/>
      <c r="E6" s="61"/>
      <c r="F6" s="61"/>
    </row>
    <row r="7" spans="1:8" x14ac:dyDescent="0.25">
      <c r="A7" s="20" t="s">
        <v>95</v>
      </c>
      <c r="B7" s="50">
        <v>553960.35259999998</v>
      </c>
      <c r="C7" s="22">
        <v>566663.90191000002</v>
      </c>
      <c r="D7" s="68">
        <v>102.29322355839659</v>
      </c>
      <c r="E7" s="22">
        <f>IF(553960.3526="","-",553960.3526/7486893.14515*100)</f>
        <v>7.3990685035868964</v>
      </c>
      <c r="F7" s="22">
        <f>IF(566663.90191="","-",566663.90191/7126566.5717*100)</f>
        <v>7.9514292921959715</v>
      </c>
    </row>
    <row r="8" spans="1:8" x14ac:dyDescent="0.25">
      <c r="A8" s="20" t="s">
        <v>96</v>
      </c>
      <c r="B8" s="50">
        <v>362827.31235000002</v>
      </c>
      <c r="C8" s="22">
        <v>275956.82650000002</v>
      </c>
      <c r="D8" s="68">
        <v>76.057346596278094</v>
      </c>
      <c r="E8" s="22">
        <f>IF(362827.31235="","-",362827.31235/7486893.14515*100)</f>
        <v>4.8461665648993417</v>
      </c>
      <c r="F8" s="22">
        <f>IF(275956.8265="","-",275956.8265/7126566.5717*100)</f>
        <v>3.8722268812563994</v>
      </c>
    </row>
    <row r="9" spans="1:8" x14ac:dyDescent="0.25">
      <c r="A9" s="20" t="s">
        <v>97</v>
      </c>
      <c r="B9" s="50">
        <v>5720311.9999099998</v>
      </c>
      <c r="C9" s="22">
        <v>5655001.18083</v>
      </c>
      <c r="D9" s="68">
        <v>98.858264740087122</v>
      </c>
      <c r="E9" s="22">
        <f>IF(5720311.99991="","-",5720311.99991/7486893.14515*100)</f>
        <v>76.404349427847933</v>
      </c>
      <c r="F9" s="22">
        <f>IF(5655001.18083="","-",5655001.18083/7126566.5717*100)</f>
        <v>79.350990746179662</v>
      </c>
    </row>
    <row r="10" spans="1:8" x14ac:dyDescent="0.25">
      <c r="A10" s="20" t="s">
        <v>98</v>
      </c>
      <c r="B10" s="50">
        <v>124079.58115</v>
      </c>
      <c r="C10" s="22">
        <v>135619.34979000001</v>
      </c>
      <c r="D10" s="68">
        <v>109.30029625587594</v>
      </c>
      <c r="E10" s="22">
        <f>IF(124079.58115="","-",124079.58115/7486893.14515*100)</f>
        <v>1.6572906644243828</v>
      </c>
      <c r="F10" s="22">
        <f>IF(135619.34979="","-",135619.34979/7126566.5717*100)</f>
        <v>1.903011056243439</v>
      </c>
    </row>
    <row r="11" spans="1:8" x14ac:dyDescent="0.25">
      <c r="A11" s="20" t="s">
        <v>99</v>
      </c>
      <c r="B11" s="50">
        <v>8380.8052499999994</v>
      </c>
      <c r="C11" s="22">
        <v>7022.6410100000003</v>
      </c>
      <c r="D11" s="68">
        <v>83.794346730584152</v>
      </c>
      <c r="E11" s="22">
        <f>IF(8380.80525="","-",8380.80525/7486893.14515*100)</f>
        <v>0.11193969364220291</v>
      </c>
      <c r="F11" s="22">
        <f>IF(7022.64101="","-",7022.64101/7126566.5717*100)</f>
        <v>9.8541716257689996E-2</v>
      </c>
    </row>
    <row r="12" spans="1:8" x14ac:dyDescent="0.25">
      <c r="A12" s="20" t="s">
        <v>100</v>
      </c>
      <c r="B12" s="50">
        <v>671905.25885999994</v>
      </c>
      <c r="C12" s="22">
        <v>435221.34889999998</v>
      </c>
      <c r="D12" s="68">
        <v>64.774213798895701</v>
      </c>
      <c r="E12" s="22">
        <f>IF(671905.25886="","-",671905.25886/7486893.14515*100)</f>
        <v>8.9744203080453921</v>
      </c>
      <c r="F12" s="22">
        <f>IF(435221.3489="","-",435221.3489/7126566.5717*100)</f>
        <v>6.1070270588404894</v>
      </c>
    </row>
    <row r="13" spans="1:8" x14ac:dyDescent="0.25">
      <c r="A13" s="20" t="s">
        <v>101</v>
      </c>
      <c r="B13" s="50">
        <v>45427.835030000002</v>
      </c>
      <c r="C13" s="22">
        <v>51081.322760000003</v>
      </c>
      <c r="D13" s="68">
        <v>112.44498604493589</v>
      </c>
      <c r="E13" s="22">
        <f>IF(45427.83503="","-",45427.83503/7486893.14515*100)</f>
        <v>0.60676483755385358</v>
      </c>
      <c r="F13" s="22">
        <f>IF(51081.32276="","-",51081.32276/7126566.5717*100)</f>
        <v>0.71677324902635209</v>
      </c>
    </row>
    <row r="14" spans="1:8" ht="16.5" customHeight="1" x14ac:dyDescent="0.25">
      <c r="A14" s="46" t="s">
        <v>177</v>
      </c>
      <c r="B14" s="51">
        <v>3463013.4671700001</v>
      </c>
      <c r="C14" s="51">
        <v>3460619.9106800002</v>
      </c>
      <c r="D14" s="67">
        <v>99.93088226445866</v>
      </c>
      <c r="E14" s="21">
        <f>IF(3463013.46717="","-",3463013.46717/7486893.14515*100)</f>
        <v>46.254346095660999</v>
      </c>
      <c r="F14" s="21">
        <f>IF(3460619.91068="","-",3460619.91068/7126566.5717*100)</f>
        <v>48.55942726224319</v>
      </c>
    </row>
    <row r="15" spans="1:8" x14ac:dyDescent="0.25">
      <c r="A15" s="20" t="s">
        <v>105</v>
      </c>
      <c r="B15" s="50"/>
      <c r="C15" s="52"/>
      <c r="D15" s="67"/>
      <c r="E15" s="21"/>
      <c r="F15" s="21"/>
    </row>
    <row r="16" spans="1:8" x14ac:dyDescent="0.25">
      <c r="A16" s="20" t="s">
        <v>95</v>
      </c>
      <c r="B16" s="50">
        <v>174428.74038</v>
      </c>
      <c r="C16" s="22">
        <v>158559.47665</v>
      </c>
      <c r="D16" s="68">
        <v>90.902150817905252</v>
      </c>
      <c r="E16" s="22">
        <f>IF(174428.74038="","-",174428.74038/7486893.14515*100)</f>
        <v>2.3297880308735901</v>
      </c>
      <c r="F16" s="22">
        <f>IF(158559.47665="","-",158559.47665/7126566.5717*100)</f>
        <v>2.2249069738525797</v>
      </c>
    </row>
    <row r="17" spans="1:7" x14ac:dyDescent="0.25">
      <c r="A17" s="20" t="s">
        <v>96</v>
      </c>
      <c r="B17" s="50">
        <v>216969.42063000001</v>
      </c>
      <c r="C17" s="22">
        <v>152791.56427</v>
      </c>
      <c r="D17" s="68">
        <v>70.420782719679607</v>
      </c>
      <c r="E17" s="22">
        <f>IF(216969.42063="","-",216969.42063/7486893.14515*100)</f>
        <v>2.8979900797776512</v>
      </c>
      <c r="F17" s="22">
        <f>IF(152791.56427="","-",152791.56427/7126566.5717*100)</f>
        <v>2.1439716128765842</v>
      </c>
    </row>
    <row r="18" spans="1:7" x14ac:dyDescent="0.25">
      <c r="A18" s="20" t="s">
        <v>97</v>
      </c>
      <c r="B18" s="50">
        <v>2986476.19331</v>
      </c>
      <c r="C18" s="22">
        <v>2940900.26529</v>
      </c>
      <c r="D18" s="68">
        <v>98.473922942292504</v>
      </c>
      <c r="E18" s="22">
        <f>IF(2986476.19331="","-",2986476.19331/7486893.14515*100)</f>
        <v>39.889392507820624</v>
      </c>
      <c r="F18" s="22">
        <f>IF(2940900.26529="","-",2940900.26529/7126566.5717*100)</f>
        <v>41.266719895222501</v>
      </c>
    </row>
    <row r="19" spans="1:7" x14ac:dyDescent="0.25">
      <c r="A19" s="20" t="s">
        <v>98</v>
      </c>
      <c r="B19" s="50">
        <v>29175.04351</v>
      </c>
      <c r="C19" s="22">
        <v>32254.784230000001</v>
      </c>
      <c r="D19" s="68">
        <v>110.55607927009396</v>
      </c>
      <c r="E19" s="22">
        <f>IF(29175.04351="","-",29175.04351/7486893.14515*100)</f>
        <v>0.38968158012111548</v>
      </c>
      <c r="F19" s="22">
        <f>IF(32254.78423="","-",32254.78423/7126566.5717*100)</f>
        <v>0.45259921317630819</v>
      </c>
    </row>
    <row r="20" spans="1:7" x14ac:dyDescent="0.25">
      <c r="A20" s="20" t="s">
        <v>99</v>
      </c>
      <c r="B20" s="50">
        <v>5458.6743500000002</v>
      </c>
      <c r="C20" s="22">
        <v>4427.5198499999997</v>
      </c>
      <c r="D20" s="68">
        <v>81.109800037805869</v>
      </c>
      <c r="E20" s="22">
        <f>IF(5458.67435="","-",5458.67435/7486893.14515*100)</f>
        <v>7.2909740317799551E-2</v>
      </c>
      <c r="F20" s="22">
        <f>IF(4427.51985="","-",4427.51985/7126566.5717*100)</f>
        <v>6.2126969634745739E-2</v>
      </c>
    </row>
    <row r="21" spans="1:7" x14ac:dyDescent="0.25">
      <c r="A21" s="20" t="s">
        <v>100</v>
      </c>
      <c r="B21" s="50">
        <v>9729.5612500000007</v>
      </c>
      <c r="C21" s="22">
        <v>126623.68979</v>
      </c>
      <c r="D21" s="68" t="s">
        <v>402</v>
      </c>
      <c r="E21" s="22">
        <f>IF(9729.56125="","-",9729.56125/7486893.14515*100)</f>
        <v>0.12995458945881708</v>
      </c>
      <c r="F21" s="22">
        <f>IF(126623.68979="","-",126623.68979/7126566.5717*100)</f>
        <v>1.77678393257182</v>
      </c>
    </row>
    <row r="22" spans="1:7" x14ac:dyDescent="0.25">
      <c r="A22" s="20" t="s">
        <v>101</v>
      </c>
      <c r="B22" s="50">
        <v>40775.833740000002</v>
      </c>
      <c r="C22" s="22">
        <v>45062.6106</v>
      </c>
      <c r="D22" s="68">
        <v>110.51303300708426</v>
      </c>
      <c r="E22" s="22">
        <f>IF(40775.83374="","-",40775.83374/7486893.14515*100)</f>
        <v>0.54462956729140088</v>
      </c>
      <c r="F22" s="22">
        <f>IF(45062.6106="","-",45062.6106/7126566.5717*100)</f>
        <v>0.63231866490865574</v>
      </c>
      <c r="G22" s="21"/>
    </row>
    <row r="23" spans="1:7" x14ac:dyDescent="0.25">
      <c r="A23" s="46" t="s">
        <v>178</v>
      </c>
      <c r="B23" s="51">
        <v>1865703.15126</v>
      </c>
      <c r="C23" s="21">
        <v>1275335.7569500001</v>
      </c>
      <c r="D23" s="81">
        <v>68.356842088662589</v>
      </c>
      <c r="E23" s="21">
        <f>IF(1865703.15126="","-",1865703.15126/7486893.14515*100)</f>
        <v>24.919591011775026</v>
      </c>
      <c r="F23" s="21">
        <f>IF(1275335.75695="","-",1275335.75695/7126566.5717*100)</f>
        <v>17.895514538718135</v>
      </c>
      <c r="G23" s="21"/>
    </row>
    <row r="24" spans="1:7" x14ac:dyDescent="0.25">
      <c r="A24" s="20" t="s">
        <v>105</v>
      </c>
      <c r="B24" s="50"/>
      <c r="C24" s="21"/>
      <c r="D24" s="82"/>
      <c r="E24" s="21"/>
      <c r="F24" s="21"/>
      <c r="G24" s="22"/>
    </row>
    <row r="25" spans="1:7" x14ac:dyDescent="0.25">
      <c r="A25" s="20" t="s">
        <v>95</v>
      </c>
      <c r="B25" s="50">
        <v>136991.50039999999</v>
      </c>
      <c r="C25" s="22">
        <v>103196.4437</v>
      </c>
      <c r="D25" s="82">
        <v>75.330544886856359</v>
      </c>
      <c r="E25" s="22">
        <f>IF(136991.5004="","-",136991.5004/7486893.14515*100)</f>
        <v>1.8297509760606494</v>
      </c>
      <c r="F25" s="22">
        <f>IF(103196.4437="","-",103196.4437/7126566.5717*100)</f>
        <v>1.4480527567061385</v>
      </c>
      <c r="G25" s="22"/>
    </row>
    <row r="26" spans="1:7" x14ac:dyDescent="0.25">
      <c r="A26" s="20" t="s">
        <v>96</v>
      </c>
      <c r="B26" s="50">
        <v>144699.10592</v>
      </c>
      <c r="C26" s="22">
        <v>113111.14066999999</v>
      </c>
      <c r="D26" s="82">
        <v>78.169896041054955</v>
      </c>
      <c r="E26" s="22">
        <f>IF(144699.10592="","-",144699.10592/7486893.14515*100)</f>
        <v>1.9326989595642341</v>
      </c>
      <c r="F26" s="22">
        <f>IF(113111.14067="","-",113111.14067/7126566.5717*100)</f>
        <v>1.5871758094447717</v>
      </c>
      <c r="G26" s="22"/>
    </row>
    <row r="27" spans="1:7" x14ac:dyDescent="0.25">
      <c r="A27" s="20" t="s">
        <v>97</v>
      </c>
      <c r="B27" s="50">
        <v>906118.00956999999</v>
      </c>
      <c r="C27" s="22">
        <v>733844.06973999995</v>
      </c>
      <c r="D27" s="82">
        <v>80.987692771744719</v>
      </c>
      <c r="E27" s="22">
        <f>IF(906118.00957="","-",906118.00957/7486893.14515*100)</f>
        <v>12.102723947075191</v>
      </c>
      <c r="F27" s="22">
        <f>IF(733844.06974="","-",733844.06974/7126566.5717*100)</f>
        <v>10.297301826297902</v>
      </c>
      <c r="G27" s="22"/>
    </row>
    <row r="28" spans="1:7" x14ac:dyDescent="0.25">
      <c r="A28" s="20" t="s">
        <v>98</v>
      </c>
      <c r="B28" s="50">
        <v>14806.679959999999</v>
      </c>
      <c r="C28" s="22">
        <v>16220.018</v>
      </c>
      <c r="D28" s="82">
        <v>109.545273105234</v>
      </c>
      <c r="E28" s="22">
        <f>IF(14806.67996="","-",14806.67996/7486893.14515*100)</f>
        <v>0.19776801502224922</v>
      </c>
      <c r="F28" s="22">
        <f>IF(16220.018="","-",16220.018/7126566.5717*100)</f>
        <v>0.22759933323868203</v>
      </c>
      <c r="G28" s="22"/>
    </row>
    <row r="29" spans="1:7" x14ac:dyDescent="0.25">
      <c r="A29" s="20" t="s">
        <v>99</v>
      </c>
      <c r="B29" s="50">
        <v>269.25832000000003</v>
      </c>
      <c r="C29" s="22">
        <v>54.151499999999999</v>
      </c>
      <c r="D29" s="82">
        <v>20.111356261897495</v>
      </c>
      <c r="E29" s="22">
        <f>IF(269.25832="","-",269.25832/7486893.14515*100)</f>
        <v>3.5963959252500511E-3</v>
      </c>
      <c r="F29" s="22">
        <f>IF(54.1515="","-",54.1515/7126566.5717*100)</f>
        <v>7.598539837547954E-4</v>
      </c>
      <c r="G29" s="22"/>
    </row>
    <row r="30" spans="1:7" x14ac:dyDescent="0.25">
      <c r="A30" s="20" t="s">
        <v>100</v>
      </c>
      <c r="B30" s="50">
        <v>662175.69761000003</v>
      </c>
      <c r="C30" s="22">
        <v>308597.65911000001</v>
      </c>
      <c r="D30" s="82">
        <v>46.603591799551971</v>
      </c>
      <c r="E30" s="22">
        <f>IF(662175.69761="","-",662175.69761/7486893.14515*100)</f>
        <v>8.8444657185865747</v>
      </c>
      <c r="F30" s="22">
        <f>IF(308597.65911="","-",308597.65911/7126566.5717*100)</f>
        <v>4.3302431262686696</v>
      </c>
    </row>
    <row r="31" spans="1:7" x14ac:dyDescent="0.25">
      <c r="A31" s="20" t="s">
        <v>101</v>
      </c>
      <c r="B31" s="50">
        <v>642.89948000000004</v>
      </c>
      <c r="C31" s="22">
        <v>312.27422999999999</v>
      </c>
      <c r="D31" s="78">
        <v>48.572792437162953</v>
      </c>
      <c r="E31" s="22">
        <f>IF(642.89948="","-",642.89948/7486893.14515*100)</f>
        <v>8.5869995408772385E-3</v>
      </c>
      <c r="F31" s="22">
        <f>IF(312.27423="","-",312.27423/7126566.5717*100)</f>
        <v>4.3818327782141073E-3</v>
      </c>
    </row>
    <row r="32" spans="1:7" x14ac:dyDescent="0.25">
      <c r="A32" s="46" t="s">
        <v>179</v>
      </c>
      <c r="B32" s="51">
        <v>2158176.52672</v>
      </c>
      <c r="C32" s="51">
        <v>2390610.9040700002</v>
      </c>
      <c r="D32" s="67">
        <v>110.76994279533076</v>
      </c>
      <c r="E32" s="21">
        <f>IF(2158176.52672="","-",2158176.52672/7486893.14515*100)</f>
        <v>28.826062892563975</v>
      </c>
      <c r="F32" s="21">
        <f>IF(2390610.90407="","-",2390610.90407/7126566.5717*100)</f>
        <v>33.545058199038671</v>
      </c>
    </row>
    <row r="33" spans="1:8" x14ac:dyDescent="0.25">
      <c r="A33" s="20" t="s">
        <v>105</v>
      </c>
      <c r="B33" s="50"/>
      <c r="C33" s="52"/>
      <c r="D33" s="67"/>
      <c r="E33" s="21"/>
      <c r="F33" s="21"/>
    </row>
    <row r="34" spans="1:8" x14ac:dyDescent="0.25">
      <c r="A34" s="20" t="s">
        <v>95</v>
      </c>
      <c r="B34" s="50">
        <v>242540.11181999999</v>
      </c>
      <c r="C34" s="22">
        <v>304907.98155999999</v>
      </c>
      <c r="D34" s="68">
        <v>125.71445575414182</v>
      </c>
      <c r="E34" s="22">
        <f>IF(242540.11182="","-",242540.11182/7486893.14515*100)</f>
        <v>3.239529496652656</v>
      </c>
      <c r="F34" s="22">
        <f>IF(304907.98156="","-",304907.98156/7126566.5717*100)</f>
        <v>4.2784695616372526</v>
      </c>
    </row>
    <row r="35" spans="1:8" x14ac:dyDescent="0.25">
      <c r="A35" s="20" t="s">
        <v>96</v>
      </c>
      <c r="B35" s="50">
        <v>1158.7858000000001</v>
      </c>
      <c r="C35" s="22">
        <v>10054.12156</v>
      </c>
      <c r="D35" s="68" t="s">
        <v>403</v>
      </c>
      <c r="E35" s="22">
        <f>IF(1158.7858="","-",1158.7858/7486893.14515*100)</f>
        <v>1.5477525557455832E-2</v>
      </c>
      <c r="F35" s="22">
        <f>IF(10054.12156="","-",10054.12156/7126566.5717*100)</f>
        <v>0.14107945893504295</v>
      </c>
    </row>
    <row r="36" spans="1:8" x14ac:dyDescent="0.25">
      <c r="A36" s="20" t="s">
        <v>97</v>
      </c>
      <c r="B36" s="50">
        <v>1827717.79703</v>
      </c>
      <c r="C36" s="22">
        <v>1980256.8458</v>
      </c>
      <c r="D36" s="68">
        <v>108.34587533249787</v>
      </c>
      <c r="E36" s="22">
        <f>IF(1827717.79703="","-",1827717.79703/7486893.14515*100)</f>
        <v>24.412232972952115</v>
      </c>
      <c r="F36" s="22">
        <f>IF(1980256.8458="","-",1980256.8458/7126566.5717*100)</f>
        <v>27.786969024659253</v>
      </c>
    </row>
    <row r="37" spans="1:8" x14ac:dyDescent="0.25">
      <c r="A37" s="20" t="s">
        <v>98</v>
      </c>
      <c r="B37" s="50">
        <v>80097.857680000001</v>
      </c>
      <c r="C37" s="22">
        <v>87144.547560000006</v>
      </c>
      <c r="D37" s="68">
        <v>108.79760093978084</v>
      </c>
      <c r="E37" s="22">
        <f>IF(80097.85768="","-",80097.85768/7486893.14515*100)</f>
        <v>1.0698410692810179</v>
      </c>
      <c r="F37" s="22">
        <f>IF(87144.54756="","-",87144.54756/7126566.5717*100)</f>
        <v>1.2228125098284488</v>
      </c>
    </row>
    <row r="38" spans="1:8" x14ac:dyDescent="0.25">
      <c r="A38" s="20" t="s">
        <v>99</v>
      </c>
      <c r="B38" s="50">
        <v>2652.8725800000002</v>
      </c>
      <c r="C38" s="22">
        <v>2540.9696600000002</v>
      </c>
      <c r="D38" s="68">
        <v>95.781820776329937</v>
      </c>
      <c r="E38" s="22">
        <f>IF(2652.87258="","-",2652.87258/7486893.14515*100)</f>
        <v>3.5433557399153312E-2</v>
      </c>
      <c r="F38" s="22">
        <f>IF(2540.96966="","-",2540.96966/7126566.5717*100)</f>
        <v>3.5654892639189459E-2</v>
      </c>
    </row>
    <row r="39" spans="1:8" x14ac:dyDescent="0.25">
      <c r="A39" s="76" t="s">
        <v>101</v>
      </c>
      <c r="B39" s="53">
        <v>4009.1018100000001</v>
      </c>
      <c r="C39" s="56">
        <v>5706.4379300000001</v>
      </c>
      <c r="D39" s="72">
        <v>142.33706701501799</v>
      </c>
      <c r="E39" s="56">
        <f>IF(4009.10181="","-",4009.10181/7486893.14515*100)</f>
        <v>5.3548270721575489E-2</v>
      </c>
      <c r="F39" s="56">
        <f>IF(5706.43793="","-",5706.43793/7126566.5717*100)</f>
        <v>8.0072751339482162E-2</v>
      </c>
    </row>
    <row r="40" spans="1:8" s="19" customFormat="1" ht="14.25" customHeight="1" x14ac:dyDescent="0.2">
      <c r="A40" s="28" t="s">
        <v>16</v>
      </c>
      <c r="B40" s="28"/>
      <c r="C40" s="18"/>
      <c r="D40" s="18"/>
      <c r="E40" s="18"/>
      <c r="F40" s="18"/>
      <c r="G40" s="29"/>
      <c r="H40" s="29"/>
    </row>
  </sheetData>
  <mergeCells count="6">
    <mergeCell ref="A1:F1"/>
    <mergeCell ref="A3:A4"/>
    <mergeCell ref="E3:F3"/>
    <mergeCell ref="A2:F2"/>
    <mergeCell ref="B3:C3"/>
    <mergeCell ref="D3:D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82"/>
  <sheetViews>
    <sheetView zoomScaleNormal="100" workbookViewId="0">
      <selection activeCell="B1" sqref="B1:I1"/>
    </sheetView>
  </sheetViews>
  <sheetFormatPr defaultRowHeight="15.75" x14ac:dyDescent="0.25"/>
  <cols>
    <col min="1" max="1" width="7.75" style="24" customWidth="1"/>
    <col min="2" max="2" width="40.375" style="24" customWidth="1"/>
    <col min="3" max="3" width="12.875" style="24" customWidth="1"/>
    <col min="4" max="4" width="12.5" style="24" customWidth="1"/>
    <col min="5" max="5" width="11.625" style="24" customWidth="1"/>
    <col min="6" max="6" width="9.875" style="24" customWidth="1"/>
    <col min="7" max="7" width="10.375" style="24" customWidth="1"/>
    <col min="8" max="8" width="11.375" style="24" customWidth="1"/>
    <col min="9" max="9" width="11" style="24" customWidth="1"/>
    <col min="10" max="12" width="9" style="24"/>
  </cols>
  <sheetData>
    <row r="1" spans="1:12" s="27" customFormat="1" ht="12.75" x14ac:dyDescent="0.2">
      <c r="A1" s="26"/>
      <c r="B1" s="97" t="s">
        <v>311</v>
      </c>
      <c r="C1" s="97"/>
      <c r="D1" s="97"/>
      <c r="E1" s="97"/>
      <c r="F1" s="97"/>
      <c r="G1" s="97"/>
      <c r="H1" s="97"/>
      <c r="I1" s="97"/>
      <c r="J1" s="26"/>
      <c r="K1" s="26"/>
      <c r="L1" s="26"/>
    </row>
    <row r="2" spans="1:12" s="27" customFormat="1" ht="12.75" x14ac:dyDescent="0.2">
      <c r="A2" s="26"/>
      <c r="B2" s="97" t="s">
        <v>255</v>
      </c>
      <c r="C2" s="97"/>
      <c r="D2" s="97"/>
      <c r="E2" s="97"/>
      <c r="F2" s="97"/>
      <c r="G2" s="97"/>
      <c r="H2" s="97"/>
      <c r="I2" s="97"/>
      <c r="J2" s="26"/>
      <c r="K2" s="26"/>
      <c r="L2" s="26"/>
    </row>
    <row r="3" spans="1:12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2" ht="44.25" customHeight="1" x14ac:dyDescent="0.25">
      <c r="A4" s="105" t="s">
        <v>181</v>
      </c>
      <c r="B4" s="87"/>
      <c r="C4" s="89" t="s">
        <v>358</v>
      </c>
      <c r="D4" s="96"/>
      <c r="E4" s="94" t="s">
        <v>365</v>
      </c>
      <c r="F4" s="89" t="s">
        <v>94</v>
      </c>
      <c r="G4" s="90"/>
      <c r="H4" s="99" t="s">
        <v>312</v>
      </c>
      <c r="I4" s="107"/>
    </row>
    <row r="5" spans="1:12" ht="45" customHeight="1" x14ac:dyDescent="0.25">
      <c r="A5" s="106"/>
      <c r="B5" s="88"/>
      <c r="C5" s="13" t="s">
        <v>360</v>
      </c>
      <c r="D5" s="13" t="s">
        <v>361</v>
      </c>
      <c r="E5" s="95"/>
      <c r="F5" s="13" t="s">
        <v>360</v>
      </c>
      <c r="G5" s="13" t="s">
        <v>361</v>
      </c>
      <c r="H5" s="13" t="s">
        <v>362</v>
      </c>
      <c r="I5" s="12" t="s">
        <v>363</v>
      </c>
    </row>
    <row r="6" spans="1:12" s="27" customFormat="1" ht="15" customHeight="1" x14ac:dyDescent="0.2">
      <c r="A6" s="37"/>
      <c r="B6" s="62" t="s">
        <v>90</v>
      </c>
      <c r="C6" s="63">
        <v>3629752.4388199998</v>
      </c>
      <c r="D6" s="64">
        <v>3358202.5108099999</v>
      </c>
      <c r="E6" s="66">
        <f>IF(3629752.43882="","-",3358202.51081/3629752.43882*100)</f>
        <v>92.518775520176291</v>
      </c>
      <c r="F6" s="64">
        <v>100</v>
      </c>
      <c r="G6" s="64">
        <v>100</v>
      </c>
      <c r="H6" s="64">
        <f>IF(2455668.71834="","-",(3629752.43882-2455668.71834)/2455668.71834*100)</f>
        <v>47.81116083417249</v>
      </c>
      <c r="I6" s="64">
        <f>IF(3629752.43882="","-",(3358202.51081-3629752.43882)/3629752.43882*100)</f>
        <v>-7.4812244798237089</v>
      </c>
      <c r="J6" s="26"/>
      <c r="K6" s="26"/>
      <c r="L6" s="26"/>
    </row>
    <row r="7" spans="1:12" s="27" customFormat="1" ht="12.75" x14ac:dyDescent="0.2">
      <c r="A7" s="42"/>
      <c r="B7" s="43" t="s">
        <v>329</v>
      </c>
      <c r="C7" s="51"/>
      <c r="D7" s="21"/>
      <c r="E7" s="67"/>
      <c r="F7" s="21"/>
      <c r="G7" s="21"/>
      <c r="H7" s="21"/>
      <c r="I7" s="21"/>
      <c r="J7" s="26"/>
      <c r="K7" s="26"/>
      <c r="L7" s="26"/>
    </row>
    <row r="8" spans="1:12" x14ac:dyDescent="0.25">
      <c r="A8" s="30" t="s">
        <v>182</v>
      </c>
      <c r="B8" s="31" t="s">
        <v>156</v>
      </c>
      <c r="C8" s="51">
        <v>798581.36942</v>
      </c>
      <c r="D8" s="21">
        <v>746347.43793999997</v>
      </c>
      <c r="E8" s="67">
        <f>IF(798581.36942="","-",746347.43794/798581.36942*100)</f>
        <v>93.459159770038596</v>
      </c>
      <c r="F8" s="21">
        <f>IF(798581.36942="","-",798581.36942/3629752.43882*100)</f>
        <v>22.000987198995084</v>
      </c>
      <c r="G8" s="21">
        <f>IF(746347.43794="","-",746347.43794/3358202.51081*100)</f>
        <v>22.224610801091345</v>
      </c>
      <c r="H8" s="21">
        <f>IF(2455668.71834="","-",(798581.36942-591888.17824)/2455668.71834*100)</f>
        <v>8.4169818850696547</v>
      </c>
      <c r="I8" s="21">
        <f>IF(3629752.43882="","-",(746347.43794-798581.36942)/3629752.43882*100)</f>
        <v>-1.4390494217005283</v>
      </c>
    </row>
    <row r="9" spans="1:12" x14ac:dyDescent="0.25">
      <c r="A9" s="32" t="s">
        <v>183</v>
      </c>
      <c r="B9" s="33" t="s">
        <v>17</v>
      </c>
      <c r="C9" s="50">
        <v>4044.1605599999998</v>
      </c>
      <c r="D9" s="22">
        <v>6314.3254399999996</v>
      </c>
      <c r="E9" s="68">
        <f>IF(OR(4044.16056="",6314.32544=""),"-",6314.32544/4044.16056*100)</f>
        <v>156.13439047039219</v>
      </c>
      <c r="F9" s="22">
        <f>IF(4044.16056="","-",4044.16056/3629752.43882*100)</f>
        <v>0.11141698030829675</v>
      </c>
      <c r="G9" s="22">
        <f>IF(6314.32544="","-",6314.32544/3358202.51081*100)</f>
        <v>0.18802694059319791</v>
      </c>
      <c r="H9" s="22">
        <f>IF(OR(2455668.71834="",6462.92569="",4044.16056=""),"-",(4044.16056-6462.92569)/2455668.71834*100)</f>
        <v>-9.8497208191626676E-2</v>
      </c>
      <c r="I9" s="22">
        <f>IF(OR(3629752.43882="",6314.32544="",4044.16056=""),"-",(6314.32544-4044.16056)/3629752.43882*100)</f>
        <v>6.2543242776579286E-2</v>
      </c>
      <c r="J9" s="30"/>
    </row>
    <row r="10" spans="1:12" x14ac:dyDescent="0.25">
      <c r="A10" s="32" t="s">
        <v>184</v>
      </c>
      <c r="B10" s="33" t="s">
        <v>157</v>
      </c>
      <c r="C10" s="50">
        <v>3624.3330099999998</v>
      </c>
      <c r="D10" s="22">
        <v>3773.13472</v>
      </c>
      <c r="E10" s="68">
        <f>IF(OR(3624.33301="",3773.13472=""),"-",3773.13472/3624.33301*100)</f>
        <v>104.10563018324854</v>
      </c>
      <c r="F10" s="22">
        <f>IF(3624.33301="","-",3624.33301/3629752.43882*100)</f>
        <v>9.985069425776702E-2</v>
      </c>
      <c r="G10" s="22">
        <f>IF(3773.13472="","-",3773.13472/3358202.51081*100)</f>
        <v>0.11235578282888957</v>
      </c>
      <c r="H10" s="22">
        <f>IF(OR(2455668.71834="",6395.40602="",3624.33301=""),"-",(3624.33301-6395.40602)/2455668.71834*100)</f>
        <v>-0.11284392676033311</v>
      </c>
      <c r="I10" s="22">
        <f>IF(OR(3629752.43882="",3773.13472="",3624.33301=""),"-",(3773.13472-3624.33301)/3629752.43882*100)</f>
        <v>4.0995002416300951E-3</v>
      </c>
      <c r="J10" s="32"/>
    </row>
    <row r="11" spans="1:12" s="2" customFormat="1" x14ac:dyDescent="0.25">
      <c r="A11" s="32" t="s">
        <v>185</v>
      </c>
      <c r="B11" s="33" t="s">
        <v>158</v>
      </c>
      <c r="C11" s="50">
        <v>15199.12047</v>
      </c>
      <c r="D11" s="22">
        <v>14855.62333</v>
      </c>
      <c r="E11" s="68">
        <f>IF(OR(15199.12047="",14855.62333=""),"-",14855.62333/15199.12047*100)</f>
        <v>97.740019623648649</v>
      </c>
      <c r="F11" s="22">
        <f>IF(15199.12047="","-",15199.12047/3629752.43882*100)</f>
        <v>0.41873711020746912</v>
      </c>
      <c r="G11" s="22">
        <f>IF(14855.62333="","-",14855.62333/3358202.51081*100)</f>
        <v>0.44236829917731252</v>
      </c>
      <c r="H11" s="22">
        <f>IF(OR(2455668.71834="",10195.65409="",15199.12047=""),"-",(15199.12047-10195.65409)/2455668.71834*100)</f>
        <v>0.20375168452617165</v>
      </c>
      <c r="I11" s="22">
        <f>IF(OR(3629752.43882="",14855.62333="",15199.12047=""),"-",(14855.62333-15199.12047)/3629752.43882*100)</f>
        <v>-9.4633765191894838E-3</v>
      </c>
      <c r="J11" s="32"/>
      <c r="K11" s="16"/>
      <c r="L11" s="16"/>
    </row>
    <row r="12" spans="1:12" s="2" customFormat="1" x14ac:dyDescent="0.25">
      <c r="A12" s="32" t="s">
        <v>186</v>
      </c>
      <c r="B12" s="33" t="s">
        <v>159</v>
      </c>
      <c r="C12" s="50">
        <v>56.987340000000003</v>
      </c>
      <c r="D12" s="22">
        <v>245.36202</v>
      </c>
      <c r="E12" s="68" t="s">
        <v>404</v>
      </c>
      <c r="F12" s="22">
        <f>IF(56.98734="","-",56.98734/3629752.43882*100)</f>
        <v>1.5700062458949978E-3</v>
      </c>
      <c r="G12" s="22">
        <f>IF(245.36202="","-",245.36202/3358202.51081*100)</f>
        <v>7.3063497275754983E-3</v>
      </c>
      <c r="H12" s="22">
        <f>IF(OR(2455668.71834="",39.54038="",56.98734=""),"-",(56.98734-39.54038)/2455668.71834*100)</f>
        <v>7.1047694136014894E-4</v>
      </c>
      <c r="I12" s="22">
        <f>IF(OR(3629752.43882="",245.36202="",56.98734=""),"-",(245.36202-56.98734)/3629752.43882*100)</f>
        <v>5.1897390572795904E-3</v>
      </c>
      <c r="J12" s="32"/>
      <c r="K12" s="16"/>
      <c r="L12" s="16"/>
    </row>
    <row r="13" spans="1:12" s="2" customFormat="1" x14ac:dyDescent="0.25">
      <c r="A13" s="32" t="s">
        <v>187</v>
      </c>
      <c r="B13" s="33" t="s">
        <v>160</v>
      </c>
      <c r="C13" s="50">
        <v>405505.76737999998</v>
      </c>
      <c r="D13" s="22">
        <v>344755.60314999998</v>
      </c>
      <c r="E13" s="68">
        <f>IF(OR(405505.76738="",344755.60315=""),"-",344755.60315/405505.76738*100)</f>
        <v>85.018668261487164</v>
      </c>
      <c r="F13" s="22">
        <f>IF(405505.76738="","-",405505.76738/3629752.43882*100)</f>
        <v>11.171719675511156</v>
      </c>
      <c r="G13" s="22">
        <f>IF(344755.60315="","-",344755.60315/3358202.51081*100)</f>
        <v>10.26607543887652</v>
      </c>
      <c r="H13" s="22">
        <f>IF(OR(2455668.71834="",270200.34331="",405505.76738=""),"-",(405505.76738-270200.34331)/2455668.71834*100)</f>
        <v>5.5099217194681147</v>
      </c>
      <c r="I13" s="22">
        <f>IF(OR(3629752.43882="",344755.60315="",405505.76738=""),"-",(344755.60315-405505.76738)/3629752.43882*100)</f>
        <v>-1.6736723854850371</v>
      </c>
      <c r="J13" s="32"/>
      <c r="K13" s="16"/>
      <c r="L13" s="16"/>
    </row>
    <row r="14" spans="1:12" s="2" customFormat="1" x14ac:dyDescent="0.25">
      <c r="A14" s="32" t="s">
        <v>188</v>
      </c>
      <c r="B14" s="33" t="s">
        <v>161</v>
      </c>
      <c r="C14" s="50">
        <v>289353.36781999998</v>
      </c>
      <c r="D14" s="22">
        <v>287877.73301000003</v>
      </c>
      <c r="E14" s="68">
        <f>IF(OR(289353.36782="",287877.73301=""),"-",287877.73301/289353.36782*100)</f>
        <v>99.490023281526845</v>
      </c>
      <c r="F14" s="22">
        <f>IF(289353.36782="","-",289353.36782/3629752.43882*100)</f>
        <v>7.9717108176684963</v>
      </c>
      <c r="G14" s="22">
        <f>IF(287877.73301="","-",287877.73301/3358202.51081*100)</f>
        <v>8.572375611158833</v>
      </c>
      <c r="H14" s="22">
        <f>IF(OR(2455668.71834="",244136.56712="",289353.36782=""),"-",(289353.36782-244136.56712)/2455668.71834*100)</f>
        <v>1.8413233170378924</v>
      </c>
      <c r="I14" s="22">
        <f>IF(OR(3629752.43882="",287877.73301="",289353.36782=""),"-",(287877.73301-289353.36782)/3629752.43882*100)</f>
        <v>-4.0653869234114355E-2</v>
      </c>
      <c r="J14" s="32"/>
      <c r="K14" s="16"/>
      <c r="L14" s="16"/>
    </row>
    <row r="15" spans="1:12" s="2" customFormat="1" x14ac:dyDescent="0.25">
      <c r="A15" s="32" t="s">
        <v>189</v>
      </c>
      <c r="B15" s="33" t="s">
        <v>119</v>
      </c>
      <c r="C15" s="50">
        <v>20081.030869999999</v>
      </c>
      <c r="D15" s="22">
        <v>15887.1325</v>
      </c>
      <c r="E15" s="68">
        <f>IF(OR(20081.03087="",15887.1325=""),"-",15887.1325/20081.03087*100)</f>
        <v>79.115124133066985</v>
      </c>
      <c r="F15" s="22">
        <f>IF(20081.03087="","-",20081.03087/3629752.43882*100)</f>
        <v>0.55323417253569396</v>
      </c>
      <c r="G15" s="22">
        <f>IF(15887.1325="","-",15887.1325/3358202.51081*100)</f>
        <v>0.47308440896162679</v>
      </c>
      <c r="H15" s="22">
        <f>IF(OR(2455668.71834="",22548.61673="",20081.03087=""),"-",(20081.03087-22548.61673)/2455668.71834*100)</f>
        <v>-0.100485291096922</v>
      </c>
      <c r="I15" s="22">
        <f>IF(OR(3629752.43882="",15887.1325="",20081.03087=""),"-",(15887.1325-20081.03087)/3629752.43882*100)</f>
        <v>-0.11554227018753373</v>
      </c>
      <c r="J15" s="32"/>
      <c r="K15" s="16"/>
      <c r="L15" s="16"/>
    </row>
    <row r="16" spans="1:12" s="2" customFormat="1" ht="17.25" customHeight="1" x14ac:dyDescent="0.25">
      <c r="A16" s="32" t="s">
        <v>190</v>
      </c>
      <c r="B16" s="33" t="s">
        <v>162</v>
      </c>
      <c r="C16" s="50">
        <v>9512.1076499999999</v>
      </c>
      <c r="D16" s="22">
        <v>10234.150100000001</v>
      </c>
      <c r="E16" s="68">
        <f>IF(OR(9512.10765="",10234.1501=""),"-",10234.1501/9512.10765*100)</f>
        <v>107.59077248247921</v>
      </c>
      <c r="F16" s="22">
        <f>IF(9512.10765="","-",9512.10765/3629752.43882*100)</f>
        <v>0.26205940516131454</v>
      </c>
      <c r="G16" s="22">
        <f>IF(10234.1501="","-",10234.1501/3358202.51081*100)</f>
        <v>0.30475083224005806</v>
      </c>
      <c r="H16" s="22">
        <f>IF(OR(2455668.71834="",8711.76008="",9512.10765=""),"-",(9512.10765-8711.76008)/2455668.71834*100)</f>
        <v>3.2591837979718388E-2</v>
      </c>
      <c r="I16" s="22">
        <f>IF(OR(3629752.43882="",10234.1501="",9512.10765=""),"-",(10234.1501-9512.10765)/3629752.43882*100)</f>
        <v>1.9892333214733795E-2</v>
      </c>
      <c r="J16" s="32"/>
      <c r="K16" s="16"/>
      <c r="L16" s="16"/>
    </row>
    <row r="17" spans="1:12" s="2" customFormat="1" ht="15.75" customHeight="1" x14ac:dyDescent="0.25">
      <c r="A17" s="32" t="s">
        <v>191</v>
      </c>
      <c r="B17" s="33" t="s">
        <v>120</v>
      </c>
      <c r="C17" s="50">
        <v>44029.07028</v>
      </c>
      <c r="D17" s="22">
        <v>53229.713159999999</v>
      </c>
      <c r="E17" s="68">
        <f>IF(OR(44029.07028="",53229.71316=""),"-",53229.71316/44029.07028*100)</f>
        <v>120.89674576703327</v>
      </c>
      <c r="F17" s="22">
        <f>IF(44029.07028="","-",44029.07028/3629752.43882*100)</f>
        <v>1.2130047715957581</v>
      </c>
      <c r="G17" s="22">
        <f>IF(53229.71316="","-",53229.71316/3358202.51081*100)</f>
        <v>1.5850656113993844</v>
      </c>
      <c r="H17" s="22">
        <f>IF(OR(2455668.71834="",18610.54617="",44029.07028=""),"-",(44029.07028-18610.54617)/2455668.71834*100)</f>
        <v>1.0350958140307536</v>
      </c>
      <c r="I17" s="22">
        <f>IF(OR(3629752.43882="",53229.71316="",44029.07028=""),"-",(53229.71316-44029.07028)/3629752.43882*100)</f>
        <v>0.2534785232623481</v>
      </c>
      <c r="J17" s="32"/>
      <c r="K17" s="16"/>
      <c r="L17" s="16"/>
    </row>
    <row r="18" spans="1:12" s="2" customFormat="1" x14ac:dyDescent="0.25">
      <c r="A18" s="32" t="s">
        <v>192</v>
      </c>
      <c r="B18" s="33" t="s">
        <v>163</v>
      </c>
      <c r="C18" s="50">
        <v>7175.4240399999999</v>
      </c>
      <c r="D18" s="22">
        <v>9174.6605099999997</v>
      </c>
      <c r="E18" s="68">
        <f>IF(OR(7175.42404="",9174.66051=""),"-",9174.66051/7175.42404*100)</f>
        <v>127.86227627600945</v>
      </c>
      <c r="F18" s="22">
        <f>IF(7175.42404="","-",7175.42404/3629752.43882*100)</f>
        <v>0.19768356550323488</v>
      </c>
      <c r="G18" s="22">
        <f>IF(9174.66051="","-",9174.66051/3358202.51081*100)</f>
        <v>0.27320152612794835</v>
      </c>
      <c r="H18" s="22">
        <f>IF(OR(2455668.71834="",4586.81865="",7175.42404=""),"-",(7175.42404-4586.81865)/2455668.71834*100)</f>
        <v>0.105413461134524</v>
      </c>
      <c r="I18" s="22">
        <f>IF(OR(3629752.43882="",9174.66051="",7175.42404=""),"-",(9174.66051-7175.42404)/3629752.43882*100)</f>
        <v>5.5079141172777443E-2</v>
      </c>
      <c r="J18" s="32"/>
      <c r="K18" s="16"/>
      <c r="L18" s="16"/>
    </row>
    <row r="19" spans="1:12" s="2" customFormat="1" x14ac:dyDescent="0.25">
      <c r="A19" s="30" t="s">
        <v>193</v>
      </c>
      <c r="B19" s="31" t="s">
        <v>164</v>
      </c>
      <c r="C19" s="51">
        <v>152941.31503</v>
      </c>
      <c r="D19" s="21">
        <v>174820.92973999999</v>
      </c>
      <c r="E19" s="67">
        <f>IF(152941.31503="","-",174820.92974/152941.31503*100)</f>
        <v>114.30588896512903</v>
      </c>
      <c r="F19" s="21">
        <f>IF(152941.31503="","-",152941.31503/3629752.43882*100)</f>
        <v>4.2135467255094632</v>
      </c>
      <c r="G19" s="21">
        <f>IF(174820.92974="","-",174820.92974/3358202.51081*100)</f>
        <v>5.2057887866277932</v>
      </c>
      <c r="H19" s="21">
        <f>IF(2455668.71834="","-",(152941.31503-167538.07043)/2455668.71834*100)</f>
        <v>-0.59441060966347326</v>
      </c>
      <c r="I19" s="21">
        <f>IF(3629752.43882="","-",(174820.92974-152941.31503)/3629752.43882*100)</f>
        <v>0.6027853160452139</v>
      </c>
      <c r="J19" s="32"/>
      <c r="K19" s="16"/>
      <c r="L19" s="16"/>
    </row>
    <row r="20" spans="1:12" s="2" customFormat="1" x14ac:dyDescent="0.25">
      <c r="A20" s="32" t="s">
        <v>194</v>
      </c>
      <c r="B20" s="33" t="s">
        <v>165</v>
      </c>
      <c r="C20" s="50">
        <v>144345.68552</v>
      </c>
      <c r="D20" s="22">
        <v>166229.43004000001</v>
      </c>
      <c r="E20" s="68">
        <f>IF(OR(144345.68552="",166229.43004=""),"-",166229.43004/144345.68552*100)</f>
        <v>115.16065024123488</v>
      </c>
      <c r="F20" s="22">
        <f>IF(144345.68552="","-",144345.68552/3629752.43882*100)</f>
        <v>3.976736373980521</v>
      </c>
      <c r="G20" s="22">
        <f>IF(166229.43004="","-",166229.43004/3358202.51081*100)</f>
        <v>4.9499525268327371</v>
      </c>
      <c r="H20" s="22">
        <f>IF(OR(2455668.71834="",157026.99662="",144345.68552=""),"-",(144345.68552-157026.99662)/2455668.71834*100)</f>
        <v>-0.51640968528411246</v>
      </c>
      <c r="I20" s="22">
        <f>IF(OR(3629752.43882="",166229.43004="",144345.68552=""),"-",(166229.43004-144345.68552)/3629752.43882*100)</f>
        <v>0.60289909267515274</v>
      </c>
      <c r="J20" s="30"/>
      <c r="K20" s="16"/>
      <c r="L20" s="16"/>
    </row>
    <row r="21" spans="1:12" s="2" customFormat="1" x14ac:dyDescent="0.25">
      <c r="A21" s="32" t="s">
        <v>195</v>
      </c>
      <c r="B21" s="33" t="s">
        <v>166</v>
      </c>
      <c r="C21" s="50">
        <v>8595.6295100000007</v>
      </c>
      <c r="D21" s="22">
        <v>8591.4997000000003</v>
      </c>
      <c r="E21" s="68">
        <f>IF(OR(8595.62951="",8591.4997=""),"-",8591.4997/8595.62951*100)</f>
        <v>99.951954536951646</v>
      </c>
      <c r="F21" s="22">
        <f>IF(8595.62951="","-",8595.62951/3629752.43882*100)</f>
        <v>0.23681035152894239</v>
      </c>
      <c r="G21" s="22">
        <f>IF(8591.4997="","-",8591.4997/3358202.51081*100)</f>
        <v>0.25583625979505703</v>
      </c>
      <c r="H21" s="22">
        <f>IF(OR(2455668.71834="",10511.07381="",8595.62951=""),"-",(8595.62951-10511.07381)/2455668.71834*100)</f>
        <v>-7.8000924379360681E-2</v>
      </c>
      <c r="I21" s="22">
        <f>IF(OR(3629752.43882="",8591.4997="",8595.62951=""),"-",(8591.4997-8595.62951)/3629752.43882*100)</f>
        <v>-1.1377662993851245E-4</v>
      </c>
      <c r="J21" s="32"/>
      <c r="K21" s="16"/>
      <c r="L21" s="16"/>
    </row>
    <row r="22" spans="1:12" s="2" customFormat="1" x14ac:dyDescent="0.25">
      <c r="A22" s="30" t="s">
        <v>196</v>
      </c>
      <c r="B22" s="31" t="s">
        <v>18</v>
      </c>
      <c r="C22" s="51">
        <v>431652.89718999999</v>
      </c>
      <c r="D22" s="21">
        <v>284939.07397999999</v>
      </c>
      <c r="E22" s="67">
        <f>IF(431652.89719="","-",284939.07398/431652.89719*100)</f>
        <v>66.011157537668225</v>
      </c>
      <c r="F22" s="21">
        <f>IF(431652.89719="","-",431652.89719/3629752.43882*100)</f>
        <v>11.892075409151774</v>
      </c>
      <c r="G22" s="21">
        <f>IF(284939.07398="","-",284939.07398/3358202.51081*100)</f>
        <v>8.4848687076728009</v>
      </c>
      <c r="H22" s="21">
        <f>IF(2455668.71834="","-",(431652.89719-270774.5261)/2455668.71834*100)</f>
        <v>6.5513059594924368</v>
      </c>
      <c r="I22" s="21">
        <f>IF(3629752.43882="","-",(284939.07398-431652.89719)/3629752.43882*100)</f>
        <v>-4.0419787763182926</v>
      </c>
      <c r="J22" s="32"/>
      <c r="K22" s="16"/>
      <c r="L22" s="16"/>
    </row>
    <row r="23" spans="1:12" s="2" customFormat="1" x14ac:dyDescent="0.25">
      <c r="A23" s="32" t="s">
        <v>197</v>
      </c>
      <c r="B23" s="33" t="s">
        <v>173</v>
      </c>
      <c r="C23" s="50">
        <v>1019.61056</v>
      </c>
      <c r="D23" s="22">
        <v>1029.5070900000001</v>
      </c>
      <c r="E23" s="68">
        <f>IF(OR(1019.61056="",1029.50709=""),"-",1029.50709/1019.61056*100)</f>
        <v>100.97061862521315</v>
      </c>
      <c r="F23" s="22">
        <f>IF(1019.61056="","-",1019.61056/3629752.43882*100)</f>
        <v>2.8090360904377991E-2</v>
      </c>
      <c r="G23" s="22">
        <f>IF(1029.50709="","-",1029.50709/3358202.51081*100)</f>
        <v>3.065649217657462E-2</v>
      </c>
      <c r="H23" s="22">
        <f>IF(OR(2455668.71834="",996.82803="",1019.61056=""),"-",(1019.61056-996.82803)/2455668.71834*100)</f>
        <v>9.2775258445286729E-4</v>
      </c>
      <c r="I23" s="22">
        <f>IF(OR(3629752.43882="",1029.50709="",1019.61056=""),"-",(1029.50709-1019.61056)/3629752.43882*100)</f>
        <v>2.7265027482748579E-4</v>
      </c>
      <c r="J23" s="30"/>
      <c r="K23" s="16"/>
      <c r="L23" s="16"/>
    </row>
    <row r="24" spans="1:12" s="2" customFormat="1" x14ac:dyDescent="0.25">
      <c r="A24" s="32" t="s">
        <v>198</v>
      </c>
      <c r="B24" s="33" t="s">
        <v>167</v>
      </c>
      <c r="C24" s="50">
        <v>350352.36479999998</v>
      </c>
      <c r="D24" s="22">
        <v>227783.00417999999</v>
      </c>
      <c r="E24" s="68">
        <f>IF(OR(350352.3648="",227783.00418=""),"-",227783.00418/350352.3648*100)</f>
        <v>65.015403652271857</v>
      </c>
      <c r="F24" s="22">
        <f>IF(350352.3648="","-",350352.3648/3629752.43882*100)</f>
        <v>9.6522385673744857</v>
      </c>
      <c r="G24" s="22">
        <f>IF(227783.00418="","-",227783.00418/3358202.51081*100)</f>
        <v>6.7828846964044054</v>
      </c>
      <c r="H24" s="22">
        <f>IF(OR(2455668.71834="",182126.77554="",350352.3648=""),"-",(350352.3648-182126.77554)/2455668.71834*100)</f>
        <v>6.8505001510838266</v>
      </c>
      <c r="I24" s="22">
        <f>IF(OR(3629752.43882="",227783.00418="",350352.3648=""),"-",(227783.00418-350352.3648)/3629752.43882*100)</f>
        <v>-3.3767967013157021</v>
      </c>
      <c r="J24" s="32"/>
      <c r="K24" s="16"/>
      <c r="L24" s="16"/>
    </row>
    <row r="25" spans="1:12" s="2" customFormat="1" x14ac:dyDescent="0.25">
      <c r="A25" s="32" t="s">
        <v>251</v>
      </c>
      <c r="B25" s="33" t="s">
        <v>168</v>
      </c>
      <c r="C25" s="50">
        <v>83.783529999999999</v>
      </c>
      <c r="D25" s="22">
        <v>23.587050000000001</v>
      </c>
      <c r="E25" s="68">
        <f>IF(OR(83.78353="",23.58705=""),"-",23.58705/83.78353*100)</f>
        <v>28.152370758310134</v>
      </c>
      <c r="F25" s="22">
        <f>IF(83.78353="","-",83.78353/3629752.43882*100)</f>
        <v>2.3082436450469687E-3</v>
      </c>
      <c r="G25" s="22">
        <f>IF(23.58705="","-",23.58705/3358202.51081*100)</f>
        <v>7.023712811861008E-4</v>
      </c>
      <c r="H25" s="22">
        <f>IF(OR(2455668.71834="",0.73095="",83.78353=""),"-",(83.78353-0.73095)/2455668.71834*100)</f>
        <v>3.3820759037946481E-3</v>
      </c>
      <c r="I25" s="22">
        <f>IF(OR(3629752.43882="",23.58705="",83.78353=""),"-",(23.58705-83.78353)/3629752.43882*100)</f>
        <v>-1.6584183360882137E-3</v>
      </c>
      <c r="J25" s="32"/>
      <c r="K25" s="16"/>
      <c r="L25" s="16"/>
    </row>
    <row r="26" spans="1:12" s="2" customFormat="1" x14ac:dyDescent="0.25">
      <c r="A26" s="32" t="s">
        <v>199</v>
      </c>
      <c r="B26" s="33" t="s">
        <v>169</v>
      </c>
      <c r="C26" s="50">
        <v>3415.098</v>
      </c>
      <c r="D26" s="22">
        <v>2611.9961400000002</v>
      </c>
      <c r="E26" s="68">
        <f>IF(OR(3415.098="",2611.99614=""),"-",2611.99614/3415.098*100)</f>
        <v>76.483782895834921</v>
      </c>
      <c r="F26" s="22">
        <f>IF(3415.098="","-",3415.098/3629752.43882*100)</f>
        <v>9.4086251268150331E-2</v>
      </c>
      <c r="G26" s="22">
        <f>IF(2611.99614="","-",2611.99614/3358202.51081*100)</f>
        <v>7.7779589872618668E-2</v>
      </c>
      <c r="H26" s="22">
        <f>IF(OR(2455668.71834="",2049.25406="",3415.098=""),"-",(3415.098-2049.25406)/2455668.71834*100)</f>
        <v>5.562004067565321E-2</v>
      </c>
      <c r="I26" s="22">
        <f>IF(OR(3629752.43882="",2611.99614="",3415.098=""),"-",(2611.99614-3415.098)/3629752.43882*100)</f>
        <v>-2.2125527113388509E-2</v>
      </c>
      <c r="J26" s="32"/>
      <c r="K26" s="16"/>
      <c r="L26" s="16"/>
    </row>
    <row r="27" spans="1:12" s="2" customFormat="1" x14ac:dyDescent="0.25">
      <c r="A27" s="32" t="s">
        <v>200</v>
      </c>
      <c r="B27" s="33" t="s">
        <v>121</v>
      </c>
      <c r="C27" s="50">
        <v>4141.1144899999999</v>
      </c>
      <c r="D27" s="22">
        <v>2787.95</v>
      </c>
      <c r="E27" s="68">
        <f>IF(OR(4141.11449="",2787.95=""),"-",2787.95/4141.11449*100)</f>
        <v>67.32366387677439</v>
      </c>
      <c r="F27" s="22">
        <f>IF(4141.11449="","-",4141.11449/3629752.43882*100)</f>
        <v>0.11408806963557655</v>
      </c>
      <c r="G27" s="22">
        <f>IF(2787.95="","-",2787.95/3358202.51081*100)</f>
        <v>8.3019114869506347E-2</v>
      </c>
      <c r="H27" s="22">
        <f>IF(OR(2455668.71834="",4188.44089="",4141.11449=""),"-",(4141.11449-4188.44089)/2455668.71834*100)</f>
        <v>-1.927230641761481E-3</v>
      </c>
      <c r="I27" s="22">
        <f>IF(OR(3629752.43882="",2787.95="",4141.11449=""),"-",(2787.95-4141.11449)/3629752.43882*100)</f>
        <v>-3.7279801110620694E-2</v>
      </c>
      <c r="J27" s="32"/>
      <c r="K27" s="16"/>
      <c r="L27" s="16"/>
    </row>
    <row r="28" spans="1:12" s="2" customFormat="1" ht="27.75" customHeight="1" x14ac:dyDescent="0.25">
      <c r="A28" s="32" t="s">
        <v>201</v>
      </c>
      <c r="B28" s="33" t="s">
        <v>122</v>
      </c>
      <c r="C28" s="50">
        <v>90.202830000000006</v>
      </c>
      <c r="D28" s="22">
        <v>214.54347000000001</v>
      </c>
      <c r="E28" s="68" t="s">
        <v>340</v>
      </c>
      <c r="F28" s="22">
        <f>IF(90.20283="","-",90.20283/3629752.43882*100)</f>
        <v>2.4850959265234119E-3</v>
      </c>
      <c r="G28" s="22">
        <f>IF(214.54347="","-",214.54347/3358202.51081*100)</f>
        <v>6.388640033154285E-3</v>
      </c>
      <c r="H28" s="22">
        <f>IF(OR(2455668.71834="",229.67679="",90.20283=""),"-",(90.20283-229.67679)/2455668.71834*100)</f>
        <v>-5.6796732783354663E-3</v>
      </c>
      <c r="I28" s="22">
        <f>IF(OR(3629752.43882="",214.54347="",90.20283=""),"-",(214.54347-90.20283)/3629752.43882*100)</f>
        <v>3.4255956045427176E-3</v>
      </c>
      <c r="J28" s="32"/>
      <c r="K28" s="16"/>
      <c r="L28" s="16"/>
    </row>
    <row r="29" spans="1:12" s="2" customFormat="1" ht="29.25" customHeight="1" x14ac:dyDescent="0.25">
      <c r="A29" s="32" t="s">
        <v>202</v>
      </c>
      <c r="B29" s="33" t="s">
        <v>123</v>
      </c>
      <c r="C29" s="50">
        <v>18794.141350000002</v>
      </c>
      <c r="D29" s="22">
        <v>18065.257949999999</v>
      </c>
      <c r="E29" s="68">
        <f>IF(OR(18794.14135="",18065.25795=""),"-",18065.25795/18794.14135*100)</f>
        <v>96.121752058654167</v>
      </c>
      <c r="F29" s="22">
        <f>IF(18794.14135="","-",18794.14135/3629752.43882*100)</f>
        <v>0.51778025269706296</v>
      </c>
      <c r="G29" s="22">
        <f>IF(18065.25795="","-",18065.25795/3358202.51081*100)</f>
        <v>0.53794426905013093</v>
      </c>
      <c r="H29" s="22">
        <f>IF(OR(2455668.71834="",6775.91919="",18794.14135=""),"-",(18794.14135-6775.91919)/2455668.71834*100)</f>
        <v>0.48940730768131302</v>
      </c>
      <c r="I29" s="22">
        <f>IF(OR(3629752.43882="",18065.25795="",18794.14135=""),"-",(18065.25795-18794.14135)/3629752.43882*100)</f>
        <v>-2.0080801990919137E-2</v>
      </c>
      <c r="J29" s="32"/>
      <c r="K29" s="16"/>
      <c r="L29" s="16"/>
    </row>
    <row r="30" spans="1:12" s="2" customFormat="1" ht="15.75" customHeight="1" x14ac:dyDescent="0.25">
      <c r="A30" s="32" t="s">
        <v>203</v>
      </c>
      <c r="B30" s="33" t="s">
        <v>124</v>
      </c>
      <c r="C30" s="50">
        <v>50381.509890000001</v>
      </c>
      <c r="D30" s="22">
        <v>28287.335370000001</v>
      </c>
      <c r="E30" s="68">
        <f>IF(OR(50381.50989="",28287.33537=""),"-",28287.33537/50381.50989*100)</f>
        <v>56.146263642675443</v>
      </c>
      <c r="F30" s="22">
        <f>IF(50381.50989="","-",50381.50989/3629752.43882*100)</f>
        <v>1.3880150434275507</v>
      </c>
      <c r="G30" s="22">
        <f>IF(28287.33537="","-",28287.33537/3358202.51081*100)</f>
        <v>0.84233560301808852</v>
      </c>
      <c r="H30" s="22">
        <f>IF(OR(2455668.71834="",71314.40198="",50381.50989=""),"-",(50381.50989-71314.40198)/2455668.71834*100)</f>
        <v>-0.8524314348130132</v>
      </c>
      <c r="I30" s="22">
        <f>IF(OR(3629752.43882="",28287.33537="",50381.50989=""),"-",(28287.33537-50381.50989)/3629752.43882*100)</f>
        <v>-0.60869645774472214</v>
      </c>
      <c r="J30" s="32"/>
      <c r="K30" s="16"/>
      <c r="L30" s="16"/>
    </row>
    <row r="31" spans="1:12" s="2" customFormat="1" x14ac:dyDescent="0.25">
      <c r="A31" s="32" t="s">
        <v>204</v>
      </c>
      <c r="B31" s="33" t="s">
        <v>125</v>
      </c>
      <c r="C31" s="50">
        <v>3375.0717399999999</v>
      </c>
      <c r="D31" s="22">
        <v>4135.8927299999996</v>
      </c>
      <c r="E31" s="68">
        <f>IF(OR(3375.07174="",4135.89273=""),"-",4135.89273/3375.07174*100)</f>
        <v>122.54236498095889</v>
      </c>
      <c r="F31" s="22">
        <f>IF(3375.07174="","-",3375.07174/3629752.43882*100)</f>
        <v>9.2983524272999885E-2</v>
      </c>
      <c r="G31" s="22">
        <f>IF(4135.89273="","-",4135.89273/3358202.51081*100)</f>
        <v>0.12315793096713576</v>
      </c>
      <c r="H31" s="22">
        <f>IF(OR(2455668.71834="",3092.49867="",3375.07174=""),"-",(3375.07174-3092.49867)/2455668.71834*100)</f>
        <v>1.1506970296507081E-2</v>
      </c>
      <c r="I31" s="22">
        <f>IF(OR(3629752.43882="",4135.89273="",3375.07174=""),"-",(4135.89273-3375.07174)/3629752.43882*100)</f>
        <v>2.0960685413778133E-2</v>
      </c>
      <c r="J31" s="32"/>
      <c r="K31" s="16"/>
      <c r="L31" s="16"/>
    </row>
    <row r="32" spans="1:12" s="2" customFormat="1" x14ac:dyDescent="0.25">
      <c r="A32" s="30" t="s">
        <v>205</v>
      </c>
      <c r="B32" s="31" t="s">
        <v>126</v>
      </c>
      <c r="C32" s="51">
        <v>463864.39159000001</v>
      </c>
      <c r="D32" s="21">
        <v>414140.93985999998</v>
      </c>
      <c r="E32" s="67">
        <f>IF(463864.39159="","-",414140.93986/463864.39159*100)</f>
        <v>89.280606006518056</v>
      </c>
      <c r="F32" s="21">
        <f>IF(463864.39159="","-",463864.39159/3629752.43882*100)</f>
        <v>12.779504922401767</v>
      </c>
      <c r="G32" s="21">
        <f>IF(414140.93986="","-",414140.93986/3358202.51081*100)</f>
        <v>12.332220541402341</v>
      </c>
      <c r="H32" s="21">
        <f>IF(2455668.71834="","-",(463864.39159-14754.76711)/2455668.71834*100)</f>
        <v>18.288689395513913</v>
      </c>
      <c r="I32" s="21">
        <f>IF(3629752.43882="","-",(414140.93986-463864.39159)/3629752.43882*100)</f>
        <v>-1.3698854830486642</v>
      </c>
      <c r="J32" s="32"/>
      <c r="K32" s="16"/>
      <c r="L32" s="16"/>
    </row>
    <row r="33" spans="1:12" s="2" customFormat="1" x14ac:dyDescent="0.25">
      <c r="A33" s="32" t="s">
        <v>206</v>
      </c>
      <c r="B33" s="33" t="s">
        <v>170</v>
      </c>
      <c r="C33" s="50">
        <v>813.15363000000002</v>
      </c>
      <c r="D33" s="22">
        <v>146.85535999999999</v>
      </c>
      <c r="E33" s="68">
        <f>IF(OR(813.15363="",146.85536=""),"-",146.85536/813.15363*100)</f>
        <v>18.059977177990337</v>
      </c>
      <c r="F33" s="22">
        <f>IF(813.15363="","-",813.15363/3629752.43882*100)</f>
        <v>2.2402454263915281E-2</v>
      </c>
      <c r="G33" s="22">
        <f>IF(146.85536="","-",146.85536/3358202.51081*100)</f>
        <v>4.3730346674232699E-3</v>
      </c>
      <c r="H33" s="22">
        <f>IF(OR(2455668.71834="",379.90658="",813.15363=""),"-",(813.15363-379.90658)/2455668.71834*100)</f>
        <v>1.7642731968051023E-2</v>
      </c>
      <c r="I33" s="22">
        <f>IF(OR(3629752.43882="",146.85536="",813.15363=""),"-",(146.85536-813.15363)/3629752.43882*100)</f>
        <v>-1.8356576136542461E-2</v>
      </c>
      <c r="J33" s="30"/>
      <c r="K33" s="16"/>
      <c r="L33" s="16"/>
    </row>
    <row r="34" spans="1:12" s="2" customFormat="1" x14ac:dyDescent="0.25">
      <c r="A34" s="32" t="s">
        <v>207</v>
      </c>
      <c r="B34" s="33" t="s">
        <v>127</v>
      </c>
      <c r="C34" s="50">
        <v>439169.29181000002</v>
      </c>
      <c r="D34" s="22">
        <v>367823.85993999999</v>
      </c>
      <c r="E34" s="68">
        <f>IF(OR(439169.29181="",367823.85994=""),"-",367823.85994/439169.29181*100)</f>
        <v>83.754457973152967</v>
      </c>
      <c r="F34" s="22">
        <f>IF(439169.29181="","-",439169.29181/3629752.43882*100)</f>
        <v>12.09915274422324</v>
      </c>
      <c r="G34" s="22">
        <f>IF(367823.85994="","-",367823.85994/3358202.51081*100)</f>
        <v>10.952998181496824</v>
      </c>
      <c r="H34" s="22">
        <f>IF(OR(2455668.71834="",14369.78856="",439169.29181=""),"-",(439169.29181-14369.78856)/2455668.71834*100)</f>
        <v>17.298730080218593</v>
      </c>
      <c r="I34" s="22">
        <f>IF(OR(3629752.43882="",367823.85994="",439169.29181=""),"-",(367823.85994-439169.29181)/3629752.43882*100)</f>
        <v>-1.9655729439552023</v>
      </c>
      <c r="J34" s="32"/>
      <c r="K34" s="16"/>
      <c r="L34" s="16"/>
    </row>
    <row r="35" spans="1:12" s="2" customFormat="1" x14ac:dyDescent="0.25">
      <c r="A35" s="34" t="s">
        <v>252</v>
      </c>
      <c r="B35" s="33" t="s">
        <v>272</v>
      </c>
      <c r="C35" s="50">
        <v>5843.0714799999996</v>
      </c>
      <c r="D35" s="22">
        <v>6676.2387200000003</v>
      </c>
      <c r="E35" s="68">
        <f>IF(OR(5843.07148="",6676.23872=""),"-",6676.23872/5843.07148*100)</f>
        <v>114.2590629406437</v>
      </c>
      <c r="F35" s="22">
        <f>IF(5843.07148="","-",5843.07148/3629752.43882*100)</f>
        <v>0.16097713490068016</v>
      </c>
      <c r="G35" s="22">
        <f>IF(6676.23872="","-",6676.23872/3358202.51081*100)</f>
        <v>0.19880393450095088</v>
      </c>
      <c r="H35" s="22" t="str">
        <f>IF(OR(2455668.71834="",""="",5843.07148=""),"-",(5843.07148-"")/2455668.71834*100)</f>
        <v>-</v>
      </c>
      <c r="I35" s="22">
        <f>IF(OR(3629752.43882="",6676.23872="",5843.07148=""),"-",(6676.23872-5843.07148)/3629752.43882*100)</f>
        <v>2.2953830985532882E-2</v>
      </c>
      <c r="J35" s="32"/>
      <c r="K35" s="16"/>
      <c r="L35" s="16"/>
    </row>
    <row r="36" spans="1:12" s="2" customFormat="1" x14ac:dyDescent="0.25">
      <c r="A36" s="32" t="s">
        <v>257</v>
      </c>
      <c r="B36" s="33" t="s">
        <v>258</v>
      </c>
      <c r="C36" s="50">
        <v>18038.874670000001</v>
      </c>
      <c r="D36" s="22">
        <v>39493.985840000001</v>
      </c>
      <c r="E36" s="68" t="s">
        <v>345</v>
      </c>
      <c r="F36" s="22">
        <f>IF(18038.87467="","-",18038.87467/3629752.43882*100)</f>
        <v>0.49697258901392949</v>
      </c>
      <c r="G36" s="22">
        <f>IF(39493.98584="","-",39493.98584/3358202.51081*100)</f>
        <v>1.1760453907371426</v>
      </c>
      <c r="H36" s="22">
        <f>IF(OR(2455668.71834="",5.07197="",18038.87467=""),"-",(18038.87467-5.07197)/2455668.71834*100)</f>
        <v>0.73437441155298067</v>
      </c>
      <c r="I36" s="22">
        <f>IF(OR(3629752.43882="",39493.98584="",18038.87467=""),"-",(39493.98584-18038.87467)/3629752.43882*100)</f>
        <v>0.5910902060575477</v>
      </c>
      <c r="J36" s="32"/>
      <c r="K36" s="16"/>
      <c r="L36" s="16"/>
    </row>
    <row r="37" spans="1:12" s="2" customFormat="1" ht="14.25" customHeight="1" x14ac:dyDescent="0.25">
      <c r="A37" s="30" t="s">
        <v>208</v>
      </c>
      <c r="B37" s="31" t="s">
        <v>128</v>
      </c>
      <c r="C37" s="51">
        <v>324324.28243999998</v>
      </c>
      <c r="D37" s="21">
        <v>207033.90255</v>
      </c>
      <c r="E37" s="67">
        <f>IF(324324.28244="","-",207033.90255/324324.28244*100)</f>
        <v>63.835461530174285</v>
      </c>
      <c r="F37" s="21">
        <f>IF(324324.28244="","-",324324.28244/3629752.43882*100)</f>
        <v>8.9351626014868089</v>
      </c>
      <c r="G37" s="21">
        <f>IF(207033.90255="","-",207033.90255/3358202.51081*100)</f>
        <v>6.1650213732960175</v>
      </c>
      <c r="H37" s="21">
        <f>IF(2455668.71834="","-",(324324.28244-73961.07164)/2455668.71834*100)</f>
        <v>10.195317020173725</v>
      </c>
      <c r="I37" s="21">
        <f>IF(3629752.43882="","-",(207033.90255-324324.28244)/3629752.43882*100)</f>
        <v>-3.2313603163561764</v>
      </c>
      <c r="J37" s="32"/>
      <c r="K37" s="16"/>
      <c r="L37" s="16"/>
    </row>
    <row r="38" spans="1:12" s="2" customFormat="1" x14ac:dyDescent="0.25">
      <c r="A38" s="32" t="s">
        <v>209</v>
      </c>
      <c r="B38" s="33" t="s">
        <v>174</v>
      </c>
      <c r="C38" s="50">
        <v>2.7789799999999998</v>
      </c>
      <c r="D38" s="22">
        <v>1.9330099999999999</v>
      </c>
      <c r="E38" s="68">
        <f>IF(OR(2.77898="",1.93301=""),"-",1.93301/2.77898*100)</f>
        <v>69.558255187154998</v>
      </c>
      <c r="F38" s="22">
        <f>IF(2.77898="","-",2.77898/3629752.43882*100)</f>
        <v>7.6561144233390789E-5</v>
      </c>
      <c r="G38" s="22">
        <f>IF(1.93301="","-",1.93301/3358202.51081*100)</f>
        <v>5.7560852681685267E-5</v>
      </c>
      <c r="H38" s="22">
        <f>IF(OR(2455668.71834="",10.03732="",2.77898=""),"-",(2.77898-10.03732)/2455668.71834*100)</f>
        <v>-2.9557488539848901E-4</v>
      </c>
      <c r="I38" s="22">
        <f>IF(OR(3629752.43882="",1.93301="",2.77898=""),"-",(1.93301-2.77898)/3629752.43882*100)</f>
        <v>-2.3306548153323019E-5</v>
      </c>
      <c r="J38" s="30"/>
      <c r="K38" s="16"/>
      <c r="L38" s="16"/>
    </row>
    <row r="39" spans="1:12" s="2" customFormat="1" ht="28.5" customHeight="1" x14ac:dyDescent="0.25">
      <c r="A39" s="32" t="s">
        <v>210</v>
      </c>
      <c r="B39" s="33" t="s">
        <v>129</v>
      </c>
      <c r="C39" s="50">
        <v>324309.38578999997</v>
      </c>
      <c r="D39" s="22">
        <v>207022.80713</v>
      </c>
      <c r="E39" s="68">
        <f>IF(OR(324309.38579="",207022.80713=""),"-",207022.80713/324309.38579*100)</f>
        <v>63.834972467942528</v>
      </c>
      <c r="F39" s="22">
        <f>IF(324309.38579="","-",324309.38579/3629752.43882*100)</f>
        <v>8.934752197464741</v>
      </c>
      <c r="G39" s="22">
        <f>IF(207022.80713="","-",207022.80713/3358202.51081*100)</f>
        <v>6.1646909757108723</v>
      </c>
      <c r="H39" s="22">
        <f>IF(OR(2455668.71834="",73947.47199="",324309.38579=""),"-",(324309.38579-73947.47199)/2455668.71834*100)</f>
        <v>10.195264203603219</v>
      </c>
      <c r="I39" s="22">
        <f>IF(OR(3629752.43882="",207022.80713="",324309.38579=""),"-",(207022.80713-324309.38579)/3629752.43882*100)</f>
        <v>-3.2312555921342336</v>
      </c>
      <c r="J39" s="32"/>
      <c r="K39" s="16"/>
      <c r="L39" s="16"/>
    </row>
    <row r="40" spans="1:12" s="2" customFormat="1" ht="40.5" customHeight="1" x14ac:dyDescent="0.25">
      <c r="A40" s="32" t="s">
        <v>211</v>
      </c>
      <c r="B40" s="33" t="s">
        <v>172</v>
      </c>
      <c r="C40" s="50">
        <v>12.11767</v>
      </c>
      <c r="D40" s="22">
        <v>9.1624099999999995</v>
      </c>
      <c r="E40" s="68">
        <f>IF(OR(12.11767="",9.16241=""),"-",9.16241/12.11767*100)</f>
        <v>75.611978210332509</v>
      </c>
      <c r="F40" s="22">
        <f>IF(12.11767="","-",12.11767/3629752.43882*100)</f>
        <v>3.3384287783382125E-4</v>
      </c>
      <c r="G40" s="22">
        <f>IF(9.16241="","-",9.16241/3358202.51081*100)</f>
        <v>2.7283673246346368E-4</v>
      </c>
      <c r="H40" s="22">
        <f>IF(OR(2455668.71834="",3.56233="",12.11767=""),"-",(12.11767-3.56233)/2455668.71834*100)</f>
        <v>3.4839145590384433E-4</v>
      </c>
      <c r="I40" s="22">
        <f>IF(OR(3629752.43882="",9.16241="",12.11767=""),"-",(9.16241-12.11767)/3629752.43882*100)</f>
        <v>-8.1417673789365363E-5</v>
      </c>
      <c r="J40" s="32"/>
      <c r="K40" s="16"/>
      <c r="L40" s="16"/>
    </row>
    <row r="41" spans="1:12" s="2" customFormat="1" ht="27" customHeight="1" x14ac:dyDescent="0.25">
      <c r="A41" s="30" t="s">
        <v>212</v>
      </c>
      <c r="B41" s="31" t="s">
        <v>130</v>
      </c>
      <c r="C41" s="51">
        <v>116443.18034000001</v>
      </c>
      <c r="D41" s="21">
        <v>110820.62381</v>
      </c>
      <c r="E41" s="67">
        <f>IF(116443.18034="","-",110820.62381/116443.18034*100)</f>
        <v>95.171416210393062</v>
      </c>
      <c r="F41" s="21">
        <f>IF(116443.18034="","-",116443.18034/3629752.43882*100)</f>
        <v>3.2080198939918514</v>
      </c>
      <c r="G41" s="21">
        <f>IF(110820.62381="","-",110820.62381/3358202.51081*100)</f>
        <v>3.2999982417162217</v>
      </c>
      <c r="H41" s="21">
        <f>IF(2455668.71834="","-",(116443.18034-123067.41398)/2455668.71834*100)</f>
        <v>-0.26975273946877848</v>
      </c>
      <c r="I41" s="21">
        <f>IF(3629752.43882="","-",(110820.62381-116443.18034)/3629752.43882*100)</f>
        <v>-0.15490192856865589</v>
      </c>
      <c r="J41" s="32"/>
      <c r="K41" s="16"/>
      <c r="L41" s="16"/>
    </row>
    <row r="42" spans="1:12" s="2" customFormat="1" x14ac:dyDescent="0.25">
      <c r="A42" s="32" t="s">
        <v>213</v>
      </c>
      <c r="B42" s="33" t="s">
        <v>19</v>
      </c>
      <c r="C42" s="50">
        <v>39428.810559999998</v>
      </c>
      <c r="D42" s="22">
        <v>22633.081529999999</v>
      </c>
      <c r="E42" s="68">
        <f>IF(OR(39428.81056="",22633.08153=""),"-",22633.08153/39428.81056*100)</f>
        <v>57.402394869504278</v>
      </c>
      <c r="F42" s="22">
        <f>IF(39428.81056="","-",39428.81056/3629752.43882*100)</f>
        <v>1.0862672103560307</v>
      </c>
      <c r="G42" s="22">
        <f>IF(22633.08153="","-",22633.08153/3358202.51081*100)</f>
        <v>0.67396416556608707</v>
      </c>
      <c r="H42" s="22">
        <f>IF(OR(2455668.71834="",28079.76946="",39428.81056=""),"-",(39428.81056-28079.76946)/2455668.71834*100)</f>
        <v>0.46215684612669583</v>
      </c>
      <c r="I42" s="22">
        <f>IF(OR(3629752.43882="",22633.08153="",39428.81056=""),"-",(22633.08153-39428.81056)/3629752.43882*100)</f>
        <v>-0.46272381692951325</v>
      </c>
      <c r="J42" s="32"/>
      <c r="K42" s="16"/>
      <c r="L42" s="16"/>
    </row>
    <row r="43" spans="1:12" s="2" customFormat="1" x14ac:dyDescent="0.25">
      <c r="A43" s="32" t="s">
        <v>214</v>
      </c>
      <c r="B43" s="33" t="s">
        <v>20</v>
      </c>
      <c r="C43" s="50">
        <v>6722.45705</v>
      </c>
      <c r="D43" s="22">
        <v>7800.0823399999999</v>
      </c>
      <c r="E43" s="68">
        <f>IF(OR(6722.45705="",7800.08234=""),"-",7800.08234/6722.45705*100)</f>
        <v>116.03022945308368</v>
      </c>
      <c r="F43" s="22">
        <f>IF(6722.45705="","-",6722.45705/3629752.43882*100)</f>
        <v>0.18520428495628785</v>
      </c>
      <c r="G43" s="22">
        <f>IF(7800.08234="","-",7800.08234/3358202.51081*100)</f>
        <v>0.23226956429493634</v>
      </c>
      <c r="H43" s="22">
        <f>IF(OR(2455668.71834="",1012.74693="",6722.45705=""),"-",(6722.45705-1012.74693)/2455668.71834*100)</f>
        <v>0.23251141643648451</v>
      </c>
      <c r="I43" s="22">
        <f>IF(OR(3629752.43882="",7800.08234="",6722.45705=""),"-",(7800.08234-6722.45705)/3629752.43882*100)</f>
        <v>2.968867183543587E-2</v>
      </c>
      <c r="J43" s="32"/>
      <c r="K43" s="16"/>
      <c r="L43" s="16"/>
    </row>
    <row r="44" spans="1:12" s="2" customFormat="1" x14ac:dyDescent="0.25">
      <c r="A44" s="32" t="s">
        <v>215</v>
      </c>
      <c r="B44" s="33" t="s">
        <v>131</v>
      </c>
      <c r="C44" s="50">
        <v>2375.3297699999998</v>
      </c>
      <c r="D44" s="22">
        <v>4054.3455899999999</v>
      </c>
      <c r="E44" s="68" t="s">
        <v>333</v>
      </c>
      <c r="F44" s="22">
        <f>IF(2375.32977="","-",2375.32977/3629752.43882*100)</f>
        <v>6.5440544776442067E-2</v>
      </c>
      <c r="G44" s="22">
        <f>IF(4054.34559="","-",4054.34559/3358202.51081*100)</f>
        <v>0.12072963369389209</v>
      </c>
      <c r="H44" s="22">
        <f>IF(OR(2455668.71834="",2404.35544="",2375.32977=""),"-",(2375.32977-2404.35544)/2455668.71834*100)</f>
        <v>-1.1819863886046065E-3</v>
      </c>
      <c r="I44" s="22">
        <f>IF(OR(3629752.43882="",4054.34559="",2375.32977=""),"-",(4054.34559-2375.32977)/3629752.43882*100)</f>
        <v>4.6257034007141082E-2</v>
      </c>
      <c r="J44" s="32"/>
      <c r="K44" s="16"/>
      <c r="L44" s="16"/>
    </row>
    <row r="45" spans="1:12" s="2" customFormat="1" x14ac:dyDescent="0.25">
      <c r="A45" s="32" t="s">
        <v>216</v>
      </c>
      <c r="B45" s="33" t="s">
        <v>132</v>
      </c>
      <c r="C45" s="50">
        <v>38306.488870000001</v>
      </c>
      <c r="D45" s="22">
        <v>36335.376980000001</v>
      </c>
      <c r="E45" s="68">
        <f>IF(OR(38306.48887="",36335.37698=""),"-",36335.37698/38306.48887*100)</f>
        <v>94.854365544466049</v>
      </c>
      <c r="F45" s="22">
        <f>IF(38306.48887="","-",38306.48887/3629752.43882*100)</f>
        <v>1.055347148756324</v>
      </c>
      <c r="G45" s="22">
        <f>IF(36335.37698="","-",36335.37698/3358202.51081*100)</f>
        <v>1.0819888575223504</v>
      </c>
      <c r="H45" s="22">
        <f>IF(OR(2455668.71834="",70791.62932="",38306.48887=""),"-",(38306.48887-70791.62932)/2455668.71834*100)</f>
        <v>-1.322863308368383</v>
      </c>
      <c r="I45" s="22">
        <f>IF(OR(3629752.43882="",36335.37698="",38306.48887=""),"-",(36335.37698-38306.48887)/3629752.43882*100)</f>
        <v>-5.4304306511900602E-2</v>
      </c>
      <c r="J45" s="32"/>
      <c r="K45" s="16"/>
      <c r="L45" s="16"/>
    </row>
    <row r="46" spans="1:12" ht="28.5" customHeight="1" x14ac:dyDescent="0.25">
      <c r="A46" s="32" t="s">
        <v>217</v>
      </c>
      <c r="B46" s="33" t="s">
        <v>133</v>
      </c>
      <c r="C46" s="50">
        <v>15193.61434</v>
      </c>
      <c r="D46" s="22">
        <v>16109.601070000001</v>
      </c>
      <c r="E46" s="68">
        <f>IF(OR(15193.61434="",16109.60107=""),"-",16109.60107/15193.61434*100)</f>
        <v>106.02876122496079</v>
      </c>
      <c r="F46" s="22">
        <f>IF(15193.61434="","-",15193.61434/3629752.43882*100)</f>
        <v>0.41858541584007614</v>
      </c>
      <c r="G46" s="22">
        <f>IF(16109.60107="","-",16109.60107/3358202.51081*100)</f>
        <v>0.4797090413143178</v>
      </c>
      <c r="H46" s="22">
        <f>IF(OR(2455668.71834="",10724.93416="",15193.61434=""),"-",(15193.61434-10724.93416)/2455668.71834*100)</f>
        <v>0.18197406460512999</v>
      </c>
      <c r="I46" s="22">
        <f>IF(OR(3629752.43882="",16109.60107="",15193.61434=""),"-",(16109.60107-15193.61434)/3629752.43882*100)</f>
        <v>2.5235515243507343E-2</v>
      </c>
      <c r="J46" s="32"/>
    </row>
    <row r="47" spans="1:12" ht="18" customHeight="1" x14ac:dyDescent="0.25">
      <c r="A47" s="32" t="s">
        <v>218</v>
      </c>
      <c r="B47" s="33" t="s">
        <v>134</v>
      </c>
      <c r="C47" s="50">
        <v>76.174149999999997</v>
      </c>
      <c r="D47" s="22">
        <v>314.67653000000001</v>
      </c>
      <c r="E47" s="68" t="s">
        <v>405</v>
      </c>
      <c r="F47" s="22">
        <f>IF(76.17415="","-",76.17415/3629752.43882*100)</f>
        <v>2.0986045545509304E-3</v>
      </c>
      <c r="G47" s="22">
        <f>IF(314.67653="","-",314.67653/3358202.51081*100)</f>
        <v>9.3703857640229059E-3</v>
      </c>
      <c r="H47" s="22">
        <f>IF(OR(2455668.71834="",152.51542="",76.17415=""),"-",(76.17415-152.51542)/2455668.71834*100)</f>
        <v>-3.108777231629424E-3</v>
      </c>
      <c r="I47" s="22">
        <f>IF(OR(3629752.43882="",314.67653="",76.17415=""),"-",(314.67653-76.17415)/3629752.43882*100)</f>
        <v>6.5707616158399776E-3</v>
      </c>
      <c r="J47" s="32"/>
    </row>
    <row r="48" spans="1:12" x14ac:dyDescent="0.25">
      <c r="A48" s="32" t="s">
        <v>219</v>
      </c>
      <c r="B48" s="33" t="s">
        <v>21</v>
      </c>
      <c r="C48" s="50">
        <v>3841.2067699999998</v>
      </c>
      <c r="D48" s="22">
        <v>13884.95961</v>
      </c>
      <c r="E48" s="68" t="s">
        <v>336</v>
      </c>
      <c r="F48" s="22">
        <f>IF(3841.20677="","-",3841.20677/3629752.43882*100)</f>
        <v>0.10582558548397152</v>
      </c>
      <c r="G48" s="22">
        <f>IF(13884.95961="","-",13884.95961/3358202.51081*100)</f>
        <v>0.41346403515882491</v>
      </c>
      <c r="H48" s="22">
        <f>IF(OR(2455668.71834="",2229.98405="",3841.20677=""),"-",(3841.20677-2229.98405)/2455668.71834*100)</f>
        <v>6.5612381180192955E-2</v>
      </c>
      <c r="I48" s="22">
        <f>IF(OR(3629752.43882="",13884.95961="",3841.20677=""),"-",(13884.95961-3841.20677)/3629752.43882*100)</f>
        <v>0.27670627706128453</v>
      </c>
      <c r="J48" s="32"/>
    </row>
    <row r="49" spans="1:10" x14ac:dyDescent="0.25">
      <c r="A49" s="32" t="s">
        <v>220</v>
      </c>
      <c r="B49" s="33" t="s">
        <v>22</v>
      </c>
      <c r="C49" s="50">
        <v>5890.4318899999998</v>
      </c>
      <c r="D49" s="22">
        <v>4165.3873999999996</v>
      </c>
      <c r="E49" s="68">
        <f>IF(OR(5890.43189="",4165.3874=""),"-",4165.3874/5890.43189*100)</f>
        <v>70.714465047485675</v>
      </c>
      <c r="F49" s="22">
        <f>IF(5890.43189="","-",5890.43189/3629752.43882*100)</f>
        <v>0.16228191837553876</v>
      </c>
      <c r="G49" s="22">
        <f>IF(4165.3874="","-",4165.3874/3358202.51081*100)</f>
        <v>0.12403621838146105</v>
      </c>
      <c r="H49" s="22">
        <f>IF(OR(2455668.71834="",3051.2949="",5890.43189=""),"-",(5890.43189-3051.2949)/2455668.71834*100)</f>
        <v>0.1156156353174226</v>
      </c>
      <c r="I49" s="22">
        <f>IF(OR(3629752.43882="",4165.3874="",5890.43189=""),"-",(4165.3874-5890.43189)/3629752.43882*100)</f>
        <v>-4.7525127927479177E-2</v>
      </c>
      <c r="J49" s="32"/>
    </row>
    <row r="50" spans="1:10" x14ac:dyDescent="0.25">
      <c r="A50" s="32" t="s">
        <v>221</v>
      </c>
      <c r="B50" s="33" t="s">
        <v>135</v>
      </c>
      <c r="C50" s="50">
        <v>4608.6669400000001</v>
      </c>
      <c r="D50" s="22">
        <v>5523.11276</v>
      </c>
      <c r="E50" s="68">
        <f>IF(OR(4608.66694="",5523.11276=""),"-",5523.11276/4608.66694*100)</f>
        <v>119.84187253939422</v>
      </c>
      <c r="F50" s="22">
        <f>IF(4608.66694="","-",4608.66694/3629752.43882*100)</f>
        <v>0.1269691808926296</v>
      </c>
      <c r="G50" s="22">
        <f>IF(5523.11276="","-",5523.11276/3358202.51081*100)</f>
        <v>0.164466340020329</v>
      </c>
      <c r="H50" s="22">
        <f>IF(OR(2455668.71834="",4620.1843="",4608.66694=""),"-",(4608.66694-4620.1843)/2455668.71834*100)</f>
        <v>-4.6901114608754763E-4</v>
      </c>
      <c r="I50" s="22">
        <f>IF(OR(3629752.43882="",5523.11276="",4608.66694=""),"-",(5523.11276-4608.66694)/3629752.43882*100)</f>
        <v>2.5193063037028444E-2</v>
      </c>
      <c r="J50" s="30"/>
    </row>
    <row r="51" spans="1:10" ht="26.25" customHeight="1" x14ac:dyDescent="0.25">
      <c r="A51" s="30" t="s">
        <v>222</v>
      </c>
      <c r="B51" s="31" t="s">
        <v>328</v>
      </c>
      <c r="C51" s="51">
        <v>243784.69184000001</v>
      </c>
      <c r="D51" s="21">
        <v>234322.17642999999</v>
      </c>
      <c r="E51" s="67">
        <f>IF(243784.69184="","-",234322.17643/243784.69184*100)</f>
        <v>96.118494833051116</v>
      </c>
      <c r="F51" s="21">
        <f>IF(243784.69184="","-",243784.69184/3629752.43882*100)</f>
        <v>6.7162897731739584</v>
      </c>
      <c r="G51" s="21">
        <f>IF(234322.17643="","-",234322.17643/3358202.51081*100)</f>
        <v>6.9776070881884182</v>
      </c>
      <c r="H51" s="21">
        <f>IF(2455668.71834="","-",(243784.69184-201248.34521)/2455668.71834*100)</f>
        <v>1.7321695842896117</v>
      </c>
      <c r="I51" s="21">
        <f>IF(3629752.43882="","-",(234322.17643-243784.69184)/3629752.43882*100)</f>
        <v>-0.26069313457300691</v>
      </c>
      <c r="J51" s="32"/>
    </row>
    <row r="52" spans="1:10" x14ac:dyDescent="0.25">
      <c r="A52" s="32" t="s">
        <v>223</v>
      </c>
      <c r="B52" s="33" t="s">
        <v>136</v>
      </c>
      <c r="C52" s="50">
        <v>2874.4125100000001</v>
      </c>
      <c r="D52" s="22">
        <v>934.54413</v>
      </c>
      <c r="E52" s="68">
        <f>IF(OR(2874.41251="",934.54413=""),"-",934.54413/2874.41251*100)</f>
        <v>32.512526533639388</v>
      </c>
      <c r="F52" s="22">
        <f>IF(2874.41251="","-",2874.41251/3629752.43882*100)</f>
        <v>7.919031830541165E-2</v>
      </c>
      <c r="G52" s="22">
        <f>IF(934.54413="","-",934.54413/3358202.51081*100)</f>
        <v>2.7828700830033849E-2</v>
      </c>
      <c r="H52" s="22">
        <f>IF(OR(2455668.71834="",933.86565="",2874.41251=""),"-",(2874.41251-933.86565)/2455668.71834*100)</f>
        <v>7.902315346964979E-2</v>
      </c>
      <c r="I52" s="22">
        <f>IF(OR(3629752.43882="",934.54413="",2874.41251=""),"-",(934.54413-2874.41251)/3629752.43882*100)</f>
        <v>-5.3443545054291199E-2</v>
      </c>
      <c r="J52" s="32"/>
    </row>
    <row r="53" spans="1:10" x14ac:dyDescent="0.25">
      <c r="A53" s="32" t="s">
        <v>224</v>
      </c>
      <c r="B53" s="33" t="s">
        <v>23</v>
      </c>
      <c r="C53" s="50">
        <v>1091.53937</v>
      </c>
      <c r="D53" s="22">
        <v>2333.5064400000001</v>
      </c>
      <c r="E53" s="68" t="s">
        <v>339</v>
      </c>
      <c r="F53" s="22">
        <f>IF(1091.53937="","-",1091.53937/3629752.43882*100)</f>
        <v>3.0072005967295378E-2</v>
      </c>
      <c r="G53" s="22">
        <f>IF(2333.50644="","-",2333.50644/3358202.51081*100)</f>
        <v>6.9486769558669573E-2</v>
      </c>
      <c r="H53" s="22">
        <f>IF(OR(2455668.71834="",1112.56549="",1091.53937=""),"-",(1091.53937-1112.56549)/2455668.71834*100)</f>
        <v>-8.5622787157599051E-4</v>
      </c>
      <c r="I53" s="22">
        <f>IF(OR(3629752.43882="",2333.50644="",1091.53937=""),"-",(2333.50644-1091.53937)/3629752.43882*100)</f>
        <v>3.4216302376912311E-2</v>
      </c>
      <c r="J53" s="32"/>
    </row>
    <row r="54" spans="1:10" x14ac:dyDescent="0.25">
      <c r="A54" s="32" t="s">
        <v>225</v>
      </c>
      <c r="B54" s="33" t="s">
        <v>137</v>
      </c>
      <c r="C54" s="50">
        <v>22645.446970000001</v>
      </c>
      <c r="D54" s="22">
        <v>17336.911240000001</v>
      </c>
      <c r="E54" s="68">
        <f>IF(OR(22645.44697="",17336.91124=""),"-",17336.91124/22645.44697*100)</f>
        <v>76.558043932484154</v>
      </c>
      <c r="F54" s="22">
        <f>IF(22645.44697="","-",22645.44697/3629752.43882*100)</f>
        <v>0.62388406238971583</v>
      </c>
      <c r="G54" s="22">
        <f>IF(17336.91124="","-",17336.91124/3358202.51081*100)</f>
        <v>0.51625568095410457</v>
      </c>
      <c r="H54" s="22">
        <f>IF(OR(2455668.71834="",21220.62174="",22645.44697=""),"-",(22645.44697-21220.62174)/2455668.71834*100)</f>
        <v>5.8021882974636958E-2</v>
      </c>
      <c r="I54" s="22">
        <f>IF(OR(3629752.43882="",17336.91124="",22645.44697=""),"-",(17336.91124-22645.44697)/3629752.43882*100)</f>
        <v>-0.14625062781763037</v>
      </c>
      <c r="J54" s="32"/>
    </row>
    <row r="55" spans="1:10" ht="27" customHeight="1" x14ac:dyDescent="0.25">
      <c r="A55" s="32" t="s">
        <v>226</v>
      </c>
      <c r="B55" s="33" t="s">
        <v>138</v>
      </c>
      <c r="C55" s="50">
        <v>16716.28773</v>
      </c>
      <c r="D55" s="22">
        <v>17753.272280000001</v>
      </c>
      <c r="E55" s="68">
        <f>IF(OR(16716.28773="",17753.27228=""),"-",17753.27228/16716.28773*100)</f>
        <v>106.20343802852214</v>
      </c>
      <c r="F55" s="22">
        <f>IF(16716.28773="","-",16716.28773/3629752.43882*100)</f>
        <v>0.46053520210415</v>
      </c>
      <c r="G55" s="22">
        <f>IF(17753.27228="","-",17753.27228/3358202.51081*100)</f>
        <v>0.5286540112709851</v>
      </c>
      <c r="H55" s="22">
        <f>IF(OR(2455668.71834="",9258.35242="",16716.28773=""),"-",(16716.28773-9258.35242)/2455668.71834*100)</f>
        <v>0.30370282661911607</v>
      </c>
      <c r="I55" s="22">
        <f>IF(OR(3629752.43882="",17753.27228="",16716.28773=""),"-",(17753.27228-16716.28773)/3629752.43882*100)</f>
        <v>2.8569015862060152E-2</v>
      </c>
      <c r="J55" s="32"/>
    </row>
    <row r="56" spans="1:10" ht="26.25" customHeight="1" x14ac:dyDescent="0.25">
      <c r="A56" s="32" t="s">
        <v>227</v>
      </c>
      <c r="B56" s="33" t="s">
        <v>139</v>
      </c>
      <c r="C56" s="50">
        <v>78074.496459999995</v>
      </c>
      <c r="D56" s="22">
        <v>67948.075809999995</v>
      </c>
      <c r="E56" s="68">
        <f>IF(OR(78074.49646="",67948.07581=""),"-",67948.07581/78074.49646*100)</f>
        <v>87.029797041101531</v>
      </c>
      <c r="F56" s="22">
        <f>IF(78074.49646="","-",78074.49646/3629752.43882*100)</f>
        <v>2.1509592672215772</v>
      </c>
      <c r="G56" s="22">
        <f>IF(67948.07581="","-",67948.07581/3358202.51081*100)</f>
        <v>2.0233465847064385</v>
      </c>
      <c r="H56" s="22">
        <f>IF(OR(2455668.71834="",66793.62427="",78074.49646=""),"-",(78074.49646-66793.62427)/2455668.71834*100)</f>
        <v>0.4593808645991026</v>
      </c>
      <c r="I56" s="22">
        <f>IF(OR(3629752.43882="",67948.07581="",78074.49646=""),"-",(67948.07581-78074.49646)/3629752.43882*100)</f>
        <v>-0.27898378252187384</v>
      </c>
      <c r="J56" s="32"/>
    </row>
    <row r="57" spans="1:10" x14ac:dyDescent="0.25">
      <c r="A57" s="32" t="s">
        <v>228</v>
      </c>
      <c r="B57" s="33" t="s">
        <v>24</v>
      </c>
      <c r="C57" s="50">
        <v>77518.663119999997</v>
      </c>
      <c r="D57" s="22">
        <v>89860.063639999993</v>
      </c>
      <c r="E57" s="68">
        <f>IF(OR(77518.66312="",89860.06364=""),"-",89860.06364/77518.66312*100)</f>
        <v>115.92055386829276</v>
      </c>
      <c r="F57" s="22">
        <f>IF(77518.66312="","-",77518.66312/3629752.43882*100)</f>
        <v>2.1356460096546037</v>
      </c>
      <c r="G57" s="22">
        <f>IF(89860.06364="","-",89860.06364/3358202.51081*100)</f>
        <v>2.6758381411109631</v>
      </c>
      <c r="H57" s="22">
        <f>IF(OR(2455668.71834="",55028.07457="",77518.66312=""),"-",(77518.66312-55028.07457)/2455668.71834*100)</f>
        <v>0.91586411400000833</v>
      </c>
      <c r="I57" s="22">
        <f>IF(OR(3629752.43882="",89860.06364="",77518.66312=""),"-",(89860.06364-77518.66312)/3629752.43882*100)</f>
        <v>0.34000667340310609</v>
      </c>
      <c r="J57" s="32"/>
    </row>
    <row r="58" spans="1:10" x14ac:dyDescent="0.25">
      <c r="A58" s="32" t="s">
        <v>229</v>
      </c>
      <c r="B58" s="33" t="s">
        <v>140</v>
      </c>
      <c r="C58" s="50">
        <v>8528.5743700000003</v>
      </c>
      <c r="D58" s="22">
        <v>8840.9003300000004</v>
      </c>
      <c r="E58" s="68">
        <f>IF(OR(8528.57437="",8840.90033=""),"-",8840.90033/8528.57437*100)</f>
        <v>103.66211217080587</v>
      </c>
      <c r="F58" s="22">
        <f>IF(8528.57437="","-",8528.57437/3629752.43882*100)</f>
        <v>0.23496297650460601</v>
      </c>
      <c r="G58" s="22">
        <f>IF(8840.90033="","-",8840.90033/3358202.51081*100)</f>
        <v>0.26326287058452502</v>
      </c>
      <c r="H58" s="22">
        <f>IF(OR(2455668.71834="",9623.04333="",8528.57437=""),"-",(8528.57437-9623.04333)/2455668.71834*100)</f>
        <v>-4.4569080178691482E-2</v>
      </c>
      <c r="I58" s="22">
        <f>IF(OR(3629752.43882="",8840.90033="",8528.57437=""),"-",(8840.90033-8528.57437)/3629752.43882*100)</f>
        <v>8.6046077594629147E-3</v>
      </c>
      <c r="J58" s="32"/>
    </row>
    <row r="59" spans="1:10" x14ac:dyDescent="0.25">
      <c r="A59" s="32" t="s">
        <v>230</v>
      </c>
      <c r="B59" s="33" t="s">
        <v>25</v>
      </c>
      <c r="C59" s="50">
        <v>1543.9992400000001</v>
      </c>
      <c r="D59" s="22">
        <v>1091.09915</v>
      </c>
      <c r="E59" s="68">
        <f>IF(OR(1543.99924="",1091.09915=""),"-",1091.09915/1543.99924*100)</f>
        <v>70.66707817809548</v>
      </c>
      <c r="F59" s="22">
        <f>IF(1543.99924="","-",1543.99924/3629752.43882*100)</f>
        <v>4.2537315313491204E-2</v>
      </c>
      <c r="G59" s="22">
        <f>IF(1091.09915="","-",1091.09915/3358202.51081*100)</f>
        <v>3.2490570371732176E-2</v>
      </c>
      <c r="H59" s="22">
        <f>IF(OR(2455668.71834="",1711.38931="",1543.99924=""),"-",(1543.99924-1711.38931)/2455668.71834*100)</f>
        <v>-6.8164760478422121E-3</v>
      </c>
      <c r="I59" s="22">
        <f>IF(OR(3629752.43882="",1091.09915="",1543.99924=""),"-",(1091.09915-1543.99924)/3629752.43882*100)</f>
        <v>-1.2477437446043396E-2</v>
      </c>
      <c r="J59" s="32"/>
    </row>
    <row r="60" spans="1:10" x14ac:dyDescent="0.25">
      <c r="A60" s="32" t="s">
        <v>231</v>
      </c>
      <c r="B60" s="33" t="s">
        <v>26</v>
      </c>
      <c r="C60" s="50">
        <v>34791.272069999999</v>
      </c>
      <c r="D60" s="22">
        <v>28223.80341</v>
      </c>
      <c r="E60" s="68">
        <f>IF(OR(34791.27207="",28223.80341=""),"-",28223.80341/34791.27207*100)</f>
        <v>81.123229277773291</v>
      </c>
      <c r="F60" s="22">
        <f>IF(34791.27207="","-",34791.27207/3629752.43882*100)</f>
        <v>0.95850261571310724</v>
      </c>
      <c r="G60" s="22">
        <f>IF(28223.80341="","-",28223.80341/3358202.51081*100)</f>
        <v>0.84044375880096656</v>
      </c>
      <c r="H60" s="22">
        <f>IF(OR(2455668.71834="",35566.80843="",34791.27207=""),"-",(34791.27207-35566.80843)/2455668.71834*100)</f>
        <v>-3.1581473274792972E-2</v>
      </c>
      <c r="I60" s="22">
        <f>IF(OR(3629752.43882="",28223.80341="",34791.27207=""),"-",(28223.80341-34791.27207)/3629752.43882*100)</f>
        <v>-0.18093434113470902</v>
      </c>
      <c r="J60" s="30"/>
    </row>
    <row r="61" spans="1:10" x14ac:dyDescent="0.25">
      <c r="A61" s="30" t="s">
        <v>232</v>
      </c>
      <c r="B61" s="31" t="s">
        <v>141</v>
      </c>
      <c r="C61" s="51">
        <v>576388.16876999999</v>
      </c>
      <c r="D61" s="21">
        <v>668678.56423999998</v>
      </c>
      <c r="E61" s="67">
        <f>IF(576388.16877="","-",668678.56424/576388.16877*100)</f>
        <v>116.0118476524155</v>
      </c>
      <c r="F61" s="21">
        <f>IF(576388.16877="","-",576388.16877/3629752.43882*100)</f>
        <v>15.879544913464642</v>
      </c>
      <c r="G61" s="21">
        <f>IF(668678.56424="","-",668678.56424/3358202.51081*100)</f>
        <v>19.911799901510836</v>
      </c>
      <c r="H61" s="21">
        <f>IF(2455668.71834="","-",(576388.16877-523386.89024)/2455668.71834*100)</f>
        <v>2.1583236425240688</v>
      </c>
      <c r="I61" s="21">
        <f>IF(3629752.43882="","-",(668678.56424-576388.16877)/3629752.43882*100)</f>
        <v>2.5426085394408546</v>
      </c>
      <c r="J61" s="32"/>
    </row>
    <row r="62" spans="1:10" x14ac:dyDescent="0.25">
      <c r="A62" s="32" t="s">
        <v>233</v>
      </c>
      <c r="B62" s="33" t="s">
        <v>142</v>
      </c>
      <c r="C62" s="50">
        <v>3412.7693800000002</v>
      </c>
      <c r="D62" s="22">
        <v>5036.2273800000003</v>
      </c>
      <c r="E62" s="68">
        <f>IF(OR(3412.76938="",5036.22738=""),"-",5036.22738/3412.76938*100)</f>
        <v>147.57010566005488</v>
      </c>
      <c r="F62" s="22">
        <f>IF(3412.76938="","-",3412.76938/3629752.43882*100)</f>
        <v>9.4022097581659345E-2</v>
      </c>
      <c r="G62" s="22">
        <f>IF(5036.22738="","-",5036.22738/3358202.51081*100)</f>
        <v>0.14996794754897791</v>
      </c>
      <c r="H62" s="22">
        <f>IF(OR(2455668.71834="",1898.69594="",3412.76938=""),"-",(3412.76938-1898.69594)/2455668.71834*100)</f>
        <v>6.165625797536297E-2</v>
      </c>
      <c r="I62" s="22">
        <f>IF(OR(3629752.43882="",5036.22738="",3412.76938=""),"-",(5036.22738-3412.76938)/3629752.43882*100)</f>
        <v>4.4726411163395256E-2</v>
      </c>
      <c r="J62" s="32"/>
    </row>
    <row r="63" spans="1:10" ht="15.75" customHeight="1" x14ac:dyDescent="0.25">
      <c r="A63" s="32" t="s">
        <v>234</v>
      </c>
      <c r="B63" s="33" t="s">
        <v>143</v>
      </c>
      <c r="C63" s="50">
        <v>12268.776809999999</v>
      </c>
      <c r="D63" s="22">
        <v>29399.64169</v>
      </c>
      <c r="E63" s="68" t="s">
        <v>340</v>
      </c>
      <c r="F63" s="22">
        <f>IF(12268.77681="","-",12268.77681/3629752.43882*100)</f>
        <v>0.33800588378386676</v>
      </c>
      <c r="G63" s="22">
        <f>IF(29399.64169="","-",29399.64169/3358202.51081*100)</f>
        <v>0.87545767699723376</v>
      </c>
      <c r="H63" s="22">
        <f>IF(OR(2455668.71834="",11550.05774="",12268.77681=""),"-",(12268.77681-11550.05774)/2455668.71834*100)</f>
        <v>2.9267753611563852E-2</v>
      </c>
      <c r="I63" s="22">
        <f>IF(OR(3629752.43882="",29399.64169="",12268.77681=""),"-",(29399.64169-12268.77681)/3629752.43882*100)</f>
        <v>0.47195683917135389</v>
      </c>
      <c r="J63" s="32"/>
    </row>
    <row r="64" spans="1:10" ht="17.25" customHeight="1" x14ac:dyDescent="0.25">
      <c r="A64" s="32" t="s">
        <v>235</v>
      </c>
      <c r="B64" s="33" t="s">
        <v>144</v>
      </c>
      <c r="C64" s="50">
        <v>4034.4814999999999</v>
      </c>
      <c r="D64" s="22">
        <v>3846.4570199999998</v>
      </c>
      <c r="E64" s="68">
        <f>IF(OR(4034.4815="",3846.45702=""),"-",3846.45702/4034.4815*100)</f>
        <v>95.339562717043066</v>
      </c>
      <c r="F64" s="22">
        <f>IF(4034.4815="","-",4034.4815/3629752.43882*100)</f>
        <v>0.11115032135116008</v>
      </c>
      <c r="G64" s="22">
        <f>IF(3846.45702="","-",3846.45702/3358202.51081*100)</f>
        <v>0.11453916217435715</v>
      </c>
      <c r="H64" s="22">
        <f>IF(OR(2455668.71834="",3626.44841="",4034.4815=""),"-",(4034.4815-3626.44841)/2455668.71834*100)</f>
        <v>1.6615966435237443E-2</v>
      </c>
      <c r="I64" s="22">
        <f>IF(OR(3629752.43882="",3846.45702="",4034.4815=""),"-",(3846.45702-4034.4815)/3629752.43882*100)</f>
        <v>-5.1800910163759028E-3</v>
      </c>
      <c r="J64" s="32"/>
    </row>
    <row r="65" spans="1:10" ht="27.75" customHeight="1" x14ac:dyDescent="0.25">
      <c r="A65" s="32" t="s">
        <v>236</v>
      </c>
      <c r="B65" s="33" t="s">
        <v>145</v>
      </c>
      <c r="C65" s="50">
        <v>22357.576120000002</v>
      </c>
      <c r="D65" s="22">
        <v>34457.9951</v>
      </c>
      <c r="E65" s="68">
        <f>IF(OR(22357.57612="",34457.9951=""),"-",34457.9951/22357.57612*100)</f>
        <v>154.12223093886976</v>
      </c>
      <c r="F65" s="22">
        <f>IF(22357.57612="","-",22357.57612/3629752.43882*100)</f>
        <v>0.61595319506881441</v>
      </c>
      <c r="G65" s="22">
        <f>IF(34457.9951="","-",34457.9951/3358202.51081*100)</f>
        <v>1.0260844898150208</v>
      </c>
      <c r="H65" s="22">
        <f>IF(OR(2455668.71834="",21041.99178="",22357.57612=""),"-",(22357.57612-21041.99178)/2455668.71834*100)</f>
        <v>5.3573363954781288E-2</v>
      </c>
      <c r="I65" s="22">
        <f>IF(OR(3629752.43882="",34457.9951="",22357.57612=""),"-",(34457.9951-22357.57612)/3629752.43882*100)</f>
        <v>0.3333676107104907</v>
      </c>
      <c r="J65" s="32"/>
    </row>
    <row r="66" spans="1:10" ht="27" customHeight="1" x14ac:dyDescent="0.25">
      <c r="A66" s="32" t="s">
        <v>237</v>
      </c>
      <c r="B66" s="33" t="s">
        <v>146</v>
      </c>
      <c r="C66" s="50">
        <v>5202.6054999999997</v>
      </c>
      <c r="D66" s="22">
        <v>9383.7819299999992</v>
      </c>
      <c r="E66" s="68" t="s">
        <v>338</v>
      </c>
      <c r="F66" s="22">
        <f>IF(5202.6055="","-",5202.6055/3629752.43882*100)</f>
        <v>0.14333224063322955</v>
      </c>
      <c r="G66" s="22">
        <f>IF(9383.78193="","-",9383.78193/3358202.51081*100)</f>
        <v>0.27942870925126628</v>
      </c>
      <c r="H66" s="22">
        <f>IF(OR(2455668.71834="",1667.75744="",5202.6055=""),"-",(5202.6055-1667.75744)/2455668.71834*100)</f>
        <v>0.14394645473146356</v>
      </c>
      <c r="I66" s="22">
        <f>IF(OR(3629752.43882="",9383.78193="",5202.6055=""),"-",(9383.78193-5202.6055)/3629752.43882*100)</f>
        <v>0.11519177961787561</v>
      </c>
      <c r="J66" s="32"/>
    </row>
    <row r="67" spans="1:10" ht="27" customHeight="1" x14ac:dyDescent="0.25">
      <c r="A67" s="32" t="s">
        <v>238</v>
      </c>
      <c r="B67" s="33" t="s">
        <v>147</v>
      </c>
      <c r="C67" s="50">
        <v>2790.0432900000001</v>
      </c>
      <c r="D67" s="22">
        <v>4111.2161800000003</v>
      </c>
      <c r="E67" s="68">
        <f>IF(OR(2790.04329="",4111.21618=""),"-",4111.21618/2790.04329*100)</f>
        <v>147.35313228777895</v>
      </c>
      <c r="F67" s="22">
        <f>IF(2790.04329="","-",2790.04329/3629752.43882*100)</f>
        <v>7.6865938849179985E-2</v>
      </c>
      <c r="G67" s="22">
        <f>IF(4111.21618="","-",4111.21618/3358202.51081*100)</f>
        <v>0.12242311673480266</v>
      </c>
      <c r="H67" s="22">
        <f>IF(OR(2455668.71834="",2313.89332="",2790.04329=""),"-",(2790.04329-2313.89332)/2455668.71834*100)</f>
        <v>1.9389829191694519E-2</v>
      </c>
      <c r="I67" s="22">
        <f>IF(OR(3629752.43882="",4111.21618="",2790.04329=""),"-",(4111.21618-2790.04329)/3629752.43882*100)</f>
        <v>3.6398429707495475E-2</v>
      </c>
      <c r="J67" s="32"/>
    </row>
    <row r="68" spans="1:10" ht="37.5" customHeight="1" x14ac:dyDescent="0.25">
      <c r="A68" s="32" t="s">
        <v>239</v>
      </c>
      <c r="B68" s="33" t="s">
        <v>148</v>
      </c>
      <c r="C68" s="50">
        <v>445546.52135</v>
      </c>
      <c r="D68" s="22">
        <v>520639.42515999998</v>
      </c>
      <c r="E68" s="68">
        <f>IF(OR(445546.52135="",520639.42516=""),"-",520639.42516/445546.52135*100)</f>
        <v>116.85411067344202</v>
      </c>
      <c r="F68" s="22">
        <f>IF(445546.52135="","-",445546.52135/3629752.43882*100)</f>
        <v>12.27484598081414</v>
      </c>
      <c r="G68" s="22">
        <f>IF(520639.42516="","-",520639.42516/3358202.51081*100)</f>
        <v>15.503514856059752</v>
      </c>
      <c r="H68" s="22">
        <f>IF(OR(2455668.71834="",430710.05845="",445546.52135=""),"-",(445546.52135-430710.05845)/2455668.71834*100)</f>
        <v>0.60417200370696744</v>
      </c>
      <c r="I68" s="22">
        <f>IF(OR(3629752.43882="",520639.42516="",445546.52135=""),"-",(520639.42516-445546.52135)/3629752.43882*100)</f>
        <v>2.0688161266009653</v>
      </c>
      <c r="J68" s="32"/>
    </row>
    <row r="69" spans="1:10" ht="15" customHeight="1" x14ac:dyDescent="0.25">
      <c r="A69" s="32" t="s">
        <v>240</v>
      </c>
      <c r="B69" s="33" t="s">
        <v>149</v>
      </c>
      <c r="C69" s="50">
        <v>77924.623500000002</v>
      </c>
      <c r="D69" s="22">
        <v>55201.889199999998</v>
      </c>
      <c r="E69" s="68">
        <f>IF(OR(77924.6235="",55201.8892=""),"-",55201.8892/77924.6235*100)</f>
        <v>70.840110250901617</v>
      </c>
      <c r="F69" s="22">
        <f>IF(77924.6235="","-",77924.6235/3629752.43882*100)</f>
        <v>2.1468302539479138</v>
      </c>
      <c r="G69" s="22">
        <f>IF(55201.8892="","-",55201.8892/3358202.51081*100)</f>
        <v>1.64379274395472</v>
      </c>
      <c r="H69" s="22">
        <f>IF(OR(2455668.71834="",49704.1279="",77924.6235=""),"-",(77924.6235-49704.1279)/2455668.71834*100)</f>
        <v>1.149197991945619</v>
      </c>
      <c r="I69" s="22">
        <f>IF(OR(3629752.43882="",55201.8892="",77924.6235=""),"-",(55201.8892-77924.6235)/3629752.43882*100)</f>
        <v>-0.62601333515150037</v>
      </c>
      <c r="J69" s="32"/>
    </row>
    <row r="70" spans="1:10" ht="17.25" customHeight="1" x14ac:dyDescent="0.25">
      <c r="A70" s="32" t="s">
        <v>241</v>
      </c>
      <c r="B70" s="33" t="s">
        <v>27</v>
      </c>
      <c r="C70" s="50">
        <v>2850.7713199999998</v>
      </c>
      <c r="D70" s="22">
        <v>6601.9305800000002</v>
      </c>
      <c r="E70" s="68" t="s">
        <v>406</v>
      </c>
      <c r="F70" s="22">
        <f>IF(2850.77132="","-",2850.77132/3629752.43882*100)</f>
        <v>7.8539001434675265E-2</v>
      </c>
      <c r="G70" s="22">
        <f>IF(6601.93058="","-",6601.93058/3358202.51081*100)</f>
        <v>0.19659119897470426</v>
      </c>
      <c r="H70" s="22">
        <f>IF(OR(2455668.71834="",873.85926="",2850.77132=""),"-",(2850.77132-873.85926)/2455668.71834*100)</f>
        <v>8.0504020971377876E-2</v>
      </c>
      <c r="I70" s="22">
        <f>IF(OR(3629752.43882="",6601.93058="",2850.77132=""),"-",(6601.93058-2850.77132)/3629752.43882*100)</f>
        <v>0.10334476863715447</v>
      </c>
      <c r="J70" s="30"/>
    </row>
    <row r="71" spans="1:10" ht="14.25" customHeight="1" x14ac:dyDescent="0.25">
      <c r="A71" s="30" t="s">
        <v>242</v>
      </c>
      <c r="B71" s="31" t="s">
        <v>28</v>
      </c>
      <c r="C71" s="51">
        <v>518316.24023</v>
      </c>
      <c r="D71" s="21">
        <v>510746.72784000001</v>
      </c>
      <c r="E71" s="67">
        <f>IF(518316.24023="","-",510746.72784/518316.24023*100)</f>
        <v>98.539595752075783</v>
      </c>
      <c r="F71" s="21">
        <f>IF(518316.24023="","-",518316.24023/3629752.43882*100)</f>
        <v>14.279658157582228</v>
      </c>
      <c r="G71" s="21">
        <f>IF(510746.72784="","-",510746.72784/3358202.51081*100)</f>
        <v>15.208931748336038</v>
      </c>
      <c r="H71" s="21">
        <f>IF(2455668.71834="","-",(518316.24023-488211.22618)/2455668.71834*100)</f>
        <v>1.2259395506064268</v>
      </c>
      <c r="I71" s="21">
        <f>IF(3629752.43882="","-",(510746.72784-518316.24023)/3629752.43882*100)</f>
        <v>-0.20854073432238729</v>
      </c>
      <c r="J71" s="32"/>
    </row>
    <row r="72" spans="1:10" ht="27.75" customHeight="1" x14ac:dyDescent="0.25">
      <c r="A72" s="32" t="s">
        <v>243</v>
      </c>
      <c r="B72" s="33" t="s">
        <v>175</v>
      </c>
      <c r="C72" s="50">
        <v>15751.66337</v>
      </c>
      <c r="D72" s="22">
        <v>11293.59859</v>
      </c>
      <c r="E72" s="68">
        <f>IF(OR(15751.66337="",11293.59859=""),"-",11293.59859/15751.66337*100)</f>
        <v>71.697815809785169</v>
      </c>
      <c r="F72" s="22">
        <f>IF(15751.66337="","-",15751.66337/3629752.43882*100)</f>
        <v>0.43395971586207471</v>
      </c>
      <c r="G72" s="22">
        <f>IF(11293.59859="","-",11293.59859/3358202.51081*100)</f>
        <v>0.33629891448315241</v>
      </c>
      <c r="H72" s="22">
        <f>IF(OR(2455668.71834="",12539.8247="",15751.66337=""),"-",(15751.66337-12539.8247)/2455668.71834*100)</f>
        <v>0.13079283235611527</v>
      </c>
      <c r="I72" s="22">
        <f>IF(OR(3629752.43882="",11293.59859="",15751.66337=""),"-",(11293.59859-15751.66337)/3629752.43882*100)</f>
        <v>-0.12282007809461733</v>
      </c>
      <c r="J72" s="32"/>
    </row>
    <row r="73" spans="1:10" ht="16.5" customHeight="1" x14ac:dyDescent="0.25">
      <c r="A73" s="32" t="s">
        <v>244</v>
      </c>
      <c r="B73" s="33" t="s">
        <v>150</v>
      </c>
      <c r="C73" s="50">
        <v>120971.45535</v>
      </c>
      <c r="D73" s="22">
        <v>120660.94627</v>
      </c>
      <c r="E73" s="68">
        <f>IF(OR(120971.45535="",120660.94627=""),"-",120660.94627/120971.45535*100)</f>
        <v>99.743320373304897</v>
      </c>
      <c r="F73" s="22">
        <f>IF(120971.45535="","-",120971.45535/3629752.43882*100)</f>
        <v>3.3327742701187288</v>
      </c>
      <c r="G73" s="22">
        <f>IF(120660.94627="","-",120660.94627/3358202.51081*100)</f>
        <v>3.5930217395048203</v>
      </c>
      <c r="H73" s="22">
        <f>IF(OR(2455668.71834="",130869.69137="",120971.45535=""),"-",(120971.45535-130869.69137)/2455668.71834*100)</f>
        <v>-0.40307700896605769</v>
      </c>
      <c r="I73" s="22">
        <f>IF(OR(3629752.43882="",120660.94627="",120971.45535=""),"-",(120660.94627-120971.45535)/3629752.43882*100)</f>
        <v>-8.5545525551309273E-3</v>
      </c>
      <c r="J73" s="32"/>
    </row>
    <row r="74" spans="1:10" x14ac:dyDescent="0.25">
      <c r="A74" s="32" t="s">
        <v>245</v>
      </c>
      <c r="B74" s="33" t="s">
        <v>151</v>
      </c>
      <c r="C74" s="50">
        <v>12964.20882</v>
      </c>
      <c r="D74" s="22">
        <v>11365.753059999999</v>
      </c>
      <c r="E74" s="68">
        <f>IF(OR(12964.20882="",11365.75306=""),"-",11365.75306/12964.20882*100)</f>
        <v>87.670240566211419</v>
      </c>
      <c r="F74" s="22">
        <f>IF(12964.20882="","-",12964.20882/3629752.43882*100)</f>
        <v>0.35716509702834026</v>
      </c>
      <c r="G74" s="22">
        <f>IF(11365.75306="","-",11365.75306/3358202.51081*100)</f>
        <v>0.33844751837966358</v>
      </c>
      <c r="H74" s="22">
        <f>IF(OR(2455668.71834="",12106.44215="",12964.20882=""),"-",(12964.20882-12106.44215)/2455668.71834*100)</f>
        <v>3.4930064613106201E-2</v>
      </c>
      <c r="I74" s="22">
        <f>IF(OR(3629752.43882="",11365.75306="",12964.20882=""),"-",(11365.75306-12964.20882)/3629752.43882*100)</f>
        <v>-4.4037597245051907E-2</v>
      </c>
      <c r="J74" s="32"/>
    </row>
    <row r="75" spans="1:10" ht="17.25" customHeight="1" x14ac:dyDescent="0.25">
      <c r="A75" s="32" t="s">
        <v>246</v>
      </c>
      <c r="B75" s="33" t="s">
        <v>152</v>
      </c>
      <c r="C75" s="50">
        <v>245933.70749</v>
      </c>
      <c r="D75" s="22">
        <v>239513.65572000001</v>
      </c>
      <c r="E75" s="68">
        <f>IF(OR(245933.70749="",239513.65572=""),"-",239513.65572/245933.70749*100)</f>
        <v>97.389519380843296</v>
      </c>
      <c r="F75" s="22">
        <f>IF(245933.70749="","-",245933.70749/3629752.43882*100)</f>
        <v>6.775495343973124</v>
      </c>
      <c r="G75" s="22">
        <f>IF(239513.65572="","-",239513.65572/3358202.51081*100)</f>
        <v>7.1321981014846312</v>
      </c>
      <c r="H75" s="22">
        <f>IF(OR(2455668.71834="",229040.82852="",245933.70749=""),"-",(245933.70749-229040.82852)/2455668.71834*100)</f>
        <v>0.68791359534112384</v>
      </c>
      <c r="I75" s="22">
        <f>IF(OR(3629752.43882="",239513.65572="",245933.70749=""),"-",(239513.65572-245933.70749)/3629752.43882*100)</f>
        <v>-0.1768729928062833</v>
      </c>
      <c r="J75" s="32"/>
    </row>
    <row r="76" spans="1:10" ht="16.5" customHeight="1" x14ac:dyDescent="0.25">
      <c r="A76" s="32" t="s">
        <v>247</v>
      </c>
      <c r="B76" s="33" t="s">
        <v>153</v>
      </c>
      <c r="C76" s="50">
        <v>33114.177969999997</v>
      </c>
      <c r="D76" s="22">
        <v>24458.746569999999</v>
      </c>
      <c r="E76" s="68">
        <f>IF(OR(33114.17797="",24458.74657=""),"-",24458.74657/33114.17797*100)</f>
        <v>73.861856369071148</v>
      </c>
      <c r="F76" s="22">
        <f>IF(33114.17797="","-",33114.17797/3629752.43882*100)</f>
        <v>0.91229852526154986</v>
      </c>
      <c r="G76" s="22">
        <f>IF(24458.74657="","-",24458.74657/3358202.51081*100)</f>
        <v>0.72832851774923302</v>
      </c>
      <c r="H76" s="22">
        <f>IF(OR(2455668.71834="",30692.44742="",33114.17797=""),"-",(33114.17797-30692.44742)/2455668.71834*100)</f>
        <v>9.861796633696808E-2</v>
      </c>
      <c r="I76" s="22">
        <f>IF(OR(3629752.43882="",24458.74657="",33114.17797=""),"-",(24458.74657-33114.17797)/3629752.43882*100)</f>
        <v>-0.23845789887570959</v>
      </c>
      <c r="J76" s="32"/>
    </row>
    <row r="77" spans="1:10" ht="15" customHeight="1" x14ac:dyDescent="0.25">
      <c r="A77" s="32" t="s">
        <v>248</v>
      </c>
      <c r="B77" s="33" t="s">
        <v>281</v>
      </c>
      <c r="C77" s="50">
        <v>17377.80674</v>
      </c>
      <c r="D77" s="22">
        <v>23752.106690000001</v>
      </c>
      <c r="E77" s="68">
        <f>IF(OR(17377.80674="",23752.10669=""),"-",23752.10669/17377.80674*100)</f>
        <v>136.68069305505466</v>
      </c>
      <c r="F77" s="22">
        <f>IF(17377.80674="","-",17377.80674/3629752.43882*100)</f>
        <v>0.4787601092059427</v>
      </c>
      <c r="G77" s="22">
        <f>IF(23752.10669="","-",23752.10669/3358202.51081*100)</f>
        <v>0.70728631205361647</v>
      </c>
      <c r="H77" s="22">
        <f>IF(OR(2455668.71834="",19034.91037="",17377.80674=""),"-",(17377.80674-19034.91037)/2455668.71834*100)</f>
        <v>-6.7480748426041029E-2</v>
      </c>
      <c r="I77" s="22">
        <f>IF(OR(3629752.43882="",23752.10669="",17377.80674=""),"-",(23752.10669-17377.80674)/3629752.43882*100)</f>
        <v>0.17561252612787631</v>
      </c>
      <c r="J77" s="32"/>
    </row>
    <row r="78" spans="1:10" ht="27" customHeight="1" x14ac:dyDescent="0.25">
      <c r="A78" s="32" t="s">
        <v>249</v>
      </c>
      <c r="B78" s="33" t="s">
        <v>154</v>
      </c>
      <c r="C78" s="50">
        <v>4406.9880899999998</v>
      </c>
      <c r="D78" s="22">
        <v>5803.0516699999998</v>
      </c>
      <c r="E78" s="68">
        <f>IF(OR(4406.98809="",5803.05167=""),"-",5803.05167/4406.98809*100)</f>
        <v>131.67840601084993</v>
      </c>
      <c r="F78" s="22">
        <f>IF(4406.98809="","-",4406.98809/3629752.43882*100)</f>
        <v>0.12141291077781249</v>
      </c>
      <c r="G78" s="22">
        <f>IF(5803.05167="","-",5803.05167/3358202.51081*100)</f>
        <v>0.17280231467042473</v>
      </c>
      <c r="H78" s="22">
        <f>IF(OR(2455668.71834="",3206.95631="",4406.98809=""),"-",(4406.98809-3206.95631)/2455668.71834*100)</f>
        <v>4.8867820444901282E-2</v>
      </c>
      <c r="I78" s="22">
        <f>IF(OR(3629752.43882="",5803.05167="",4406.98809=""),"-",(5803.05167-4406.98809)/3629752.43882*100)</f>
        <v>3.8461674825786406E-2</v>
      </c>
      <c r="J78" s="32"/>
    </row>
    <row r="79" spans="1:10" x14ac:dyDescent="0.25">
      <c r="A79" s="32" t="s">
        <v>250</v>
      </c>
      <c r="B79" s="33" t="s">
        <v>29</v>
      </c>
      <c r="C79" s="50">
        <v>67796.232399999994</v>
      </c>
      <c r="D79" s="22">
        <v>73898.869269999996</v>
      </c>
      <c r="E79" s="68">
        <f>IF(OR(67796.2324="",73898.86927=""),"-",73898.86927/67796.2324*100)</f>
        <v>109.00143954017128</v>
      </c>
      <c r="F79" s="22">
        <f>IF(67796.2324="","-",67796.2324/3629752.43882*100)</f>
        <v>1.867792185354656</v>
      </c>
      <c r="G79" s="22">
        <f>IF(73898.86927="","-",73898.86927/3358202.51081*100)</f>
        <v>2.2005483300104958</v>
      </c>
      <c r="H79" s="22">
        <f>IF(OR(2455668.71834="",50720.12534="",67796.2324=""),"-",(67796.2324-50720.12534)/2455668.71834*100)</f>
        <v>0.6953750289063102</v>
      </c>
      <c r="I79" s="22">
        <f>IF(OR(3629752.43882="",73898.86927="",67796.2324=""),"-",(73898.86927-67796.2324)/3629752.43882*100)</f>
        <v>0.16812818430074297</v>
      </c>
      <c r="J79" s="32"/>
    </row>
    <row r="80" spans="1:10" x14ac:dyDescent="0.25">
      <c r="A80" s="35" t="s">
        <v>253</v>
      </c>
      <c r="B80" s="36" t="s">
        <v>155</v>
      </c>
      <c r="C80" s="65">
        <v>3455.9019699999999</v>
      </c>
      <c r="D80" s="40">
        <v>6352.1344200000003</v>
      </c>
      <c r="E80" s="69" t="s">
        <v>338</v>
      </c>
      <c r="F80" s="40">
        <f>IF(3455.90197="","-",3455.90197/3629752.43882*100)</f>
        <v>9.5210404242430449E-2</v>
      </c>
      <c r="G80" s="40">
        <f>IF(6352.13442="","-",6352.13442/3358202.51081*100)</f>
        <v>0.18915281015818974</v>
      </c>
      <c r="H80" s="40">
        <f>IF(2455668.71834="","-",(3455.90197-838.22921)/2455668.71834*100)</f>
        <v>0.10659714563491741</v>
      </c>
      <c r="I80" s="40">
        <f>IF(3629752.43882="","-",(6352.13442-3455.90197)/3629752.43882*100)</f>
        <v>7.9791459577930338E-2</v>
      </c>
      <c r="J80" s="32"/>
    </row>
    <row r="81" spans="1:12" s="19" customFormat="1" ht="18.75" customHeight="1" x14ac:dyDescent="0.2">
      <c r="A81" s="9" t="s">
        <v>256</v>
      </c>
      <c r="B81" s="10"/>
      <c r="C81" s="10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9" customFormat="1" ht="13.5" customHeight="1" x14ac:dyDescent="0.2">
      <c r="A82" s="85" t="s">
        <v>413</v>
      </c>
      <c r="B82" s="85"/>
      <c r="C82" s="10"/>
      <c r="D82" s="29"/>
      <c r="E82" s="29"/>
      <c r="F82" s="29"/>
      <c r="G82" s="29"/>
      <c r="H82" s="29"/>
      <c r="I82" s="29"/>
      <c r="J82" s="29"/>
      <c r="K82" s="29"/>
      <c r="L82" s="29"/>
    </row>
  </sheetData>
  <mergeCells count="10">
    <mergeCell ref="A82:B82"/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81"/>
  <sheetViews>
    <sheetView zoomScaleNormal="100" workbookViewId="0">
      <selection activeCell="B1" sqref="B1:I1"/>
    </sheetView>
  </sheetViews>
  <sheetFormatPr defaultRowHeight="15.75" x14ac:dyDescent="0.25"/>
  <cols>
    <col min="1" max="1" width="6.625" style="24" customWidth="1"/>
    <col min="2" max="2" width="41" style="24" customWidth="1"/>
    <col min="3" max="3" width="13" style="24" customWidth="1"/>
    <col min="4" max="4" width="12.75" style="24" customWidth="1"/>
    <col min="5" max="5" width="11.625" style="24" customWidth="1"/>
    <col min="6" max="6" width="10.125" style="24" customWidth="1"/>
    <col min="7" max="7" width="9.75" style="24" customWidth="1"/>
    <col min="8" max="8" width="10.875" style="24" customWidth="1"/>
    <col min="9" max="9" width="11.5" style="24" customWidth="1"/>
  </cols>
  <sheetData>
    <row r="1" spans="1:10" s="27" customFormat="1" ht="12.75" x14ac:dyDescent="0.2">
      <c r="A1" s="26"/>
      <c r="B1" s="97" t="s">
        <v>316</v>
      </c>
      <c r="C1" s="97"/>
      <c r="D1" s="97"/>
      <c r="E1" s="97"/>
      <c r="F1" s="97"/>
      <c r="G1" s="97"/>
      <c r="H1" s="97"/>
      <c r="I1" s="97"/>
    </row>
    <row r="2" spans="1:10" s="27" customFormat="1" ht="12.75" x14ac:dyDescent="0.2">
      <c r="A2" s="26"/>
      <c r="B2" s="97" t="s">
        <v>255</v>
      </c>
      <c r="C2" s="97"/>
      <c r="D2" s="97"/>
      <c r="E2" s="97"/>
      <c r="F2" s="97"/>
      <c r="G2" s="97"/>
      <c r="H2" s="97"/>
      <c r="I2" s="97"/>
    </row>
    <row r="3" spans="1:10" x14ac:dyDescent="0.25">
      <c r="A3" s="108"/>
      <c r="B3" s="108"/>
      <c r="C3" s="108"/>
      <c r="D3" s="108"/>
      <c r="E3" s="108"/>
      <c r="F3" s="108"/>
      <c r="G3" s="108"/>
      <c r="H3" s="108"/>
      <c r="I3" s="108"/>
    </row>
    <row r="4" spans="1:10" ht="39.75" customHeight="1" x14ac:dyDescent="0.25">
      <c r="A4" s="105" t="s">
        <v>181</v>
      </c>
      <c r="B4" s="87"/>
      <c r="C4" s="89" t="s">
        <v>358</v>
      </c>
      <c r="D4" s="96"/>
      <c r="E4" s="94" t="s">
        <v>365</v>
      </c>
      <c r="F4" s="89" t="s">
        <v>94</v>
      </c>
      <c r="G4" s="90"/>
      <c r="H4" s="99" t="s">
        <v>315</v>
      </c>
      <c r="I4" s="107"/>
    </row>
    <row r="5" spans="1:10" ht="48.75" customHeight="1" x14ac:dyDescent="0.25">
      <c r="A5" s="106"/>
      <c r="B5" s="88"/>
      <c r="C5" s="13" t="s">
        <v>360</v>
      </c>
      <c r="D5" s="13" t="s">
        <v>361</v>
      </c>
      <c r="E5" s="95"/>
      <c r="F5" s="13" t="s">
        <v>360</v>
      </c>
      <c r="G5" s="13" t="s">
        <v>361</v>
      </c>
      <c r="H5" s="13" t="s">
        <v>362</v>
      </c>
      <c r="I5" s="12" t="s">
        <v>363</v>
      </c>
    </row>
    <row r="6" spans="1:10" s="17" customFormat="1" ht="15" customHeight="1" x14ac:dyDescent="0.2">
      <c r="A6" s="37"/>
      <c r="B6" s="62" t="s">
        <v>102</v>
      </c>
      <c r="C6" s="63">
        <v>7486893.1451500002</v>
      </c>
      <c r="D6" s="64">
        <v>7126566.5717000002</v>
      </c>
      <c r="E6" s="66">
        <f>IF(7486893.14515="","-",7126566.5717/7486893.14515*100)</f>
        <v>95.187234992349019</v>
      </c>
      <c r="F6" s="64">
        <v>100</v>
      </c>
      <c r="G6" s="64">
        <v>100</v>
      </c>
      <c r="H6" s="64">
        <f>IF(5721069.63319="","-",(7486893.14515-5721069.63319)/5721069.63319*100)</f>
        <v>30.865268650390426</v>
      </c>
      <c r="I6" s="64">
        <f>IF(7486893.14515="","-",(7126566.5717-7486893.14515)/7486893.14515*100)</f>
        <v>-4.8127650076509925</v>
      </c>
      <c r="J6" s="23"/>
    </row>
    <row r="7" spans="1:10" s="17" customFormat="1" ht="12.75" x14ac:dyDescent="0.2">
      <c r="A7" s="38"/>
      <c r="B7" s="43" t="s">
        <v>329</v>
      </c>
      <c r="C7" s="51"/>
      <c r="D7" s="21"/>
      <c r="E7" s="67"/>
      <c r="F7" s="21"/>
      <c r="G7" s="21"/>
      <c r="H7" s="21"/>
      <c r="I7" s="21"/>
      <c r="J7" s="23"/>
    </row>
    <row r="8" spans="1:10" x14ac:dyDescent="0.25">
      <c r="A8" s="30" t="s">
        <v>182</v>
      </c>
      <c r="B8" s="31" t="s">
        <v>156</v>
      </c>
      <c r="C8" s="51">
        <v>748106.08209000004</v>
      </c>
      <c r="D8" s="21">
        <v>781128.06363999995</v>
      </c>
      <c r="E8" s="67">
        <f>IF(748106.08209="","-",781128.06364/748106.08209*100)</f>
        <v>104.41407740700967</v>
      </c>
      <c r="F8" s="21">
        <f>IF(748106.08209="","-",748106.08209/7486893.14515*100)</f>
        <v>9.9922099539329228</v>
      </c>
      <c r="G8" s="21">
        <f>IF(781128.06364="","-",781128.06364/7126566.5717*100)</f>
        <v>10.960790947241042</v>
      </c>
      <c r="H8" s="21">
        <f>IF(5721069.63319="","-",(748106.08209-611539.40473)/5721069.63319*100)</f>
        <v>2.3870829428071851</v>
      </c>
      <c r="I8" s="21">
        <f>IF(7486893.14515="","-",(781128.06364-748106.08209)/7486893.14515*100)</f>
        <v>0.44106388203752456</v>
      </c>
    </row>
    <row r="9" spans="1:10" x14ac:dyDescent="0.25">
      <c r="A9" s="32" t="s">
        <v>183</v>
      </c>
      <c r="B9" s="33" t="s">
        <v>17</v>
      </c>
      <c r="C9" s="50">
        <v>7387.8839699999999</v>
      </c>
      <c r="D9" s="22">
        <v>11591.62615</v>
      </c>
      <c r="E9" s="68">
        <f>IF(OR(7387.88397="",11591.62615=""),"-",11591.62615/7387.88397*100)</f>
        <v>156.90049000593604</v>
      </c>
      <c r="F9" s="22">
        <f>IF(7387.88397="","-",7387.88397/7486893.14515*100)</f>
        <v>9.8677566605660211E-2</v>
      </c>
      <c r="G9" s="22">
        <f>IF(11591.62615="","-",11591.62615/7126566.5717*100)</f>
        <v>0.16265372719636134</v>
      </c>
      <c r="H9" s="22">
        <f>IF(OR(5721069.63319="",4580.72942="",7387.88397=""),"-",(7387.88397-4580.72942)/5721069.63319*100)</f>
        <v>4.9066953034703126E-2</v>
      </c>
      <c r="I9" s="22">
        <f>IF(OR(7486893.14515="",11591.62615="",7387.88397=""),"-",(11591.62615-7387.88397)/7486893.14515*100)</f>
        <v>5.6148018924554559E-2</v>
      </c>
    </row>
    <row r="10" spans="1:10" x14ac:dyDescent="0.25">
      <c r="A10" s="32" t="s">
        <v>184</v>
      </c>
      <c r="B10" s="33" t="s">
        <v>157</v>
      </c>
      <c r="C10" s="50">
        <v>67987.018559999997</v>
      </c>
      <c r="D10" s="22">
        <v>65684.330749999994</v>
      </c>
      <c r="E10" s="68">
        <f>IF(OR(67987.01856="",65684.33075=""),"-",65684.33075/67987.01856*100)</f>
        <v>96.61304781593293</v>
      </c>
      <c r="F10" s="22">
        <f>IF(67987.01856="","-",67987.01856/7486893.14515*100)</f>
        <v>0.90808052475066914</v>
      </c>
      <c r="G10" s="22">
        <f>IF(65684.33075="","-",65684.33075/7126566.5717*100)</f>
        <v>0.9216826937509599</v>
      </c>
      <c r="H10" s="22">
        <f>IF(OR(5721069.63319="",52397.69826="",67987.01856=""),"-",(67987.01856-52397.69826)/5721069.63319*100)</f>
        <v>0.27248960945276207</v>
      </c>
      <c r="I10" s="22">
        <f>IF(OR(7486893.14515="",65684.33075="",67987.01856=""),"-",(65684.33075-67987.01856)/7486893.14515*100)</f>
        <v>-3.0756253166130482E-2</v>
      </c>
    </row>
    <row r="11" spans="1:10" s="2" customFormat="1" x14ac:dyDescent="0.25">
      <c r="A11" s="32" t="s">
        <v>185</v>
      </c>
      <c r="B11" s="33" t="s">
        <v>158</v>
      </c>
      <c r="C11" s="50">
        <v>96062.62427</v>
      </c>
      <c r="D11" s="22">
        <v>104165.58302999999</v>
      </c>
      <c r="E11" s="68">
        <f>IF(OR(96062.62427="",104165.58303=""),"-",104165.58303/96062.62427*100)</f>
        <v>108.4350795343934</v>
      </c>
      <c r="F11" s="22">
        <f>IF(96062.62427="","-",96062.62427/7486893.14515*100)</f>
        <v>1.2830772712741232</v>
      </c>
      <c r="G11" s="22">
        <f>IF(104165.58303="","-",104165.58303/7126566.5717*100)</f>
        <v>1.4616517222142769</v>
      </c>
      <c r="H11" s="22">
        <f>IF(OR(5721069.63319="",76112.19945="",96062.62427=""),"-",(96062.62427-76112.19945)/5721069.63319*100)</f>
        <v>0.34871844076604747</v>
      </c>
      <c r="I11" s="22">
        <f>IF(OR(7486893.14515="",104165.58303="",96062.62427=""),"-",(104165.58303-96062.62427)/7486893.14515*100)</f>
        <v>0.10822858831969681</v>
      </c>
    </row>
    <row r="12" spans="1:10" s="2" customFormat="1" x14ac:dyDescent="0.25">
      <c r="A12" s="32" t="s">
        <v>186</v>
      </c>
      <c r="B12" s="33" t="s">
        <v>159</v>
      </c>
      <c r="C12" s="50">
        <v>66531.723209999996</v>
      </c>
      <c r="D12" s="22">
        <v>73290.699349999995</v>
      </c>
      <c r="E12" s="68">
        <f>IF(OR(66531.72321="",73290.69935=""),"-",73290.69935/66531.72321*100)</f>
        <v>110.15902762456045</v>
      </c>
      <c r="F12" s="22">
        <f>IF(66531.72321="","-",66531.72321/7486893.14515*100)</f>
        <v>0.88864261744004136</v>
      </c>
      <c r="G12" s="22">
        <f>IF(73290.69935="","-",73290.69935/7126566.5717*100)</f>
        <v>1.0284152770149024</v>
      </c>
      <c r="H12" s="22">
        <f>IF(OR(5721069.63319="",59195.22402="",66531.72321=""),"-",(66531.72321-59195.22402)/5721069.63319*100)</f>
        <v>0.1282364952777065</v>
      </c>
      <c r="I12" s="22">
        <f>IF(OR(7486893.14515="",73290.69935="",66531.72321=""),"-",(73290.69935-66531.72321)/7486893.14515*100)</f>
        <v>9.0277448989350875E-2</v>
      </c>
    </row>
    <row r="13" spans="1:10" s="2" customFormat="1" x14ac:dyDescent="0.25">
      <c r="A13" s="32" t="s">
        <v>187</v>
      </c>
      <c r="B13" s="33" t="s">
        <v>160</v>
      </c>
      <c r="C13" s="50">
        <v>133655.19813999999</v>
      </c>
      <c r="D13" s="22">
        <v>113894.70931999999</v>
      </c>
      <c r="E13" s="68">
        <f>IF(OR(133655.19814="",113894.70932=""),"-",113894.70932/133655.19814*100)</f>
        <v>85.215323388094902</v>
      </c>
      <c r="F13" s="22">
        <f>IF(133655.19814="","-",133655.19814/7486893.14515*100)</f>
        <v>1.785189070403411</v>
      </c>
      <c r="G13" s="22">
        <f>IF(113894.70932="","-",113894.70932/7126566.5717*100)</f>
        <v>1.5981708467059348</v>
      </c>
      <c r="H13" s="22">
        <f>IF(OR(5721069.63319="",84422.07322="",133655.19814=""),"-",(133655.19814-84422.07322)/5721069.63319*100)</f>
        <v>0.8605580438032211</v>
      </c>
      <c r="I13" s="22">
        <f>IF(OR(7486893.14515="",113894.70932="",133655.19814=""),"-",(113894.70932-133655.19814)/7486893.14515*100)</f>
        <v>-0.26393443097021918</v>
      </c>
    </row>
    <row r="14" spans="1:10" s="2" customFormat="1" x14ac:dyDescent="0.25">
      <c r="A14" s="32" t="s">
        <v>188</v>
      </c>
      <c r="B14" s="33" t="s">
        <v>161</v>
      </c>
      <c r="C14" s="50">
        <v>150698.42296</v>
      </c>
      <c r="D14" s="22">
        <v>179133.20134</v>
      </c>
      <c r="E14" s="68">
        <f>IF(OR(150698.42296="",179133.20134=""),"-",179133.20134/150698.42296*100)</f>
        <v>118.86866353442032</v>
      </c>
      <c r="F14" s="22">
        <f>IF(150698.42296="","-",150698.42296/7486893.14515*100)</f>
        <v>2.0128298886918432</v>
      </c>
      <c r="G14" s="22">
        <f>IF(179133.20134="","-",179133.20134/7126566.5717*100)</f>
        <v>2.5135975302798421</v>
      </c>
      <c r="H14" s="22">
        <f>IF(OR(5721069.63319="",139011.59613="",150698.42296=""),"-",(150698.42296-139011.59613)/5721069.63319*100)</f>
        <v>0.20427695482328137</v>
      </c>
      <c r="I14" s="22">
        <f>IF(OR(7486893.14515="",179133.20134="",150698.42296=""),"-",(179133.20134-150698.42296)/7486893.14515*100)</f>
        <v>0.37979409921751073</v>
      </c>
    </row>
    <row r="15" spans="1:10" s="2" customFormat="1" x14ac:dyDescent="0.25">
      <c r="A15" s="32" t="s">
        <v>189</v>
      </c>
      <c r="B15" s="33" t="s">
        <v>119</v>
      </c>
      <c r="C15" s="50">
        <v>17313.961510000001</v>
      </c>
      <c r="D15" s="22">
        <v>20391.880499999999</v>
      </c>
      <c r="E15" s="68">
        <f>IF(OR(17313.96151="",20391.8805=""),"-",20391.8805/17313.96151*100)</f>
        <v>117.77709271342836</v>
      </c>
      <c r="F15" s="22">
        <f>IF(17313.96151="","-",17313.96151/7486893.14515*100)</f>
        <v>0.23125696032159831</v>
      </c>
      <c r="G15" s="22">
        <f>IF(20391.8805="","-",20391.8805/7126566.5717*100)</f>
        <v>0.28613891829730898</v>
      </c>
      <c r="H15" s="22">
        <f>IF(OR(5721069.63319="",14608.9733="",17313.96151=""),"-",(17313.96151-14608.9733)/5721069.63319*100)</f>
        <v>4.7281162150297623E-2</v>
      </c>
      <c r="I15" s="22">
        <f>IF(OR(7486893.14515="",20391.8805="",17313.96151=""),"-",(20391.8805-17313.96151)/7486893.14515*100)</f>
        <v>4.1110764242626732E-2</v>
      </c>
    </row>
    <row r="16" spans="1:10" s="2" customFormat="1" x14ac:dyDescent="0.25">
      <c r="A16" s="32" t="s">
        <v>190</v>
      </c>
      <c r="B16" s="33" t="s">
        <v>162</v>
      </c>
      <c r="C16" s="50">
        <v>58374.075299999997</v>
      </c>
      <c r="D16" s="22">
        <v>65342.652600000001</v>
      </c>
      <c r="E16" s="68">
        <f>IF(OR(58374.0753="",65342.6526=""),"-",65342.6526/58374.0753*100)</f>
        <v>111.93779475595393</v>
      </c>
      <c r="F16" s="22">
        <f>IF(58374.0753="","-",58374.0753/7486893.14515*100)</f>
        <v>0.7796835639068076</v>
      </c>
      <c r="G16" s="22">
        <f>IF(65342.6526="","-",65342.6526/7126566.5717*100)</f>
        <v>0.91688826509359189</v>
      </c>
      <c r="H16" s="22">
        <f>IF(OR(5721069.63319="",52994.105="",58374.0753=""),"-",(58374.0753-52994.105)/5721069.63319*100)</f>
        <v>9.4037839861078318E-2</v>
      </c>
      <c r="I16" s="22">
        <f>IF(OR(7486893.14515="",65342.6526="",58374.0753=""),"-",(65342.6526-58374.0753)/7486893.14515*100)</f>
        <v>9.3077023605101672E-2</v>
      </c>
    </row>
    <row r="17" spans="1:9" s="2" customFormat="1" ht="24" x14ac:dyDescent="0.25">
      <c r="A17" s="32" t="s">
        <v>191</v>
      </c>
      <c r="B17" s="33" t="s">
        <v>120</v>
      </c>
      <c r="C17" s="50">
        <v>47273.7333</v>
      </c>
      <c r="D17" s="22">
        <v>48781.597280000002</v>
      </c>
      <c r="E17" s="68">
        <f>IF(OR(47273.7333="",48781.59728=""),"-",48781.59728/47273.7333*100)</f>
        <v>103.18964438545835</v>
      </c>
      <c r="F17" s="22">
        <f>IF(47273.7333="","-",47273.7333/7486893.14515*100)</f>
        <v>0.63141990119925606</v>
      </c>
      <c r="G17" s="22">
        <f>IF(48781.59728="","-",48781.59728/7126566.5717*100)</f>
        <v>0.68450349532570831</v>
      </c>
      <c r="H17" s="22">
        <f>IF(OR(5721069.63319="",40518.66856="",47273.7333=""),"-",(47273.7333-40518.66856)/5721069.63319*100)</f>
        <v>0.11807345781654921</v>
      </c>
      <c r="I17" s="22">
        <f>IF(OR(7486893.14515="",48781.59728="",47273.7333=""),"-",(48781.59728-47273.7333)/7486893.14515*100)</f>
        <v>2.0140049427268696E-2</v>
      </c>
    </row>
    <row r="18" spans="1:9" s="2" customFormat="1" x14ac:dyDescent="0.25">
      <c r="A18" s="32" t="s">
        <v>192</v>
      </c>
      <c r="B18" s="33" t="s">
        <v>163</v>
      </c>
      <c r="C18" s="50">
        <v>102821.44087000001</v>
      </c>
      <c r="D18" s="22">
        <v>98851.783320000002</v>
      </c>
      <c r="E18" s="68">
        <f>IF(OR(102821.44087="",98851.78332=""),"-",98851.78332/102821.44087*100)</f>
        <v>96.139270645877303</v>
      </c>
      <c r="F18" s="22">
        <f>IF(102821.44087="","-",102821.44087/7486893.14515*100)</f>
        <v>1.3733525893395127</v>
      </c>
      <c r="G18" s="22">
        <f>IF(98851.78332="","-",98851.78332/7126566.5717*100)</f>
        <v>1.3870884713621567</v>
      </c>
      <c r="H18" s="22">
        <f>IF(OR(5721069.63319="",87698.13737="",102821.44087=""),"-",(102821.44087-87698.13737)/5721069.63319*100)</f>
        <v>0.26434398582153656</v>
      </c>
      <c r="I18" s="22">
        <f>IF(OR(7486893.14515="",98851.78332="",102821.44087=""),"-",(98851.78332-102821.44087)/7486893.14515*100)</f>
        <v>-5.3021426552234727E-2</v>
      </c>
    </row>
    <row r="19" spans="1:9" s="2" customFormat="1" x14ac:dyDescent="0.25">
      <c r="A19" s="30" t="s">
        <v>193</v>
      </c>
      <c r="B19" s="31" t="s">
        <v>164</v>
      </c>
      <c r="C19" s="51">
        <v>108091.29296000001</v>
      </c>
      <c r="D19" s="21">
        <v>117419.02202999999</v>
      </c>
      <c r="E19" s="67">
        <f>IF(108091.29296="","-",117419.02203/108091.29296*100)</f>
        <v>108.62949162191239</v>
      </c>
      <c r="F19" s="21">
        <f>IF(108091.29296="","-",108091.29296/7486893.14515*100)</f>
        <v>1.4437402920598834</v>
      </c>
      <c r="G19" s="21">
        <f>IF(117419.02203="","-",117419.02203/7126566.5717*100)</f>
        <v>1.6476240114879102</v>
      </c>
      <c r="H19" s="21">
        <f>IF(5721069.63319="","-",(108091.29296-107711.54195)/5721069.63319*100)</f>
        <v>6.6377624176593457E-3</v>
      </c>
      <c r="I19" s="21">
        <f>IF(7486893.14515="","-",(117419.02203-108091.29296)/7486893.14515*100)</f>
        <v>0.12458744754548123</v>
      </c>
    </row>
    <row r="20" spans="1:9" s="2" customFormat="1" x14ac:dyDescent="0.25">
      <c r="A20" s="32" t="s">
        <v>194</v>
      </c>
      <c r="B20" s="33" t="s">
        <v>165</v>
      </c>
      <c r="C20" s="50">
        <v>70233.733779999995</v>
      </c>
      <c r="D20" s="22">
        <v>79350.90006</v>
      </c>
      <c r="E20" s="68">
        <f>IF(OR(70233.73378="",79350.90006=""),"-",79350.90006/70233.73378*100)</f>
        <v>112.9811784014767</v>
      </c>
      <c r="F20" s="22">
        <f>IF(70233.73378="","-",70233.73378/7486893.14515*100)</f>
        <v>0.9380891702120433</v>
      </c>
      <c r="G20" s="22">
        <f>IF(79350.90006="","-",79350.90006/7126566.5717*100)</f>
        <v>1.1134520285702083</v>
      </c>
      <c r="H20" s="22">
        <f>IF(OR(5721069.63319="",65458.52664="",70233.73378=""),"-",(70233.73378-65458.52664)/5721069.63319*100)</f>
        <v>8.3467034071693327E-2</v>
      </c>
      <c r="I20" s="22">
        <f>IF(OR(7486893.14515="",79350.90006="",70233.73378=""),"-",(79350.90006-70233.73378)/7486893.14515*100)</f>
        <v>0.12177502875015778</v>
      </c>
    </row>
    <row r="21" spans="1:9" s="2" customFormat="1" x14ac:dyDescent="0.25">
      <c r="A21" s="32" t="s">
        <v>195</v>
      </c>
      <c r="B21" s="33" t="s">
        <v>166</v>
      </c>
      <c r="C21" s="50">
        <v>37857.559179999997</v>
      </c>
      <c r="D21" s="22">
        <v>38068.12197</v>
      </c>
      <c r="E21" s="68">
        <f>IF(OR(37857.55918="",38068.12197=""),"-",38068.12197/37857.55918*100)</f>
        <v>100.55619747960731</v>
      </c>
      <c r="F21" s="22">
        <f>IF(37857.55918="","-",37857.55918/7486893.14515*100)</f>
        <v>0.50565112184783978</v>
      </c>
      <c r="G21" s="22">
        <f>IF(38068.12197="","-",38068.12197/7126566.5717*100)</f>
        <v>0.53417198291770218</v>
      </c>
      <c r="H21" s="22">
        <f>IF(OR(5721069.63319="",42253.01531="",37857.55918=""),"-",(37857.55918-42253.01531)/5721069.63319*100)</f>
        <v>-7.6829271654034248E-2</v>
      </c>
      <c r="I21" s="22">
        <f>IF(OR(7486893.14515="",38068.12197="",37857.55918=""),"-",(38068.12197-37857.55918)/7486893.14515*100)</f>
        <v>2.8124187953237436E-3</v>
      </c>
    </row>
    <row r="22" spans="1:9" s="2" customFormat="1" x14ac:dyDescent="0.25">
      <c r="A22" s="30" t="s">
        <v>196</v>
      </c>
      <c r="B22" s="31" t="s">
        <v>18</v>
      </c>
      <c r="C22" s="51">
        <v>240613.80850000001</v>
      </c>
      <c r="D22" s="21">
        <v>184206.82545999999</v>
      </c>
      <c r="E22" s="67">
        <f>IF(240613.8085="","-",184206.82546/240613.8085*100)</f>
        <v>76.557046583633621</v>
      </c>
      <c r="F22" s="21">
        <f>IF(240613.8085="","-",240613.8085/7486893.14515*100)</f>
        <v>3.2138004888699307</v>
      </c>
      <c r="G22" s="21">
        <f>IF(184206.82546="","-",184206.82546/7126566.5717*100)</f>
        <v>2.584790636650975</v>
      </c>
      <c r="H22" s="21">
        <f>IF(5721069.63319="","-",(240613.8085-159321.13123)/5721069.63319*100)</f>
        <v>1.4209349384316476</v>
      </c>
      <c r="I22" s="21">
        <f>IF(7486893.14515="","-",(184206.82546-240613.8085)/7486893.14515*100)</f>
        <v>-0.75340975150073286</v>
      </c>
    </row>
    <row r="23" spans="1:9" s="2" customFormat="1" x14ac:dyDescent="0.25">
      <c r="A23" s="32" t="s">
        <v>198</v>
      </c>
      <c r="B23" s="33" t="s">
        <v>167</v>
      </c>
      <c r="C23" s="50">
        <v>122199.34105</v>
      </c>
      <c r="D23" s="22">
        <v>72633.161819999994</v>
      </c>
      <c r="E23" s="68">
        <f>IF(OR(122199.34105="",72633.16182=""),"-",72633.16182/122199.34105*100)</f>
        <v>59.438259810485285</v>
      </c>
      <c r="F23" s="22">
        <f>IF(122199.34105="","-",122199.34105/7486893.14515*100)</f>
        <v>1.6321769081098825</v>
      </c>
      <c r="G23" s="22">
        <f>IF(72633.16182="","-",72633.16182/7126566.5717*100)</f>
        <v>1.0191887087455325</v>
      </c>
      <c r="H23" s="22">
        <f>IF(OR(5721069.63319="",44452.73936="",122199.34105=""),"-",(122199.34105-44452.73936)/5721069.63319*100)</f>
        <v>1.3589522008081107</v>
      </c>
      <c r="I23" s="22">
        <f>IF(OR(7486893.14515="",72633.16182="",122199.34105=""),"-",(72633.16182-122199.34105)/7486893.14515*100)</f>
        <v>-0.66203935690078486</v>
      </c>
    </row>
    <row r="24" spans="1:9" s="2" customFormat="1" x14ac:dyDescent="0.25">
      <c r="A24" s="32" t="s">
        <v>251</v>
      </c>
      <c r="B24" s="33" t="s">
        <v>168</v>
      </c>
      <c r="C24" s="50">
        <v>3797.3294000000001</v>
      </c>
      <c r="D24" s="22">
        <v>3215.7777999999998</v>
      </c>
      <c r="E24" s="68">
        <f>IF(OR(3797.3294="",3215.7778=""),"-",3215.7778/3797.3294*100)</f>
        <v>84.685247479452258</v>
      </c>
      <c r="F24" s="22">
        <f>IF(3797.3294="","-",3797.3294/7486893.14515*100)</f>
        <v>5.0719695424795867E-2</v>
      </c>
      <c r="G24" s="22">
        <f>IF(3215.7778="","-",3215.7778/7126566.5717*100)</f>
        <v>4.5123802151375896E-2</v>
      </c>
      <c r="H24" s="22">
        <f>IF(OR(5721069.63319="",2322.31121="",3797.3294=""),"-",(3797.3294-2322.31121)/5721069.63319*100)</f>
        <v>2.5782210051121988E-2</v>
      </c>
      <c r="I24" s="22">
        <f>IF(OR(7486893.14515="",3215.7778="",3797.3294=""),"-",(3215.7778-3797.3294)/7486893.14515*100)</f>
        <v>-7.7675958334830607E-3</v>
      </c>
    </row>
    <row r="25" spans="1:9" s="2" customFormat="1" x14ac:dyDescent="0.25">
      <c r="A25" s="32" t="s">
        <v>199</v>
      </c>
      <c r="B25" s="33" t="s">
        <v>169</v>
      </c>
      <c r="C25" s="50">
        <v>49335.413719999997</v>
      </c>
      <c r="D25" s="22">
        <v>36903.526700000002</v>
      </c>
      <c r="E25" s="68">
        <f>IF(OR(49335.41372="",36903.5267=""),"-",36903.5267/49335.41372*100)</f>
        <v>74.801291643044934</v>
      </c>
      <c r="F25" s="22">
        <f>IF(49335.41372="","-",49335.41372/7486893.14515*100)</f>
        <v>0.65895709693625604</v>
      </c>
      <c r="G25" s="22">
        <f>IF(36903.5267="","-",36903.5267/7126566.5717*100)</f>
        <v>0.51783037916948671</v>
      </c>
      <c r="H25" s="22">
        <f>IF(OR(5721069.63319="",47026.01553="",49335.41372=""),"-",(49335.41372-47026.01553)/5721069.63319*100)</f>
        <v>4.0366545734775598E-2</v>
      </c>
      <c r="I25" s="22">
        <f>IF(OR(7486893.14515="",36903.5267="",49335.41372=""),"-",(36903.5267-49335.41372)/7486893.14515*100)</f>
        <v>-0.16604867705442486</v>
      </c>
    </row>
    <row r="26" spans="1:9" s="2" customFormat="1" x14ac:dyDescent="0.25">
      <c r="A26" s="32" t="s">
        <v>200</v>
      </c>
      <c r="B26" s="33" t="s">
        <v>121</v>
      </c>
      <c r="C26" s="50">
        <v>631.50130999999999</v>
      </c>
      <c r="D26" s="22">
        <v>256.07668999999999</v>
      </c>
      <c r="E26" s="68">
        <f>IF(OR(631.50131="",256.07669=""),"-",256.07669/631.50131*100)</f>
        <v>40.550460615829913</v>
      </c>
      <c r="F26" s="22">
        <f>IF(631.50131="","-",631.50131/7486893.14515*100)</f>
        <v>8.4347578863080974E-3</v>
      </c>
      <c r="G26" s="22">
        <f>IF(256.07669="","-",256.07669/7126566.5717*100)</f>
        <v>3.593268756050004E-3</v>
      </c>
      <c r="H26" s="22">
        <f>IF(OR(5721069.63319="",519.52148="",631.50131=""),"-",(631.50131-519.52148)/5721069.63319*100)</f>
        <v>1.9573233185340793E-3</v>
      </c>
      <c r="I26" s="22">
        <f>IF(OR(7486893.14515="",256.07669="",631.50131=""),"-",(256.07669-631.50131)/7486893.14515*100)</f>
        <v>-5.0144247115801246E-3</v>
      </c>
    </row>
    <row r="27" spans="1:9" s="2" customFormat="1" ht="27.75" customHeight="1" x14ac:dyDescent="0.25">
      <c r="A27" s="32" t="s">
        <v>201</v>
      </c>
      <c r="B27" s="33" t="s">
        <v>122</v>
      </c>
      <c r="C27" s="50">
        <v>7032.9213</v>
      </c>
      <c r="D27" s="22">
        <v>6185.3867600000003</v>
      </c>
      <c r="E27" s="68">
        <f>IF(OR(7032.9213="",6185.38676=""),"-",6185.38676/7032.9213*100)</f>
        <v>87.949039896123963</v>
      </c>
      <c r="F27" s="22">
        <f>IF(7032.9213="","-",7032.9213/7486893.14515*100)</f>
        <v>9.3936445514197262E-2</v>
      </c>
      <c r="G27" s="22">
        <f>IF(6185.38676="","-",6185.38676/7126566.5717*100)</f>
        <v>8.6793362522740211E-2</v>
      </c>
      <c r="H27" s="22">
        <f>IF(OR(5721069.63319="",8597.83308="",7032.9213=""),"-",(7032.9213-8597.83308)/5721069.63319*100)</f>
        <v>-2.7353482483789035E-2</v>
      </c>
      <c r="I27" s="22">
        <f>IF(OR(7486893.14515="",6185.38676="",7032.9213=""),"-",(6185.38676-7032.9213)/7486893.14515*100)</f>
        <v>-1.132024357191516E-2</v>
      </c>
    </row>
    <row r="28" spans="1:9" s="2" customFormat="1" ht="27" customHeight="1" x14ac:dyDescent="0.25">
      <c r="A28" s="32" t="s">
        <v>202</v>
      </c>
      <c r="B28" s="33" t="s">
        <v>123</v>
      </c>
      <c r="C28" s="50">
        <v>18241.358189999999</v>
      </c>
      <c r="D28" s="22">
        <v>19183.077379999999</v>
      </c>
      <c r="E28" s="68">
        <f>IF(OR(18241.35819="",19183.07738=""),"-",19183.07738/18241.35819*100)</f>
        <v>105.16254974103987</v>
      </c>
      <c r="F28" s="22">
        <f>IF(18241.35819="","-",18241.35819/7486893.14515*100)</f>
        <v>0.24364389655830371</v>
      </c>
      <c r="G28" s="22">
        <f>IF(19183.07738="","-",19183.07738/7126566.5717*100)</f>
        <v>0.2691769898870669</v>
      </c>
      <c r="H28" s="22">
        <f>IF(OR(5721069.63319="",16254.78767="",18241.35819=""),"-",(18241.35819-16254.78767)/5721069.63319*100)</f>
        <v>3.4723760544272758E-2</v>
      </c>
      <c r="I28" s="22">
        <f>IF(OR(7486893.14515="",19183.07738="",18241.35819=""),"-",(19183.07738-18241.35819)/7486893.14515*100)</f>
        <v>1.2578237350830156E-2</v>
      </c>
    </row>
    <row r="29" spans="1:9" s="2" customFormat="1" x14ac:dyDescent="0.25">
      <c r="A29" s="32" t="s">
        <v>203</v>
      </c>
      <c r="B29" s="33" t="s">
        <v>124</v>
      </c>
      <c r="C29" s="50">
        <v>2172.6472399999998</v>
      </c>
      <c r="D29" s="22">
        <v>2325.0348600000002</v>
      </c>
      <c r="E29" s="68">
        <f>IF(OR(2172.64724="",2325.03486=""),"-",2325.03486/2172.64724*100)</f>
        <v>107.01391450919573</v>
      </c>
      <c r="F29" s="22">
        <f>IF(2172.64724="","-",2172.64724/7486893.14515*100)</f>
        <v>2.9019343509763294E-2</v>
      </c>
      <c r="G29" s="22">
        <f>IF(2325.03486="","-",2325.03486/7126566.5717*100)</f>
        <v>3.2624894984252938E-2</v>
      </c>
      <c r="H29" s="22">
        <f>IF(OR(5721069.63319="",1087.38061="",2172.64724=""),"-",(2172.64724-1087.38061)/5721069.63319*100)</f>
        <v>1.8969645531038016E-2</v>
      </c>
      <c r="I29" s="22">
        <f>IF(OR(7486893.14515="",2325.03486="",2172.64724=""),"-",(2325.03486-2172.64724)/7486893.14515*100)</f>
        <v>2.0353919449046355E-3</v>
      </c>
    </row>
    <row r="30" spans="1:9" s="2" customFormat="1" x14ac:dyDescent="0.25">
      <c r="A30" s="32" t="s">
        <v>204</v>
      </c>
      <c r="B30" s="33" t="s">
        <v>125</v>
      </c>
      <c r="C30" s="50">
        <v>37203.227169999998</v>
      </c>
      <c r="D30" s="22">
        <v>43504.783450000003</v>
      </c>
      <c r="E30" s="68">
        <f>IF(OR(37203.22717="",43504.78345=""),"-",43504.78345/37203.22717*100)</f>
        <v>116.93819799880549</v>
      </c>
      <c r="F30" s="22">
        <f>IF(37203.22717="","-",37203.22717/7486893.14515*100)</f>
        <v>0.49691142171703356</v>
      </c>
      <c r="G30" s="22">
        <f>IF(43504.78345="","-",43504.78345/7126566.5717*100)</f>
        <v>0.61045923043446981</v>
      </c>
      <c r="H30" s="22">
        <f>IF(OR(5721069.63319="",39045.12343="",37203.22717=""),"-",(37203.22717-39045.12343)/5721069.63319*100)</f>
        <v>-3.2194963146655181E-2</v>
      </c>
      <c r="I30" s="22">
        <f>IF(OR(7486893.14515="",43504.78345="",37203.22717=""),"-",(43504.78345-37203.22717)/7486893.14515*100)</f>
        <v>8.4167840489110551E-2</v>
      </c>
    </row>
    <row r="31" spans="1:9" s="2" customFormat="1" x14ac:dyDescent="0.25">
      <c r="A31" s="30" t="s">
        <v>205</v>
      </c>
      <c r="B31" s="31" t="s">
        <v>126</v>
      </c>
      <c r="C31" s="51">
        <v>1987485.1198</v>
      </c>
      <c r="D31" s="21">
        <v>1623617.22471</v>
      </c>
      <c r="E31" s="67">
        <f>IF(1987485.1198="","-",1623617.22471/1987485.1198*100)</f>
        <v>81.692044309412694</v>
      </c>
      <c r="F31" s="21">
        <f>IF(1987485.1198="","-",1987485.1198/7486893.14515*100)</f>
        <v>26.546193210831255</v>
      </c>
      <c r="G31" s="21">
        <f>IF(1623617.22471="","-",1623617.22471/7126566.5717*100)</f>
        <v>22.782600967448701</v>
      </c>
      <c r="H31" s="21">
        <f>IF(5721069.63319="","-",(1987485.1198-785946.61385)/5721069.63319*100)</f>
        <v>21.001990588952797</v>
      </c>
      <c r="I31" s="21">
        <f>IF(7486893.14515="","-",(1623617.22471-1987485.1198)/7486893.14515*100)</f>
        <v>-4.8600652905766815</v>
      </c>
    </row>
    <row r="32" spans="1:9" s="2" customFormat="1" x14ac:dyDescent="0.25">
      <c r="A32" s="32" t="s">
        <v>206</v>
      </c>
      <c r="B32" s="33" t="s">
        <v>170</v>
      </c>
      <c r="C32" s="50">
        <v>32604.601360000001</v>
      </c>
      <c r="D32" s="22">
        <v>15931.683639999999</v>
      </c>
      <c r="E32" s="68">
        <f>IF(OR(32604.60136="",15931.68364=""),"-",15931.68364/32604.60136*100)</f>
        <v>48.863298355014756</v>
      </c>
      <c r="F32" s="22">
        <f>IF(32604.60136="","-",32604.60136/7486893.14515*100)</f>
        <v>0.43548907040460727</v>
      </c>
      <c r="G32" s="22">
        <f>IF(15931.68364="","-",15931.68364/7126566.5717*100)</f>
        <v>0.22355342477632384</v>
      </c>
      <c r="H32" s="22">
        <f>IF(OR(5721069.63319="",15458.8734="",32604.60136=""),"-",(32604.60136-15458.8734)/5721069.63319*100)</f>
        <v>0.29969444630653352</v>
      </c>
      <c r="I32" s="22">
        <f>IF(OR(7486893.14515="",15931.68364="",32604.60136=""),"-",(15931.68364-32604.60136)/7486893.14515*100)</f>
        <v>-0.22269474662932376</v>
      </c>
    </row>
    <row r="33" spans="1:9" s="2" customFormat="1" x14ac:dyDescent="0.25">
      <c r="A33" s="32" t="s">
        <v>207</v>
      </c>
      <c r="B33" s="33" t="s">
        <v>127</v>
      </c>
      <c r="C33" s="50">
        <v>1240297.0508699999</v>
      </c>
      <c r="D33" s="22">
        <v>1133741.8566699999</v>
      </c>
      <c r="E33" s="68">
        <f>IF(OR(1240297.05087="",1133741.85667=""),"-",1133741.85667/1240297.05087*100)</f>
        <v>91.408897237540202</v>
      </c>
      <c r="F33" s="22">
        <f>IF(1240297.05087="","-",1240297.05087/7486893.14515*100)</f>
        <v>16.56624486050616</v>
      </c>
      <c r="G33" s="22">
        <f>IF(1133741.85667="","-",1133741.85667/7126566.5717*100)</f>
        <v>15.908668575021148</v>
      </c>
      <c r="H33" s="22">
        <f>IF(OR(5721069.63319="",518648.19604="",1240297.05087=""),"-",(1240297.05087-518648.19604)/5721069.63319*100)</f>
        <v>12.613879940272934</v>
      </c>
      <c r="I33" s="22">
        <f>IF(OR(7486893.14515="",1133741.85667="",1240297.05087=""),"-",(1133741.85667-1240297.05087)/7486893.14515*100)</f>
        <v>-1.4232231198467999</v>
      </c>
    </row>
    <row r="34" spans="1:9" s="2" customFormat="1" x14ac:dyDescent="0.25">
      <c r="A34" s="32" t="s">
        <v>252</v>
      </c>
      <c r="B34" s="33" t="s">
        <v>171</v>
      </c>
      <c r="C34" s="50">
        <v>656024.93782999995</v>
      </c>
      <c r="D34" s="22">
        <v>431672.44793999998</v>
      </c>
      <c r="E34" s="68">
        <f>IF(OR(656024.93783="",431672.44794=""),"-",431672.44794/656024.93783*100)</f>
        <v>65.801225387541919</v>
      </c>
      <c r="F34" s="22">
        <f>IF(656024.93783="","-",656024.93783/7486893.14515*100)</f>
        <v>8.7623120179693235</v>
      </c>
      <c r="G34" s="22">
        <f>IF(431672.44794="","-",431672.44794/7126566.5717*100)</f>
        <v>6.0572288716728719</v>
      </c>
      <c r="H34" s="22">
        <f>IF(OR(5721069.63319="",244129.47284="",656024.93783=""),"-",(656024.93783-244129.47284)/5721069.63319*100)</f>
        <v>7.1996233466630946</v>
      </c>
      <c r="I34" s="22">
        <f>IF(OR(7486893.14515="",431672.44794="",656024.93783=""),"-",(431672.44794-656024.93783)/7486893.14515*100)</f>
        <v>-2.9966033378656567</v>
      </c>
    </row>
    <row r="35" spans="1:9" s="2" customFormat="1" x14ac:dyDescent="0.25">
      <c r="A35" s="32" t="s">
        <v>257</v>
      </c>
      <c r="B35" s="33" t="s">
        <v>259</v>
      </c>
      <c r="C35" s="50">
        <v>58558.529739999998</v>
      </c>
      <c r="D35" s="22">
        <v>42271.23646</v>
      </c>
      <c r="E35" s="68">
        <f>IF(OR(58558.52974="",42271.23646=""),"-",42271.23646/58558.52974*100)</f>
        <v>72.186300864595438</v>
      </c>
      <c r="F35" s="22">
        <f>IF(58558.52974="","-",58558.52974/7486893.14515*100)</f>
        <v>0.78214726195116235</v>
      </c>
      <c r="G35" s="22">
        <f>IF(42271.23646="","-",42271.23646/7126566.5717*100)</f>
        <v>0.59315009597835622</v>
      </c>
      <c r="H35" s="22">
        <f>IF(OR(5721069.63319="",7710.07157="",58558.52974=""),"-",(58558.52974-7710.07157)/5721069.63319*100)</f>
        <v>0.8887928557102267</v>
      </c>
      <c r="I35" s="22">
        <f>IF(OR(7486893.14515="",42271.23646="",58558.52974=""),"-",(42271.23646-58558.52974)/7486893.14515*100)</f>
        <v>-0.21754408623490085</v>
      </c>
    </row>
    <row r="36" spans="1:9" s="2" customFormat="1" ht="24" x14ac:dyDescent="0.25">
      <c r="A36" s="30" t="s">
        <v>208</v>
      </c>
      <c r="B36" s="31" t="s">
        <v>128</v>
      </c>
      <c r="C36" s="51">
        <v>57379.481090000001</v>
      </c>
      <c r="D36" s="21">
        <v>21207.48616</v>
      </c>
      <c r="E36" s="67">
        <f>IF(57379.48109="","-",21207.48616/57379.48109*100)</f>
        <v>36.96005219485334</v>
      </c>
      <c r="F36" s="21">
        <f>IF(57379.48109="","-",57379.48109/7486893.14515*100)</f>
        <v>0.76639909208762191</v>
      </c>
      <c r="G36" s="21">
        <f>IF(21207.48616="","-",21207.48616/7126566.5717*100)</f>
        <v>0.29758349896310698</v>
      </c>
      <c r="H36" s="21">
        <f>IF(5721069.63319="","-",(57379.48109-11338.38994)/5721069.63319*100)</f>
        <v>0.80476369109194068</v>
      </c>
      <c r="I36" s="21">
        <f>IF(7486893.14515="","-",(21207.48616-57379.48109)/7486893.14515*100)</f>
        <v>-0.48313758763115472</v>
      </c>
    </row>
    <row r="37" spans="1:9" s="2" customFormat="1" x14ac:dyDescent="0.25">
      <c r="A37" s="32" t="s">
        <v>209</v>
      </c>
      <c r="B37" s="33" t="s">
        <v>174</v>
      </c>
      <c r="C37" s="50">
        <v>2113.5323800000001</v>
      </c>
      <c r="D37" s="22">
        <v>2820.0238399999998</v>
      </c>
      <c r="E37" s="68">
        <f>IF(OR(2113.53238="",2820.02384=""),"-",2820.02384/2113.53238*100)</f>
        <v>133.42704690429204</v>
      </c>
      <c r="F37" s="22">
        <f>IF(2113.53238="","-",2113.53238/7486893.14515*100)</f>
        <v>2.8229765525225152E-2</v>
      </c>
      <c r="G37" s="22">
        <f>IF(2820.02384="","-",2820.02384/7126566.5717*100)</f>
        <v>3.9570581592522747E-2</v>
      </c>
      <c r="H37" s="22">
        <f>IF(OR(5721069.63319="",1577.48857="",2113.53238=""),"-",(2113.53238-1577.48857)/5721069.63319*100)</f>
        <v>9.3696431676030568E-3</v>
      </c>
      <c r="I37" s="22">
        <f>IF(OR(7486893.14515="",2820.02384="",2113.53238=""),"-",(2820.02384-2113.53238)/7486893.14515*100)</f>
        <v>9.4363769630886746E-3</v>
      </c>
    </row>
    <row r="38" spans="1:9" s="2" customFormat="1" ht="24" x14ac:dyDescent="0.25">
      <c r="A38" s="32" t="s">
        <v>210</v>
      </c>
      <c r="B38" s="33" t="s">
        <v>129</v>
      </c>
      <c r="C38" s="50">
        <v>52351.824610000003</v>
      </c>
      <c r="D38" s="22">
        <v>15492.2531</v>
      </c>
      <c r="E38" s="68">
        <f>IF(OR(52351.82461="",15492.2531=""),"-",15492.2531/52351.82461*100)</f>
        <v>29.592575264398217</v>
      </c>
      <c r="F38" s="22">
        <f>IF(52351.82461="","-",52351.82461/7486893.14515*100)</f>
        <v>0.69924631746498811</v>
      </c>
      <c r="G38" s="22">
        <f>IF(15492.2531="","-",15492.2531/7126566.5717*100)</f>
        <v>0.21738733433741592</v>
      </c>
      <c r="H38" s="22">
        <f>IF(OR(5721069.63319="",8079.35821="",52351.82461=""),"-",(52351.82461-8079.35821)/5721069.63319*100)</f>
        <v>0.7738494589046665</v>
      </c>
      <c r="I38" s="22">
        <f>IF(OR(7486893.14515="",15492.2531="",52351.82461=""),"-",(15492.2531-52351.82461)/7486893.14515*100)</f>
        <v>-0.49232132468562856</v>
      </c>
    </row>
    <row r="39" spans="1:9" s="2" customFormat="1" ht="38.25" customHeight="1" x14ac:dyDescent="0.25">
      <c r="A39" s="32" t="s">
        <v>211</v>
      </c>
      <c r="B39" s="33" t="s">
        <v>172</v>
      </c>
      <c r="C39" s="50">
        <v>2914.1241</v>
      </c>
      <c r="D39" s="22">
        <v>2895.2092200000002</v>
      </c>
      <c r="E39" s="68">
        <f>IF(OR(2914.1241="",2895.20922=""),"-",2895.20922/2914.1241*100)</f>
        <v>99.350924004917985</v>
      </c>
      <c r="F39" s="22">
        <f>IF(2914.1241="","-",2914.1241/7486893.14515*100)</f>
        <v>3.8923009097408659E-2</v>
      </c>
      <c r="G39" s="22">
        <f>IF(2895.20922="","-",2895.20922/7126566.5717*100)</f>
        <v>4.0625583033168315E-2</v>
      </c>
      <c r="H39" s="22">
        <f>IF(OR(5721069.63319="",1681.54316="",2914.1241=""),"-",(2914.1241-1681.54316)/5721069.63319*100)</f>
        <v>2.1544589019671267E-2</v>
      </c>
      <c r="I39" s="22">
        <f>IF(OR(7486893.14515="",2895.20922="",2914.1241=""),"-",(2895.20922-2914.1241)/7486893.14515*100)</f>
        <v>-2.5263990861486849E-4</v>
      </c>
    </row>
    <row r="40" spans="1:9" s="2" customFormat="1" ht="24" x14ac:dyDescent="0.25">
      <c r="A40" s="30" t="s">
        <v>212</v>
      </c>
      <c r="B40" s="31" t="s">
        <v>130</v>
      </c>
      <c r="C40" s="51">
        <v>909753.51832999999</v>
      </c>
      <c r="D40" s="21">
        <v>915838.32579999999</v>
      </c>
      <c r="E40" s="67">
        <f>IF(909753.51833="","-",915838.3258/909753.51833*100)</f>
        <v>100.66884132321572</v>
      </c>
      <c r="F40" s="21">
        <f>IF(909753.51833="","-",909753.51833/7486893.14515*100)</f>
        <v>12.151282256770783</v>
      </c>
      <c r="G40" s="21">
        <f>IF(915838.3258="","-",915838.3258/7126566.5717*100)</f>
        <v>12.851045683581289</v>
      </c>
      <c r="H40" s="21">
        <f>IF(5721069.63319="","-",(909753.51833-842980.58188)/5721069.63319*100)</f>
        <v>1.1671407749107965</v>
      </c>
      <c r="I40" s="21">
        <f>IF(7486893.14515="","-",(915838.3258-909753.51833)/7486893.14515*100)</f>
        <v>8.1272797033863517E-2</v>
      </c>
    </row>
    <row r="41" spans="1:9" s="2" customFormat="1" x14ac:dyDescent="0.25">
      <c r="A41" s="32" t="s">
        <v>213</v>
      </c>
      <c r="B41" s="33" t="s">
        <v>19</v>
      </c>
      <c r="C41" s="50">
        <v>15482.436110000001</v>
      </c>
      <c r="D41" s="22">
        <v>13403.27715</v>
      </c>
      <c r="E41" s="68">
        <f>IF(OR(15482.43611="",13403.27715=""),"-",13403.27715/15482.43611*100)</f>
        <v>86.570853932624431</v>
      </c>
      <c r="F41" s="22">
        <f>IF(15482.43611="","-",15482.43611/7486893.14515*100)</f>
        <v>0.20679387043248376</v>
      </c>
      <c r="G41" s="22">
        <f>IF(13403.27715="","-",13403.27715/7126566.5717*100)</f>
        <v>0.18807481857006952</v>
      </c>
      <c r="H41" s="22">
        <f>IF(OR(5721069.63319="",12185.40813="",15482.43611=""),"-",(15482.43611-12185.40813)/5721069.63319*100)</f>
        <v>5.762957263922721E-2</v>
      </c>
      <c r="I41" s="22">
        <f>IF(OR(7486893.14515="",13403.27715="",15482.43611=""),"-",(13403.27715-15482.43611)/7486893.14515*100)</f>
        <v>-2.7770650918757633E-2</v>
      </c>
    </row>
    <row r="42" spans="1:9" s="2" customFormat="1" x14ac:dyDescent="0.25">
      <c r="A42" s="32" t="s">
        <v>214</v>
      </c>
      <c r="B42" s="33" t="s">
        <v>20</v>
      </c>
      <c r="C42" s="50">
        <v>26977.84103</v>
      </c>
      <c r="D42" s="22">
        <v>29824.657019999999</v>
      </c>
      <c r="E42" s="68">
        <f>IF(OR(26977.84103="",29824.65702=""),"-",29824.65702/26977.84103*100)</f>
        <v>110.55242332710861</v>
      </c>
      <c r="F42" s="22">
        <f>IF(26977.84103="","-",26977.84103/7486893.14515*100)</f>
        <v>0.36033426024620391</v>
      </c>
      <c r="G42" s="22">
        <f>IF(29824.65702="","-",29824.65702/7126566.5717*100)</f>
        <v>0.41849966207339451</v>
      </c>
      <c r="H42" s="22">
        <f>IF(OR(5721069.63319="",13638.17356="",26977.84103=""),"-",(26977.84103-13638.17356)/5721069.63319*100)</f>
        <v>0.2331673677350779</v>
      </c>
      <c r="I42" s="22">
        <f>IF(OR(7486893.14515="",29824.65702="",26977.84103=""),"-",(29824.65702-26977.84103)/7486893.14515*100)</f>
        <v>3.8023996533784681E-2</v>
      </c>
    </row>
    <row r="43" spans="1:9" s="2" customFormat="1" x14ac:dyDescent="0.25">
      <c r="A43" s="32" t="s">
        <v>215</v>
      </c>
      <c r="B43" s="33" t="s">
        <v>131</v>
      </c>
      <c r="C43" s="50">
        <v>43846.754999999997</v>
      </c>
      <c r="D43" s="22">
        <v>45625.029549999999</v>
      </c>
      <c r="E43" s="68">
        <f>IF(OR(43846.755="",45625.02955=""),"-",45625.02955/43846.755*100)</f>
        <v>104.05565828075534</v>
      </c>
      <c r="F43" s="22">
        <f>IF(43846.755="","-",43846.755/7486893.14515*100)</f>
        <v>0.58564686512727737</v>
      </c>
      <c r="G43" s="22">
        <f>IF(45625.02955="","-",45625.02955/7126566.5717*100)</f>
        <v>0.64021052902500875</v>
      </c>
      <c r="H43" s="22">
        <f>IF(OR(5721069.63319="",43527.57712="",43846.755=""),"-",(43846.755-43527.57712)/5721069.63319*100)</f>
        <v>5.5789896027192013E-3</v>
      </c>
      <c r="I43" s="22">
        <f>IF(OR(7486893.14515="",45625.02955="",43846.755=""),"-",(45625.02955-43846.755)/7486893.14515*100)</f>
        <v>2.375183558151843E-2</v>
      </c>
    </row>
    <row r="44" spans="1:9" s="2" customFormat="1" x14ac:dyDescent="0.25">
      <c r="A44" s="32" t="s">
        <v>216</v>
      </c>
      <c r="B44" s="33" t="s">
        <v>132</v>
      </c>
      <c r="C44" s="50">
        <v>233691.50805</v>
      </c>
      <c r="D44" s="22">
        <v>248947.37878999999</v>
      </c>
      <c r="E44" s="68">
        <f>IF(OR(233691.50805="",248947.37879=""),"-",248947.37879/233691.50805*100)</f>
        <v>106.52820929065847</v>
      </c>
      <c r="F44" s="22">
        <f>IF(233691.50805="","-",233691.50805/7486893.14515*100)</f>
        <v>3.121341570119577</v>
      </c>
      <c r="G44" s="22">
        <f>IF(248947.37879="","-",248947.37879/7126566.5717*100)</f>
        <v>3.4932302432784974</v>
      </c>
      <c r="H44" s="22">
        <f>IF(OR(5721069.63319="",260141.14485="",233691.50805=""),"-",(233691.50805-260141.14485)/5721069.63319*100)</f>
        <v>-0.46231978451295314</v>
      </c>
      <c r="I44" s="22">
        <f>IF(OR(7486893.14515="",248947.37879="",233691.50805=""),"-",(248947.37879-233691.50805)/7486893.14515*100)</f>
        <v>0.20376771037373115</v>
      </c>
    </row>
    <row r="45" spans="1:9" s="2" customFormat="1" ht="27" customHeight="1" x14ac:dyDescent="0.25">
      <c r="A45" s="32" t="s">
        <v>217</v>
      </c>
      <c r="B45" s="33" t="s">
        <v>133</v>
      </c>
      <c r="C45" s="50">
        <v>125232.38275</v>
      </c>
      <c r="D45" s="22">
        <v>144085.56946999999</v>
      </c>
      <c r="E45" s="68">
        <f>IF(OR(125232.38275="",144085.56947=""),"-",144085.56947/125232.38275*100)</f>
        <v>115.05456201183715</v>
      </c>
      <c r="F45" s="22">
        <f>IF(125232.38275="","-",125232.38275/7486893.14515*100)</f>
        <v>1.6726882609661042</v>
      </c>
      <c r="G45" s="22">
        <f>IF(144085.56947="","-",144085.56947/7126566.5717*100)</f>
        <v>2.0218090720175401</v>
      </c>
      <c r="H45" s="22">
        <f>IF(OR(5721069.63319="",113700.90145="",125232.38275=""),"-",(125232.38275-113700.90145)/5721069.63319*100)</f>
        <v>0.20156163164142754</v>
      </c>
      <c r="I45" s="22">
        <f>IF(OR(7486893.14515="",144085.56947="",125232.38275=""),"-",(144085.56947-125232.38275)/7486893.14515*100)</f>
        <v>0.25181589151186234</v>
      </c>
    </row>
    <row r="46" spans="1:9" s="2" customFormat="1" ht="18" customHeight="1" x14ac:dyDescent="0.25">
      <c r="A46" s="32" t="s">
        <v>218</v>
      </c>
      <c r="B46" s="33" t="s">
        <v>134</v>
      </c>
      <c r="C46" s="50">
        <v>115948.93213</v>
      </c>
      <c r="D46" s="22">
        <v>118602.90764999999</v>
      </c>
      <c r="E46" s="68">
        <f>IF(OR(115948.93213="",118602.90765=""),"-",118602.90765/115948.93213*100)</f>
        <v>102.28891760471272</v>
      </c>
      <c r="F46" s="22">
        <f>IF(115948.93213="","-",115948.93213/7486893.14515*100)</f>
        <v>1.5486922262956508</v>
      </c>
      <c r="G46" s="22">
        <f>IF(118602.90765="","-",118602.90765/7126566.5717*100)</f>
        <v>1.6642362974756857</v>
      </c>
      <c r="H46" s="22">
        <f>IF(OR(5721069.63319="",74985.76086="",115948.93213=""),"-",(115948.93213-74985.76086)/5721069.63319*100)</f>
        <v>0.71600546569749457</v>
      </c>
      <c r="I46" s="22">
        <f>IF(OR(7486893.14515="",118602.90765="",115948.93213=""),"-",(118602.90765-115948.93213)/7486893.14515*100)</f>
        <v>3.5448289010498762E-2</v>
      </c>
    </row>
    <row r="47" spans="1:9" s="2" customFormat="1" x14ac:dyDescent="0.25">
      <c r="A47" s="32" t="s">
        <v>219</v>
      </c>
      <c r="B47" s="33" t="s">
        <v>21</v>
      </c>
      <c r="C47" s="50">
        <v>68612.185100000002</v>
      </c>
      <c r="D47" s="22">
        <v>57023.866349999997</v>
      </c>
      <c r="E47" s="68">
        <f>IF(OR(68612.1851="",57023.86635=""),"-",57023.86635/68612.1851*100)</f>
        <v>83.110407090066559</v>
      </c>
      <c r="F47" s="22">
        <f>IF(68612.1851="","-",68612.1851/7486893.14515*100)</f>
        <v>0.91643067117161792</v>
      </c>
      <c r="G47" s="22">
        <f>IF(57023.86635="","-",57023.86635/7126566.5717*100)</f>
        <v>0.80015903557885781</v>
      </c>
      <c r="H47" s="22">
        <f>IF(OR(5721069.63319="",58040.84443="",68612.1851=""),"-",(68612.1851-58040.84443)/5721069.63319*100)</f>
        <v>0.1847790946062223</v>
      </c>
      <c r="I47" s="22">
        <f>IF(OR(7486893.14515="",57023.86635="",68612.1851=""),"-",(57023.86635-68612.1851)/7486893.14515*100)</f>
        <v>-0.15478140966265699</v>
      </c>
    </row>
    <row r="48" spans="1:9" s="2" customFormat="1" x14ac:dyDescent="0.25">
      <c r="A48" s="32" t="s">
        <v>220</v>
      </c>
      <c r="B48" s="33" t="s">
        <v>22</v>
      </c>
      <c r="C48" s="50">
        <v>127505.58487999999</v>
      </c>
      <c r="D48" s="22">
        <v>117923.96923</v>
      </c>
      <c r="E48" s="68">
        <f>IF(OR(127505.58488="",117923.96923=""),"-",117923.96923/127505.58488*100)</f>
        <v>92.485336497991369</v>
      </c>
      <c r="F48" s="22">
        <f>IF(127505.58488="","-",127505.58488/7486893.14515*100)</f>
        <v>1.7030506834814112</v>
      </c>
      <c r="G48" s="22">
        <f>IF(117923.96923="","-",117923.96923/7126566.5717*100)</f>
        <v>1.6547094318641851</v>
      </c>
      <c r="H48" s="22">
        <f>IF(OR(5721069.63319="",130980.86035="",127505.58488=""),"-",(127505.58488-130980.86035)/5721069.63319*100)</f>
        <v>-6.0745204879847546E-2</v>
      </c>
      <c r="I48" s="22">
        <f>IF(OR(7486893.14515="",117923.96923="",127505.58488=""),"-",(117923.96923-127505.58488)/7486893.14515*100)</f>
        <v>-0.12797852813228608</v>
      </c>
    </row>
    <row r="49" spans="1:9" s="2" customFormat="1" x14ac:dyDescent="0.25">
      <c r="A49" s="32" t="s">
        <v>221</v>
      </c>
      <c r="B49" s="33" t="s">
        <v>135</v>
      </c>
      <c r="C49" s="50">
        <v>152455.89327999999</v>
      </c>
      <c r="D49" s="22">
        <v>140401.67058999999</v>
      </c>
      <c r="E49" s="68">
        <f>IF(OR(152455.89328="",140401.67059=""),"-",140401.67059/152455.89328*100)</f>
        <v>92.093304869585296</v>
      </c>
      <c r="F49" s="22">
        <f>IF(152455.89328="","-",152455.89328/7486893.14515*100)</f>
        <v>2.0363038489304568</v>
      </c>
      <c r="G49" s="22">
        <f>IF(140401.67059="","-",140401.67059/7126566.5717*100)</f>
        <v>1.9701165936980507</v>
      </c>
      <c r="H49" s="22">
        <f>IF(OR(5721069.63319="",135779.91113="",152455.89328=""),"-",(152455.89328-135779.91113)/5721069.63319*100)</f>
        <v>0.29148364238142765</v>
      </c>
      <c r="I49" s="22">
        <f>IF(OR(7486893.14515="",140401.67059="",152455.89328=""),"-",(140401.67059-152455.89328)/7486893.14515*100)</f>
        <v>-0.16100433726383159</v>
      </c>
    </row>
    <row r="50" spans="1:9" s="2" customFormat="1" ht="24" x14ac:dyDescent="0.25">
      <c r="A50" s="30" t="s">
        <v>222</v>
      </c>
      <c r="B50" s="31" t="s">
        <v>328</v>
      </c>
      <c r="C50" s="51">
        <v>1099419.9763199999</v>
      </c>
      <c r="D50" s="21">
        <v>1024405.70861</v>
      </c>
      <c r="E50" s="67">
        <f>IF(1099419.97632="","-",1024405.70861/1099419.97632*100)</f>
        <v>93.176923348155896</v>
      </c>
      <c r="F50" s="21">
        <f>IF(1099419.97632="","-",1099419.97632/7486893.14515*100)</f>
        <v>14.684595532556822</v>
      </c>
      <c r="G50" s="21">
        <f>IF(1024405.70861="","-",1024405.70861/7126566.5717*100)</f>
        <v>14.374463471343594</v>
      </c>
      <c r="H50" s="21">
        <f>IF(5721069.63319="","-",(1099419.97632-1079206.17876)/5721069.63319*100)</f>
        <v>0.35332199843770973</v>
      </c>
      <c r="I50" s="21">
        <f>IF(7486893.14515="","-",(1024405.70861-1099419.97632)/7486893.14515*100)</f>
        <v>-1.0019412091996274</v>
      </c>
    </row>
    <row r="51" spans="1:9" s="2" customFormat="1" x14ac:dyDescent="0.25">
      <c r="A51" s="32" t="s">
        <v>223</v>
      </c>
      <c r="B51" s="33" t="s">
        <v>136</v>
      </c>
      <c r="C51" s="50">
        <v>46164.958010000002</v>
      </c>
      <c r="D51" s="22">
        <v>36292.628279999997</v>
      </c>
      <c r="E51" s="68">
        <f>IF(OR(46164.95801="",36292.62828=""),"-",36292.62828/46164.95801*100)</f>
        <v>78.615100813345222</v>
      </c>
      <c r="F51" s="22">
        <f>IF(46164.95801="","-",46164.95801/7486893.14515*100)</f>
        <v>0.61661034978047735</v>
      </c>
      <c r="G51" s="22">
        <f>IF(36292.62828="","-",36292.62828/7126566.5717*100)</f>
        <v>0.50925825100855837</v>
      </c>
      <c r="H51" s="22">
        <f>IF(OR(5721069.63319="",45611.64086="",46164.95801=""),"-",(46164.95801-45611.64086)/5721069.63319*100)</f>
        <v>9.6715681765173617E-3</v>
      </c>
      <c r="I51" s="22">
        <f>IF(OR(7486893.14515="",36292.62828="",46164.95801=""),"-",(36292.62828-46164.95801)/7486893.14515*100)</f>
        <v>-0.13186150167503441</v>
      </c>
    </row>
    <row r="52" spans="1:9" s="2" customFormat="1" x14ac:dyDescent="0.25">
      <c r="A52" s="32" t="s">
        <v>224</v>
      </c>
      <c r="B52" s="33" t="s">
        <v>23</v>
      </c>
      <c r="C52" s="50">
        <v>72458.305250000005</v>
      </c>
      <c r="D52" s="22">
        <v>66187.780929999994</v>
      </c>
      <c r="E52" s="68">
        <f>IF(OR(72458.30525="",66187.78093=""),"-",66187.78093/72458.30525*100)</f>
        <v>91.346024036354322</v>
      </c>
      <c r="F52" s="22">
        <f>IF(72458.30525="","-",72458.30525/7486893.14515*100)</f>
        <v>0.96780204879694864</v>
      </c>
      <c r="G52" s="22">
        <f>IF(66187.78093="","-",66187.78093/7126566.5717*100)</f>
        <v>0.92874710793884141</v>
      </c>
      <c r="H52" s="22">
        <f>IF(OR(5721069.63319="",59874.13591="",72458.30525=""),"-",(72458.30525-59874.13591)/5721069.63319*100)</f>
        <v>0.21996182788957289</v>
      </c>
      <c r="I52" s="22">
        <f>IF(OR(7486893.14515="",66187.78093="",72458.30525=""),"-",(66187.78093-72458.30525)/7486893.14515*100)</f>
        <v>-8.3753356678558294E-2</v>
      </c>
    </row>
    <row r="53" spans="1:9" s="2" customFormat="1" x14ac:dyDescent="0.25">
      <c r="A53" s="32" t="s">
        <v>225</v>
      </c>
      <c r="B53" s="33" t="s">
        <v>137</v>
      </c>
      <c r="C53" s="50">
        <v>91502.0435</v>
      </c>
      <c r="D53" s="22">
        <v>90847.37242</v>
      </c>
      <c r="E53" s="68">
        <f>IF(OR(91502.0435="",90847.37242=""),"-",90847.37242/91502.0435*100)</f>
        <v>99.284528459738723</v>
      </c>
      <c r="F53" s="22">
        <f>IF(91502.0435="","-",91502.0435/7486893.14515*100)</f>
        <v>1.2221630752039636</v>
      </c>
      <c r="G53" s="22">
        <f>IF(90847.37242="","-",90847.37242/7126566.5717*100)</f>
        <v>1.2747705575467445</v>
      </c>
      <c r="H53" s="22">
        <f>IF(OR(5721069.63319="",93673.43899="",91502.0435=""),"-",(91502.0435-93673.43899)/5721069.63319*100)</f>
        <v>-3.7954362194841017E-2</v>
      </c>
      <c r="I53" s="22">
        <f>IF(OR(7486893.14515="",90847.37242="",91502.0435=""),"-",(90847.37242-91502.0435)/7486893.14515*100)</f>
        <v>-8.744228978666474E-3</v>
      </c>
    </row>
    <row r="54" spans="1:9" s="2" customFormat="1" ht="25.5" customHeight="1" x14ac:dyDescent="0.25">
      <c r="A54" s="32" t="s">
        <v>226</v>
      </c>
      <c r="B54" s="33" t="s">
        <v>138</v>
      </c>
      <c r="C54" s="50">
        <v>118151.75109999999</v>
      </c>
      <c r="D54" s="22">
        <v>104613.48613999999</v>
      </c>
      <c r="E54" s="68">
        <f>IF(OR(118151.7511="",104613.48614=""),"-",104613.48614/118151.7511*100)</f>
        <v>88.541629866711304</v>
      </c>
      <c r="F54" s="22">
        <f>IF(118151.7511="","-",118151.7511/7486893.14515*100)</f>
        <v>1.5781145638032585</v>
      </c>
      <c r="G54" s="22">
        <f>IF(104613.48614="","-",104613.48614/7126566.5717*100)</f>
        <v>1.467936699776665</v>
      </c>
      <c r="H54" s="22">
        <f>IF(OR(5721069.63319="",91710.31775="",118151.7511=""),"-",(118151.7511-91710.31775)/5721069.63319*100)</f>
        <v>0.46217639436869717</v>
      </c>
      <c r="I54" s="22">
        <f>IF(OR(7486893.14515="",104613.48614="",118151.7511=""),"-",(104613.48614-118151.7511)/7486893.14515*100)</f>
        <v>-0.18082620784791181</v>
      </c>
    </row>
    <row r="55" spans="1:9" s="2" customFormat="1" ht="24.75" customHeight="1" x14ac:dyDescent="0.25">
      <c r="A55" s="32" t="s">
        <v>227</v>
      </c>
      <c r="B55" s="33" t="s">
        <v>139</v>
      </c>
      <c r="C55" s="50">
        <v>272881.38884999999</v>
      </c>
      <c r="D55" s="22">
        <v>250828.41256</v>
      </c>
      <c r="E55" s="68">
        <f>IF(OR(272881.38885="",250828.41256=""),"-",250828.41256/272881.38885*100)</f>
        <v>91.918475502144901</v>
      </c>
      <c r="F55" s="22">
        <f>IF(272881.38885="","-",272881.38885/7486893.14515*100)</f>
        <v>3.6447880791082508</v>
      </c>
      <c r="G55" s="22">
        <f>IF(250828.41256="","-",250828.41256/7126566.5717*100)</f>
        <v>3.5196249138547846</v>
      </c>
      <c r="H55" s="22">
        <f>IF(OR(5721069.63319="",262730.20936="",272881.38885=""),"-",(272881.38885-262730.20936)/5721069.63319*100)</f>
        <v>0.17743499276969701</v>
      </c>
      <c r="I55" s="22">
        <f>IF(OR(7486893.14515="",250828.41256="",272881.38885=""),"-",(250828.41256-272881.38885)/7486893.14515*100)</f>
        <v>-0.29455444150803567</v>
      </c>
    </row>
    <row r="56" spans="1:9" s="2" customFormat="1" x14ac:dyDescent="0.25">
      <c r="A56" s="32" t="s">
        <v>228</v>
      </c>
      <c r="B56" s="33" t="s">
        <v>24</v>
      </c>
      <c r="C56" s="50">
        <v>141088.41170999999</v>
      </c>
      <c r="D56" s="22">
        <v>152560.54074</v>
      </c>
      <c r="E56" s="68">
        <f>IF(OR(141088.41171="",152560.54074=""),"-",152560.54074/141088.41171*100)</f>
        <v>108.1311632124546</v>
      </c>
      <c r="F56" s="22">
        <f>IF(141088.41171="","-",141088.41171/7486893.14515*100)</f>
        <v>1.8844720897532359</v>
      </c>
      <c r="G56" s="22">
        <f>IF(152560.54074="","-",152560.54074/7126566.5717*100)</f>
        <v>2.1407298901244611</v>
      </c>
      <c r="H56" s="22">
        <f>IF(OR(5721069.63319="",137130.6669="",141088.41171=""),"-",(141088.41171-137130.6669)/5721069.63319*100)</f>
        <v>6.9178406552503069E-2</v>
      </c>
      <c r="I56" s="22">
        <f>IF(OR(7486893.14515="",152560.54074="",141088.41171=""),"-",(152560.54074-141088.41171)/7486893.14515*100)</f>
        <v>0.15322950131098961</v>
      </c>
    </row>
    <row r="57" spans="1:9" s="2" customFormat="1" x14ac:dyDescent="0.25">
      <c r="A57" s="32" t="s">
        <v>229</v>
      </c>
      <c r="B57" s="33" t="s">
        <v>140</v>
      </c>
      <c r="C57" s="50">
        <v>154083.82378999999</v>
      </c>
      <c r="D57" s="22">
        <v>128982.36126999999</v>
      </c>
      <c r="E57" s="68">
        <f>IF(OR(154083.82379="",128982.36127=""),"-",128982.36127/154083.82379*100)</f>
        <v>83.709216254776592</v>
      </c>
      <c r="F57" s="22">
        <f>IF(154083.82379="","-",154083.82379/7486893.14515*100)</f>
        <v>2.0580475880013767</v>
      </c>
      <c r="G57" s="22">
        <f>IF(128982.36127="","-",128982.36127/7126566.5717*100)</f>
        <v>1.809880816692238</v>
      </c>
      <c r="H57" s="22">
        <f>IF(OR(5721069.63319="",147343.05879="",154083.82379=""),"-",(154083.82379-147343.05879)/5721069.63319*100)</f>
        <v>0.11782350910211548</v>
      </c>
      <c r="I57" s="22">
        <f>IF(OR(7486893.14515="",128982.36127="",154083.82379=""),"-",(128982.36127-154083.82379)/7486893.14515*100)</f>
        <v>-0.33527208193509073</v>
      </c>
    </row>
    <row r="58" spans="1:9" s="2" customFormat="1" x14ac:dyDescent="0.25">
      <c r="A58" s="32" t="s">
        <v>230</v>
      </c>
      <c r="B58" s="33" t="s">
        <v>25</v>
      </c>
      <c r="C58" s="50">
        <v>29989.398700000002</v>
      </c>
      <c r="D58" s="22">
        <v>31413.214629999999</v>
      </c>
      <c r="E58" s="68">
        <f>IF(OR(29989.3987="",31413.21463=""),"-",31413.21463/29989.3987*100)</f>
        <v>104.74773083729751</v>
      </c>
      <c r="F58" s="22">
        <f>IF(29989.3987="","-",29989.3987/7486893.14515*100)</f>
        <v>0.40055865789171963</v>
      </c>
      <c r="G58" s="22">
        <f>IF(31413.21463="","-",31413.21463/7126566.5717*100)</f>
        <v>0.44079030643933997</v>
      </c>
      <c r="H58" s="22">
        <f>IF(OR(5721069.63319="",63241.4599="",29989.3987=""),"-",(29989.3987-63241.4599)/5721069.63319*100)</f>
        <v>-0.58122105361369358</v>
      </c>
      <c r="I58" s="22">
        <f>IF(OR(7486893.14515="",31413.21463="",29989.3987=""),"-",(31413.21463-29989.3987)/7486893.14515*100)</f>
        <v>1.9017446922190189E-2</v>
      </c>
    </row>
    <row r="59" spans="1:9" s="2" customFormat="1" x14ac:dyDescent="0.25">
      <c r="A59" s="32" t="s">
        <v>231</v>
      </c>
      <c r="B59" s="33" t="s">
        <v>26</v>
      </c>
      <c r="C59" s="50">
        <v>173099.89541</v>
      </c>
      <c r="D59" s="22">
        <v>162679.91164000001</v>
      </c>
      <c r="E59" s="68">
        <f>IF(OR(173099.89541="",162679.91164=""),"-",162679.91164/173099.89541*100)</f>
        <v>93.980363913381069</v>
      </c>
      <c r="F59" s="22">
        <f>IF(173099.89541="","-",173099.89541/7486893.14515*100)</f>
        <v>2.3120390802175916</v>
      </c>
      <c r="G59" s="22">
        <f>IF(162679.91164="","-",162679.91164/7126566.5717*100)</f>
        <v>2.2827249279619606</v>
      </c>
      <c r="H59" s="22">
        <f>IF(OR(5721069.63319="",177891.2503="",173099.89541=""),"-",(173099.89541-177891.2503)/5721069.63319*100)</f>
        <v>-8.3749284612856814E-2</v>
      </c>
      <c r="I59" s="22">
        <f>IF(OR(7486893.14515="",162679.91164="",173099.89541=""),"-",(162679.91164-173099.89541)/7486893.14515*100)</f>
        <v>-0.13917633880951064</v>
      </c>
    </row>
    <row r="60" spans="1:9" s="2" customFormat="1" x14ac:dyDescent="0.25">
      <c r="A60" s="30" t="s">
        <v>232</v>
      </c>
      <c r="B60" s="31" t="s">
        <v>141</v>
      </c>
      <c r="C60" s="51">
        <v>1650458.94246</v>
      </c>
      <c r="D60" s="21">
        <v>1746500.87705</v>
      </c>
      <c r="E60" s="67">
        <f>IF(1650458.94246="","-",1746500.87705/1650458.94246*100)</f>
        <v>105.8191047422755</v>
      </c>
      <c r="F60" s="21">
        <f>IF(1650458.94246="","-",1650458.94246/7486893.14515*100)</f>
        <v>22.044644026062603</v>
      </c>
      <c r="G60" s="21">
        <f>IF(1746500.87705="","-",1746500.87705/7126566.5717*100)</f>
        <v>24.506904685146054</v>
      </c>
      <c r="H60" s="21">
        <f>IF(5721069.63319="","-",(1650458.94246-1454204.0499)/5721069.63319*100)</f>
        <v>3.4303881117169812</v>
      </c>
      <c r="I60" s="21">
        <f>IF(7486893.14515="","-",(1746500.87705-1650458.94246)/7486893.14515*100)</f>
        <v>1.2828009259383619</v>
      </c>
    </row>
    <row r="61" spans="1:9" s="2" customFormat="1" x14ac:dyDescent="0.25">
      <c r="A61" s="32" t="s">
        <v>233</v>
      </c>
      <c r="B61" s="33" t="s">
        <v>142</v>
      </c>
      <c r="C61" s="50">
        <v>25947.665349999999</v>
      </c>
      <c r="D61" s="22">
        <v>37498.548999999999</v>
      </c>
      <c r="E61" s="68">
        <f>IF(OR(25947.66535="",37498.549=""),"-",37498.549/25947.66535*100)</f>
        <v>144.51608071166987</v>
      </c>
      <c r="F61" s="22">
        <f>IF(25947.66535="","-",25947.66535/7486893.14515*100)</f>
        <v>0.34657453828907475</v>
      </c>
      <c r="G61" s="22">
        <f>IF(37498.549="","-",37498.549/7126566.5717*100)</f>
        <v>0.52617973357477443</v>
      </c>
      <c r="H61" s="22">
        <f>IF(OR(5721069.63319="",23061.06179="",25947.66535=""),"-",(25947.66535-23061.06179)/5721069.63319*100)</f>
        <v>5.0455662054063544E-2</v>
      </c>
      <c r="I61" s="22">
        <f>IF(OR(7486893.14515="",37498.549="",25947.66535=""),"-",(37498.549-25947.66535)/7486893.14515*100)</f>
        <v>0.15428140119086176</v>
      </c>
    </row>
    <row r="62" spans="1:9" s="2" customFormat="1" x14ac:dyDescent="0.25">
      <c r="A62" s="32" t="s">
        <v>234</v>
      </c>
      <c r="B62" s="33" t="s">
        <v>143</v>
      </c>
      <c r="C62" s="50">
        <v>256949.61267999999</v>
      </c>
      <c r="D62" s="22">
        <v>183707.21173000001</v>
      </c>
      <c r="E62" s="68">
        <f>IF(OR(256949.61268="",183707.21173=""),"-",183707.21173/256949.61268*100)</f>
        <v>71.495422707169197</v>
      </c>
      <c r="F62" s="22">
        <f>IF(256949.61268="","-",256949.61268/7486893.14515*100)</f>
        <v>3.4319925194398109</v>
      </c>
      <c r="G62" s="22">
        <f>IF(183707.21173="","-",183707.21173/7126566.5717*100)</f>
        <v>2.5777800555391117</v>
      </c>
      <c r="H62" s="22">
        <f>IF(OR(5721069.63319="",201394.93495="",256949.61268=""),"-",(256949.61268-201394.93495)/5721069.63319*100)</f>
        <v>0.97105403870120999</v>
      </c>
      <c r="I62" s="22">
        <f>IF(OR(7486893.14515="",183707.21173="",256949.61268=""),"-",(183707.21173-256949.61268)/7486893.14515*100)</f>
        <v>-0.97827496038789208</v>
      </c>
    </row>
    <row r="63" spans="1:9" s="2" customFormat="1" x14ac:dyDescent="0.25">
      <c r="A63" s="32" t="s">
        <v>235</v>
      </c>
      <c r="B63" s="33" t="s">
        <v>144</v>
      </c>
      <c r="C63" s="50">
        <v>10781.961380000001</v>
      </c>
      <c r="D63" s="22">
        <v>12814.20484</v>
      </c>
      <c r="E63" s="68">
        <f>IF(OR(10781.96138="",12814.20484=""),"-",12814.20484/10781.96138*100)</f>
        <v>118.84855072630577</v>
      </c>
      <c r="F63" s="22">
        <f>IF(10781.96138="","-",10781.96138/7486893.14515*100)</f>
        <v>0.1440111561761041</v>
      </c>
      <c r="G63" s="22">
        <f>IF(12814.20484="","-",12814.20484/7126566.5717*100)</f>
        <v>0.17980895443937805</v>
      </c>
      <c r="H63" s="22">
        <f>IF(OR(5721069.63319="",14527.40225="",10781.96138=""),"-",(10781.96138-14527.40225)/5721069.63319*100)</f>
        <v>-6.5467493146235053E-2</v>
      </c>
      <c r="I63" s="22">
        <f>IF(OR(7486893.14515="",12814.20484="",10781.96138=""),"-",(12814.20484-10781.96138)/7486893.14515*100)</f>
        <v>2.7144015823392435E-2</v>
      </c>
    </row>
    <row r="64" spans="1:9" s="2" customFormat="1" ht="27.75" customHeight="1" x14ac:dyDescent="0.25">
      <c r="A64" s="32" t="s">
        <v>236</v>
      </c>
      <c r="B64" s="33" t="s">
        <v>145</v>
      </c>
      <c r="C64" s="50">
        <v>206914.95358999999</v>
      </c>
      <c r="D64" s="22">
        <v>208728.99991000001</v>
      </c>
      <c r="E64" s="68">
        <f>IF(OR(206914.95359="",208728.99991=""),"-",208728.99991/206914.95359*100)</f>
        <v>100.87671107792167</v>
      </c>
      <c r="F64" s="22">
        <f>IF(206914.95359="","-",206914.95359/7486893.14515*100)</f>
        <v>2.7636958292110689</v>
      </c>
      <c r="G64" s="22">
        <f>IF(208728.99991="","-",208728.99991/7126566.5717*100)</f>
        <v>2.9288858500091011</v>
      </c>
      <c r="H64" s="22">
        <f>IF(OR(5721069.63319="",202879.06298="",206914.95359=""),"-",(206914.95359-202879.06298)/5721069.63319*100)</f>
        <v>7.0544336439926136E-2</v>
      </c>
      <c r="I64" s="22">
        <f>IF(OR(7486893.14515="",208728.99991="",206914.95359=""),"-",(208728.99991-206914.95359)/7486893.14515*100)</f>
        <v>2.4229627494752746E-2</v>
      </c>
    </row>
    <row r="65" spans="1:9" s="2" customFormat="1" ht="24" customHeight="1" x14ac:dyDescent="0.25">
      <c r="A65" s="32" t="s">
        <v>237</v>
      </c>
      <c r="B65" s="33" t="s">
        <v>146</v>
      </c>
      <c r="C65" s="50">
        <v>72985.578179999997</v>
      </c>
      <c r="D65" s="22">
        <v>72525.882629999993</v>
      </c>
      <c r="E65" s="68">
        <f>IF(OR(72985.57818="",72525.88263=""),"-",72525.88263/72985.57818*100)</f>
        <v>99.370155636958472</v>
      </c>
      <c r="F65" s="22">
        <f>IF(72985.57818="","-",72985.57818/7486893.14515*100)</f>
        <v>0.97484466206493092</v>
      </c>
      <c r="G65" s="22">
        <f>IF(72525.88263="","-",72525.88263/7126566.5717*100)</f>
        <v>1.0176833668825096</v>
      </c>
      <c r="H65" s="22">
        <f>IF(OR(5721069.63319="",62020.07943="",72985.57818=""),"-",(72985.57818-62020.07943)/5721069.63319*100)</f>
        <v>0.19166868178609753</v>
      </c>
      <c r="I65" s="22">
        <f>IF(OR(7486893.14515="",72525.88263="",72985.57818=""),"-",(72525.88263-72985.57818)/7486893.14515*100)</f>
        <v>-6.1400041524272888E-3</v>
      </c>
    </row>
    <row r="66" spans="1:9" s="2" customFormat="1" ht="27.75" customHeight="1" x14ac:dyDescent="0.25">
      <c r="A66" s="32" t="s">
        <v>238</v>
      </c>
      <c r="B66" s="33" t="s">
        <v>147</v>
      </c>
      <c r="C66" s="50">
        <v>156308.28106000001</v>
      </c>
      <c r="D66" s="22">
        <v>183746.84614000001</v>
      </c>
      <c r="E66" s="68">
        <f>IF(OR(156308.28106="",183746.84614=""),"-",183746.84614/156308.28106*100)</f>
        <v>117.55413398057107</v>
      </c>
      <c r="F66" s="22">
        <f>IF(156308.28106="","-",156308.28106/7486893.14515*100)</f>
        <v>2.0877589412539739</v>
      </c>
      <c r="G66" s="22">
        <f>IF(183746.84614="","-",183746.84614/7126566.5717*100)</f>
        <v>2.5783362056795927</v>
      </c>
      <c r="H66" s="22">
        <f>IF(OR(5721069.63319="",150036.7751="",156308.28106=""),"-",(156308.28106-150036.7751)/5721069.63319*100)</f>
        <v>0.10962121355098929</v>
      </c>
      <c r="I66" s="22">
        <f>IF(OR(7486893.14515="",183746.84614="",156308.28106=""),"-",(183746.84614-156308.28106)/7486893.14515*100)</f>
        <v>0.36648800173907475</v>
      </c>
    </row>
    <row r="67" spans="1:9" s="2" customFormat="1" ht="27" customHeight="1" x14ac:dyDescent="0.25">
      <c r="A67" s="32" t="s">
        <v>239</v>
      </c>
      <c r="B67" s="33" t="s">
        <v>148</v>
      </c>
      <c r="C67" s="50">
        <v>474288.74416</v>
      </c>
      <c r="D67" s="22">
        <v>545398.68085999996</v>
      </c>
      <c r="E67" s="68">
        <f>IF(OR(474288.74416="",545398.68086=""),"-",545398.68086/474288.74416*100)</f>
        <v>114.99296316338707</v>
      </c>
      <c r="F67" s="22">
        <f>IF(474288.74416="","-",474288.74416/7486893.14515*100)</f>
        <v>6.3349207069589824</v>
      </c>
      <c r="G67" s="22">
        <f>IF(545398.68086="","-",545398.68086/7126566.5717*100)</f>
        <v>7.6530356571116451</v>
      </c>
      <c r="H67" s="22">
        <f>IF(OR(5721069.63319="",432022.38453="",474288.74416=""),"-",(474288.74416-432022.38453)/5721069.63319*100)</f>
        <v>0.7387842193843881</v>
      </c>
      <c r="I67" s="22">
        <f>IF(OR(7486893.14515="",545398.68086="",474288.74416=""),"-",(545398.68086-474288.74416)/7486893.14515*100)</f>
        <v>0.94979232802414026</v>
      </c>
    </row>
    <row r="68" spans="1:9" s="2" customFormat="1" ht="16.5" customHeight="1" x14ac:dyDescent="0.25">
      <c r="A68" s="32" t="s">
        <v>240</v>
      </c>
      <c r="B68" s="33" t="s">
        <v>149</v>
      </c>
      <c r="C68" s="50">
        <v>438608.08538</v>
      </c>
      <c r="D68" s="22">
        <v>493973.78805999999</v>
      </c>
      <c r="E68" s="68">
        <f>IF(OR(438608.08538="",493973.78806=""),"-",493973.78806/438608.08538*100)</f>
        <v>112.62304652501615</v>
      </c>
      <c r="F68" s="22">
        <f>IF(438608.08538="","-",438608.08538/7486893.14515*100)</f>
        <v>5.8583457366976015</v>
      </c>
      <c r="G68" s="22">
        <f>IF(493973.78806="","-",493973.78806/7126566.5717*100)</f>
        <v>6.9314414324227025</v>
      </c>
      <c r="H68" s="22">
        <f>IF(OR(5721069.63319="",364972.25137="",438608.08538=""),"-",(438608.08538-364972.25137)/5721069.63319*100)</f>
        <v>1.2870990694259654</v>
      </c>
      <c r="I68" s="22">
        <f>IF(OR(7486893.14515="",493973.78806="",438608.08538=""),"-",(493973.78806-438608.08538)/7486893.14515*100)</f>
        <v>0.73950170793963876</v>
      </c>
    </row>
    <row r="69" spans="1:9" s="2" customFormat="1" x14ac:dyDescent="0.25">
      <c r="A69" s="32" t="s">
        <v>241</v>
      </c>
      <c r="B69" s="33" t="s">
        <v>27</v>
      </c>
      <c r="C69" s="50">
        <v>7674.0606799999996</v>
      </c>
      <c r="D69" s="22">
        <v>8106.7138800000002</v>
      </c>
      <c r="E69" s="68">
        <f>IF(OR(7674.06068="",8106.71388=""),"-",8106.71388/7674.06068*100)</f>
        <v>105.63786524554821</v>
      </c>
      <c r="F69" s="22">
        <f>IF(7674.06068="","-",7674.06068/7486893.14515*100)</f>
        <v>0.10249993597105424</v>
      </c>
      <c r="G69" s="22">
        <f>IF(8106.71388="","-",8106.71388/7126566.5717*100)</f>
        <v>0.11375342948724033</v>
      </c>
      <c r="H69" s="22">
        <f>IF(OR(5721069.63319="",3290.0975="",7674.06068=""),"-",(7674.06068-3290.0975)/5721069.63319*100)</f>
        <v>7.6628383520575216E-2</v>
      </c>
      <c r="I69" s="22">
        <f>IF(OR(7486893.14515="",8106.71388="",7674.06068=""),"-",(8106.71388-7674.06068)/7486893.14515*100)</f>
        <v>5.778808266821236E-3</v>
      </c>
    </row>
    <row r="70" spans="1:9" s="2" customFormat="1" x14ac:dyDescent="0.25">
      <c r="A70" s="30" t="s">
        <v>242</v>
      </c>
      <c r="B70" s="31" t="s">
        <v>28</v>
      </c>
      <c r="C70" s="51">
        <v>668749.56175999995</v>
      </c>
      <c r="D70" s="21">
        <v>708593.33282000001</v>
      </c>
      <c r="E70" s="67">
        <f>IF(668749.56176="","-",708593.33282/668749.56176*100)</f>
        <v>105.95795097871019</v>
      </c>
      <c r="F70" s="21">
        <f>IF(668749.56176="","-",668749.56176/7486893.14515*100)</f>
        <v>8.9322706868497921</v>
      </c>
      <c r="G70" s="21">
        <f>IF(708593.33282="","-",708593.33282/7126566.5717*100)</f>
        <v>9.9429834225342724</v>
      </c>
      <c r="H70" s="21">
        <f>IF(5721069.63319="","-",(668749.56176-668463.05489)/5721069.63319*100)</f>
        <v>5.00792488764329E-3</v>
      </c>
      <c r="I70" s="21">
        <f>IF(7486893.14515="","-",(708593.33282-668749.56176)/7486893.14515*100)</f>
        <v>0.5321803088082111</v>
      </c>
    </row>
    <row r="71" spans="1:9" ht="25.5" customHeight="1" x14ac:dyDescent="0.25">
      <c r="A71" s="32" t="s">
        <v>243</v>
      </c>
      <c r="B71" s="33" t="s">
        <v>175</v>
      </c>
      <c r="C71" s="50">
        <v>56232.969040000004</v>
      </c>
      <c r="D71" s="22">
        <v>41356.442539999996</v>
      </c>
      <c r="E71" s="68">
        <f>IF(OR(56232.96904="",41356.44254=""),"-",41356.44254/56232.96904*100)</f>
        <v>73.544831877153882</v>
      </c>
      <c r="F71" s="22">
        <f>IF(56232.96904="","-",56232.96904/7486893.14515*100)</f>
        <v>0.75108550302240717</v>
      </c>
      <c r="G71" s="22">
        <f>IF(41356.44254="","-",41356.44254/7126566.5717*100)</f>
        <v>0.58031370539957872</v>
      </c>
      <c r="H71" s="22">
        <f>IF(OR(5721069.63319="",61104.27969="",56232.96904=""),"-",(56232.96904-61104.27969)/5721069.63319*100)</f>
        <v>-8.5146851241588786E-2</v>
      </c>
      <c r="I71" s="22">
        <f>IF(OR(7486893.14515="",41356.44254="",56232.96904=""),"-",(41356.44254-56232.96904)/7486893.14515*100)</f>
        <v>-0.19870093257090227</v>
      </c>
    </row>
    <row r="72" spans="1:9" x14ac:dyDescent="0.25">
      <c r="A72" s="32" t="s">
        <v>244</v>
      </c>
      <c r="B72" s="33" t="s">
        <v>150</v>
      </c>
      <c r="C72" s="50">
        <v>60758.735619999999</v>
      </c>
      <c r="D72" s="22">
        <v>60426.999620000002</v>
      </c>
      <c r="E72" s="68">
        <f>IF(OR(60758.73562="",60426.99962=""),"-",60426.99962/60758.73562*100)</f>
        <v>99.454011021436074</v>
      </c>
      <c r="F72" s="22">
        <f>IF(60758.73562="","-",60758.73562/7486893.14515*100)</f>
        <v>0.81153469726437089</v>
      </c>
      <c r="G72" s="22">
        <f>IF(60426.99962="","-",60426.99962/7126566.5717*100)</f>
        <v>0.84791181015496353</v>
      </c>
      <c r="H72" s="22">
        <f>IF(OR(5721069.63319="",60782.43483="",60758.73562=""),"-",(60758.73562-60782.43483)/5721069.63319*100)</f>
        <v>-4.1424438993909704E-4</v>
      </c>
      <c r="I72" s="22">
        <f>IF(OR(7486893.14515="",60426.99962="",60758.73562=""),"-",(60426.99962-60758.73562)/7486893.14515*100)</f>
        <v>-4.4308900042856264E-3</v>
      </c>
    </row>
    <row r="73" spans="1:9" x14ac:dyDescent="0.25">
      <c r="A73" s="32" t="s">
        <v>245</v>
      </c>
      <c r="B73" s="33" t="s">
        <v>151</v>
      </c>
      <c r="C73" s="50">
        <v>14538.58108</v>
      </c>
      <c r="D73" s="22">
        <v>14799.24058</v>
      </c>
      <c r="E73" s="68">
        <f>IF(OR(14538.58108="",14799.24058=""),"-",14799.24058/14538.58108*100)</f>
        <v>101.7928812898982</v>
      </c>
      <c r="F73" s="22">
        <f>IF(14538.58108="","-",14538.58108/7486893.14515*100)</f>
        <v>0.19418710536049355</v>
      </c>
      <c r="G73" s="22">
        <f>IF(14799.24058="","-",14799.24058/7126566.5717*100)</f>
        <v>0.20766298091943214</v>
      </c>
      <c r="H73" s="22">
        <f>IF(OR(5721069.63319="",9956.81508="",14538.58108=""),"-",(14538.58108-9956.81508)/5721069.63319*100)</f>
        <v>8.0085828241270002E-2</v>
      </c>
      <c r="I73" s="22">
        <f>IF(OR(7486893.14515="",14799.24058="",14538.58108=""),"-",(14799.24058-14538.58108)/7486893.14515*100)</f>
        <v>3.4815442794031946E-3</v>
      </c>
    </row>
    <row r="74" spans="1:9" x14ac:dyDescent="0.25">
      <c r="A74" s="32" t="s">
        <v>246</v>
      </c>
      <c r="B74" s="33" t="s">
        <v>152</v>
      </c>
      <c r="C74" s="50">
        <v>167555.04986</v>
      </c>
      <c r="D74" s="22">
        <v>175386.05191000001</v>
      </c>
      <c r="E74" s="68">
        <f>IF(OR(167555.04986="",175386.05191=""),"-",175386.05191/167555.04986*100)</f>
        <v>104.67368906908099</v>
      </c>
      <c r="F74" s="22">
        <f>IF(167555.04986="","-",167555.04986/7486893.14515*100)</f>
        <v>2.2379783791697623</v>
      </c>
      <c r="G74" s="22">
        <f>IF(175386.05191="","-",175386.05191/7126566.5717*100)</f>
        <v>2.4610175200841868</v>
      </c>
      <c r="H74" s="22">
        <f>IF(OR(5721069.63319="",165161.64716="",167555.04986=""),"-",(167555.04986-165161.64716)/5721069.63319*100)</f>
        <v>4.1834881472426214E-2</v>
      </c>
      <c r="I74" s="22">
        <f>IF(OR(7486893.14515="",175386.05191="",167555.04986=""),"-",(175386.05191-167555.04986)/7486893.14515*100)</f>
        <v>0.10459615087565291</v>
      </c>
    </row>
    <row r="75" spans="1:9" x14ac:dyDescent="0.25">
      <c r="A75" s="32" t="s">
        <v>247</v>
      </c>
      <c r="B75" s="33" t="s">
        <v>153</v>
      </c>
      <c r="C75" s="50">
        <v>49934.367460000001</v>
      </c>
      <c r="D75" s="22">
        <v>53415.334889999998</v>
      </c>
      <c r="E75" s="68">
        <f>IF(OR(49934.36746="",53415.33489=""),"-",53415.33489/49934.36746*100)</f>
        <v>106.97108546090712</v>
      </c>
      <c r="F75" s="22">
        <f>IF(49934.36746="","-",49934.36746/7486893.14515*100)</f>
        <v>0.66695712750151137</v>
      </c>
      <c r="G75" s="22">
        <f>IF(53415.33489="","-",53415.33489/7126566.5717*100)</f>
        <v>0.7495241130857504</v>
      </c>
      <c r="H75" s="22">
        <f>IF(OR(5721069.63319="",43253.61499="",49934.36746=""),"-",(49934.36746-43253.61499)/5721069.63319*100)</f>
        <v>0.11677453515410005</v>
      </c>
      <c r="I75" s="22">
        <f>IF(OR(7486893.14515="",53415.33489="",49934.36746=""),"-",(53415.33489-49934.36746)/7486893.14515*100)</f>
        <v>4.6494151345741634E-2</v>
      </c>
    </row>
    <row r="76" spans="1:9" ht="24" x14ac:dyDescent="0.25">
      <c r="A76" s="32" t="s">
        <v>248</v>
      </c>
      <c r="B76" s="33" t="s">
        <v>277</v>
      </c>
      <c r="C76" s="50">
        <v>60339.676310000003</v>
      </c>
      <c r="D76" s="22">
        <v>65419.566010000002</v>
      </c>
      <c r="E76" s="68">
        <f>IF(OR(60339.67631="",65419.56601=""),"-",65419.56601/60339.67631*100)</f>
        <v>108.41882159576338</v>
      </c>
      <c r="F76" s="22">
        <f>IF(60339.67631="","-",60339.67631/7486893.14515*100)</f>
        <v>0.80593745817099005</v>
      </c>
      <c r="G76" s="22">
        <f>IF(65419.56601="","-",65419.56601/7126566.5717*100)</f>
        <v>0.91796751425552958</v>
      </c>
      <c r="H76" s="22">
        <f>IF(OR(5721069.63319="",76222.09407="",60339.67631=""),"-",(60339.67631-76222.09407)/5721069.63319*100)</f>
        <v>-0.27761273290330774</v>
      </c>
      <c r="I76" s="22">
        <f>IF(OR(7486893.14515="",65419.56601="",60339.67631=""),"-",(65419.56601-60339.67631)/7486893.14515*100)</f>
        <v>6.7850436776845754E-2</v>
      </c>
    </row>
    <row r="77" spans="1:9" ht="26.25" customHeight="1" x14ac:dyDescent="0.25">
      <c r="A77" s="32" t="s">
        <v>249</v>
      </c>
      <c r="B77" s="33" t="s">
        <v>154</v>
      </c>
      <c r="C77" s="50">
        <v>12331.449259999999</v>
      </c>
      <c r="D77" s="22">
        <v>15552.1265</v>
      </c>
      <c r="E77" s="68">
        <f>IF(OR(12331.44926="",15552.1265=""),"-",15552.1265/12331.44926*100)</f>
        <v>126.11758903673258</v>
      </c>
      <c r="F77" s="22">
        <f>IF(12331.44926="","-",12331.44926/7486893.14515*100)</f>
        <v>0.16470716251624742</v>
      </c>
      <c r="G77" s="22">
        <f>IF(15552.1265="","-",15552.1265/7126566.5717*100)</f>
        <v>0.21822747803631523</v>
      </c>
      <c r="H77" s="22">
        <f>IF(OR(5721069.63319="",13907.71297="",12331.44926=""),"-",(12331.44926-13907.71297)/5721069.63319*100)</f>
        <v>-2.7551905693570366E-2</v>
      </c>
      <c r="I77" s="22">
        <f>IF(OR(7486893.14515="",15552.1265="",12331.44926=""),"-",(15552.1265-12331.44926)/7486893.14515*100)</f>
        <v>4.3017539820056752E-2</v>
      </c>
    </row>
    <row r="78" spans="1:9" x14ac:dyDescent="0.25">
      <c r="A78" s="32" t="s">
        <v>250</v>
      </c>
      <c r="B78" s="33" t="s">
        <v>29</v>
      </c>
      <c r="C78" s="50">
        <v>247058.73313000001</v>
      </c>
      <c r="D78" s="22">
        <v>282237.57076999999</v>
      </c>
      <c r="E78" s="68">
        <f>IF(OR(247058.73313="",282237.57077=""),"-",282237.57077/247058.73313*100)</f>
        <v>114.23905854058161</v>
      </c>
      <c r="F78" s="22">
        <f>IF(247058.73313="","-",247058.73313/7486893.14515*100)</f>
        <v>3.2998832538440102</v>
      </c>
      <c r="G78" s="22">
        <f>IF(282237.57077="","-",282237.57077/7126566.5717*100)</f>
        <v>3.9603583005985152</v>
      </c>
      <c r="H78" s="22">
        <f>IF(OR(5721069.63319="",238074.4561="",247058.73313=""),"-",(247058.73313-238074.4561)/5721069.63319*100)</f>
        <v>0.15703841424825432</v>
      </c>
      <c r="I78" s="22">
        <f>IF(OR(7486893.14515="",282237.57077="",247058.73313=""),"-",(282237.57077-247058.73313)/7486893.14515*100)</f>
        <v>0.46987230828569776</v>
      </c>
    </row>
    <row r="79" spans="1:9" x14ac:dyDescent="0.25">
      <c r="A79" s="35" t="s">
        <v>253</v>
      </c>
      <c r="B79" s="36" t="s">
        <v>155</v>
      </c>
      <c r="C79" s="65">
        <v>16835.361840000001</v>
      </c>
      <c r="D79" s="40">
        <v>3649.7054199999998</v>
      </c>
      <c r="E79" s="69">
        <f>IF(16835.36184="","-",3649.70542/16835.36184*100)</f>
        <v>21.678805924613258</v>
      </c>
      <c r="F79" s="40">
        <f>IF(16835.36184="","-",16835.36184/7486893.14515*100)</f>
        <v>0.22486445997838139</v>
      </c>
      <c r="G79" s="40">
        <f>IF(3649.70542="","-",3649.70542/7126566.5717*100)</f>
        <v>5.121267560304827E-2</v>
      </c>
      <c r="H79" s="40">
        <f>IF(5721069.63319="","-",(16835.36184-358.68606)/5721069.63319*100)</f>
        <v>0.28799991673607372</v>
      </c>
      <c r="I79" s="40">
        <f>IF(7486893.14515="","-",(3649.70542-16835.36184)/7486893.14515*100)</f>
        <v>-0.17611653010623843</v>
      </c>
    </row>
    <row r="80" spans="1:9" ht="18" customHeight="1" x14ac:dyDescent="0.25">
      <c r="A80" s="14" t="s">
        <v>256</v>
      </c>
      <c r="B80" s="15"/>
    </row>
    <row r="81" spans="1:3" x14ac:dyDescent="0.25">
      <c r="A81" s="109" t="s">
        <v>412</v>
      </c>
      <c r="B81" s="109"/>
      <c r="C81" s="15"/>
    </row>
  </sheetData>
  <mergeCells count="10">
    <mergeCell ref="A81:B81"/>
    <mergeCell ref="B1:I1"/>
    <mergeCell ref="B2:I2"/>
    <mergeCell ref="A4:A5"/>
    <mergeCell ref="B4:B5"/>
    <mergeCell ref="F4:G4"/>
    <mergeCell ref="H4:I4"/>
    <mergeCell ref="A3:I3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3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5.625" style="24" customWidth="1"/>
    <col min="2" max="2" width="42.875" style="24" customWidth="1"/>
    <col min="3" max="4" width="13.5" style="24" customWidth="1"/>
    <col min="5" max="5" width="11.375" style="24" customWidth="1"/>
  </cols>
  <sheetData>
    <row r="1" spans="1:5" s="27" customFormat="1" ht="12.75" x14ac:dyDescent="0.2">
      <c r="A1" s="26"/>
      <c r="B1" s="97" t="s">
        <v>317</v>
      </c>
      <c r="C1" s="97"/>
      <c r="D1" s="97"/>
      <c r="E1" s="97"/>
    </row>
    <row r="2" spans="1:5" s="27" customFormat="1" ht="12.75" x14ac:dyDescent="0.2">
      <c r="A2" s="26"/>
      <c r="B2" s="97" t="s">
        <v>255</v>
      </c>
      <c r="C2" s="97"/>
      <c r="D2" s="97"/>
      <c r="E2" s="97"/>
    </row>
    <row r="3" spans="1:5" x14ac:dyDescent="0.25">
      <c r="A3" s="108"/>
      <c r="B3" s="108"/>
      <c r="C3" s="108"/>
      <c r="D3" s="108"/>
      <c r="E3" s="108"/>
    </row>
    <row r="4" spans="1:5" ht="45" customHeight="1" x14ac:dyDescent="0.25">
      <c r="A4" s="101" t="s">
        <v>254</v>
      </c>
      <c r="B4" s="110"/>
      <c r="C4" s="89" t="s">
        <v>358</v>
      </c>
      <c r="D4" s="96"/>
      <c r="E4" s="99" t="s">
        <v>364</v>
      </c>
    </row>
    <row r="5" spans="1:5" ht="45" customHeight="1" x14ac:dyDescent="0.25">
      <c r="A5" s="102"/>
      <c r="B5" s="111"/>
      <c r="C5" s="13" t="s">
        <v>360</v>
      </c>
      <c r="D5" s="13" t="s">
        <v>361</v>
      </c>
      <c r="E5" s="100"/>
    </row>
    <row r="6" spans="1:5" s="27" customFormat="1" ht="15" customHeight="1" x14ac:dyDescent="0.2">
      <c r="A6" s="42"/>
      <c r="B6" s="62" t="s">
        <v>359</v>
      </c>
      <c r="C6" s="83">
        <v>-3857140.70633</v>
      </c>
      <c r="D6" s="64">
        <v>-3768364.0608899998</v>
      </c>
      <c r="E6" s="64">
        <f>IF(-3857140.70633="","-",-3768364.06089/-3857140.70633*100)</f>
        <v>97.698381982946387</v>
      </c>
    </row>
    <row r="7" spans="1:5" ht="12.75" customHeight="1" x14ac:dyDescent="0.25">
      <c r="A7" s="38"/>
      <c r="B7" s="39" t="s">
        <v>105</v>
      </c>
      <c r="C7" s="84"/>
      <c r="D7" s="84"/>
      <c r="E7" s="21"/>
    </row>
    <row r="8" spans="1:5" x14ac:dyDescent="0.25">
      <c r="A8" s="30" t="s">
        <v>182</v>
      </c>
      <c r="B8" s="31" t="s">
        <v>156</v>
      </c>
      <c r="C8" s="21">
        <v>50475.287329999999</v>
      </c>
      <c r="D8" s="21">
        <v>-34780.625699999997</v>
      </c>
      <c r="E8" s="21" t="s">
        <v>354</v>
      </c>
    </row>
    <row r="9" spans="1:5" x14ac:dyDescent="0.25">
      <c r="A9" s="32" t="s">
        <v>183</v>
      </c>
      <c r="B9" s="33" t="s">
        <v>17</v>
      </c>
      <c r="C9" s="22">
        <v>-3343.7234100000001</v>
      </c>
      <c r="D9" s="22">
        <v>-5277.3007100000004</v>
      </c>
      <c r="E9" s="22">
        <f>IF(OR(-3343.72341="",-5277.30071="",-3343.72341=0,-5277.30071=0),"-",-5277.30071/-3343.72341*100)</f>
        <v>157.82707069063468</v>
      </c>
    </row>
    <row r="10" spans="1:5" x14ac:dyDescent="0.25">
      <c r="A10" s="32" t="s">
        <v>184</v>
      </c>
      <c r="B10" s="33" t="s">
        <v>157</v>
      </c>
      <c r="C10" s="22">
        <v>-64362.685550000002</v>
      </c>
      <c r="D10" s="22">
        <v>-61911.196029999999</v>
      </c>
      <c r="E10" s="22">
        <f>IF(OR(-64362.68555="",-61911.19603="",-64362.68555=0,-61911.19603=0),"-",-61911.19603/-64362.68555*100)</f>
        <v>96.191132332264843</v>
      </c>
    </row>
    <row r="11" spans="1:5" x14ac:dyDescent="0.25">
      <c r="A11" s="32" t="s">
        <v>185</v>
      </c>
      <c r="B11" s="33" t="s">
        <v>158</v>
      </c>
      <c r="C11" s="22">
        <v>-80863.503800000006</v>
      </c>
      <c r="D11" s="22">
        <v>-89309.959700000007</v>
      </c>
      <c r="E11" s="22">
        <f>IF(OR(-80863.5038="",-89309.9597="",-80863.5038=0,-89309.9597=0),"-",-89309.9597/-80863.5038*100)</f>
        <v>110.44532515050381</v>
      </c>
    </row>
    <row r="12" spans="1:5" x14ac:dyDescent="0.25">
      <c r="A12" s="32" t="s">
        <v>186</v>
      </c>
      <c r="B12" s="33" t="s">
        <v>159</v>
      </c>
      <c r="C12" s="22">
        <v>-66474.735870000004</v>
      </c>
      <c r="D12" s="22">
        <v>-73045.337329999995</v>
      </c>
      <c r="E12" s="22">
        <f>IF(OR(-66474.73587="",-73045.33733="",-66474.73587=0,-73045.33733=0),"-",-73045.33733/-66474.73587*100)</f>
        <v>109.88435888312465</v>
      </c>
    </row>
    <row r="13" spans="1:5" x14ac:dyDescent="0.25">
      <c r="A13" s="32" t="s">
        <v>187</v>
      </c>
      <c r="B13" s="33" t="s">
        <v>160</v>
      </c>
      <c r="C13" s="22">
        <v>271850.56923999998</v>
      </c>
      <c r="D13" s="22">
        <v>230860.89382999999</v>
      </c>
      <c r="E13" s="22">
        <f>IF(OR(271850.56924="",230860.89383="",271850.56924=0,230860.89383=0),"-",230860.89383/271850.56924*100)</f>
        <v>84.921982865589385</v>
      </c>
    </row>
    <row r="14" spans="1:5" x14ac:dyDescent="0.25">
      <c r="A14" s="32" t="s">
        <v>188</v>
      </c>
      <c r="B14" s="33" t="s">
        <v>161</v>
      </c>
      <c r="C14" s="22">
        <v>138654.94485999999</v>
      </c>
      <c r="D14" s="22">
        <v>108744.53167</v>
      </c>
      <c r="E14" s="22">
        <f>IF(OR(138654.94486="",108744.53167="",138654.94486=0,108744.53167=0),"-",108744.53167/138654.94486*100)</f>
        <v>78.42816697219088</v>
      </c>
    </row>
    <row r="15" spans="1:5" x14ac:dyDescent="0.25">
      <c r="A15" s="32" t="s">
        <v>189</v>
      </c>
      <c r="B15" s="33" t="s">
        <v>119</v>
      </c>
      <c r="C15" s="22">
        <v>2767.06936</v>
      </c>
      <c r="D15" s="22">
        <v>-4504.7479999999996</v>
      </c>
      <c r="E15" s="22" t="s">
        <v>354</v>
      </c>
    </row>
    <row r="16" spans="1:5" ht="17.25" customHeight="1" x14ac:dyDescent="0.25">
      <c r="A16" s="32" t="s">
        <v>190</v>
      </c>
      <c r="B16" s="33" t="s">
        <v>162</v>
      </c>
      <c r="C16" s="22">
        <v>-48861.967649999999</v>
      </c>
      <c r="D16" s="22">
        <v>-55108.502500000002</v>
      </c>
      <c r="E16" s="22">
        <f>IF(OR(-48861.96765="",-55108.5025="",-48861.96765=0,-55108.5025=0),"-",-55108.5025/-48861.96765*100)</f>
        <v>112.78404278506373</v>
      </c>
    </row>
    <row r="17" spans="1:5" ht="15.75" customHeight="1" x14ac:dyDescent="0.25">
      <c r="A17" s="32" t="s">
        <v>191</v>
      </c>
      <c r="B17" s="33" t="s">
        <v>120</v>
      </c>
      <c r="C17" s="22">
        <v>-3244.66302</v>
      </c>
      <c r="D17" s="22">
        <v>4448.1158800000003</v>
      </c>
      <c r="E17" s="22" t="s">
        <v>354</v>
      </c>
    </row>
    <row r="18" spans="1:5" x14ac:dyDescent="0.25">
      <c r="A18" s="32" t="s">
        <v>192</v>
      </c>
      <c r="B18" s="33" t="s">
        <v>163</v>
      </c>
      <c r="C18" s="22">
        <v>-95646.016829999993</v>
      </c>
      <c r="D18" s="22">
        <v>-89677.122810000001</v>
      </c>
      <c r="E18" s="22">
        <f>IF(OR(-95646.01683="",-89677.12281="",-95646.01683=0,-89677.12281=0),"-",-89677.12281/-95646.01683*100)</f>
        <v>93.759390910539395</v>
      </c>
    </row>
    <row r="19" spans="1:5" x14ac:dyDescent="0.25">
      <c r="A19" s="30" t="s">
        <v>193</v>
      </c>
      <c r="B19" s="31" t="s">
        <v>164</v>
      </c>
      <c r="C19" s="21">
        <v>44850.022069999999</v>
      </c>
      <c r="D19" s="21">
        <v>57401.907709999999</v>
      </c>
      <c r="E19" s="21">
        <f>IF(44850.02207="","-",57401.90771/44850.02207*100)</f>
        <v>127.98635331864399</v>
      </c>
    </row>
    <row r="20" spans="1:5" x14ac:dyDescent="0.25">
      <c r="A20" s="32" t="s">
        <v>194</v>
      </c>
      <c r="B20" s="33" t="s">
        <v>165</v>
      </c>
      <c r="C20" s="22">
        <v>74111.951740000004</v>
      </c>
      <c r="D20" s="22">
        <v>86878.529980000007</v>
      </c>
      <c r="E20" s="22">
        <f>IF(OR(74111.95174="",86878.52998="",74111.95174=0,86878.52998=0),"-",86878.52998/74111.95174*100)</f>
        <v>117.22607209804403</v>
      </c>
    </row>
    <row r="21" spans="1:5" x14ac:dyDescent="0.25">
      <c r="A21" s="32" t="s">
        <v>195</v>
      </c>
      <c r="B21" s="33" t="s">
        <v>166</v>
      </c>
      <c r="C21" s="22">
        <v>-29261.929670000001</v>
      </c>
      <c r="D21" s="22">
        <v>-29476.62227</v>
      </c>
      <c r="E21" s="22">
        <f>IF(OR(-29261.92967="",-29476.62227="",-29261.92967=0,-29476.62227=0),"-",-29476.62227/-29261.92967*100)</f>
        <v>100.73369255692015</v>
      </c>
    </row>
    <row r="22" spans="1:5" ht="16.5" customHeight="1" x14ac:dyDescent="0.25">
      <c r="A22" s="30" t="s">
        <v>196</v>
      </c>
      <c r="B22" s="31" t="s">
        <v>18</v>
      </c>
      <c r="C22" s="21">
        <v>191039.08869</v>
      </c>
      <c r="D22" s="21">
        <v>100732.24851999999</v>
      </c>
      <c r="E22" s="21">
        <f>IF(191039.08869="","-",100732.24852/191039.08869*100)</f>
        <v>52.728606072581655</v>
      </c>
    </row>
    <row r="23" spans="1:5" x14ac:dyDescent="0.25">
      <c r="A23" s="32" t="s">
        <v>197</v>
      </c>
      <c r="B23" s="33" t="s">
        <v>173</v>
      </c>
      <c r="C23" s="22">
        <v>1019.54144</v>
      </c>
      <c r="D23" s="22">
        <v>1029.5070900000001</v>
      </c>
      <c r="E23" s="22">
        <f>IF(OR(1019.54144="",1029.50709="",1019.54144=0,1029.50709=0),"-",1029.50709/1019.54144*100)</f>
        <v>100.97746394692892</v>
      </c>
    </row>
    <row r="24" spans="1:5" x14ac:dyDescent="0.25">
      <c r="A24" s="32" t="s">
        <v>198</v>
      </c>
      <c r="B24" s="33" t="s">
        <v>167</v>
      </c>
      <c r="C24" s="22">
        <v>228153.02374999999</v>
      </c>
      <c r="D24" s="22">
        <v>155149.84236000001</v>
      </c>
      <c r="E24" s="22">
        <f>IF(OR(228153.02375="",155149.84236="",228153.02375=0,155149.84236=0),"-",155149.84236/228153.02375*100)</f>
        <v>68.002536109276534</v>
      </c>
    </row>
    <row r="25" spans="1:5" ht="17.25" customHeight="1" x14ac:dyDescent="0.25">
      <c r="A25" s="32" t="s">
        <v>251</v>
      </c>
      <c r="B25" s="33" t="s">
        <v>168</v>
      </c>
      <c r="C25" s="22">
        <v>-3713.5458699999999</v>
      </c>
      <c r="D25" s="22">
        <v>-3192.1907500000002</v>
      </c>
      <c r="E25" s="22">
        <f>IF(OR(-3713.54587="",-3192.19075="",-3713.54587=0,-3192.19075=0),"-",-3192.19075/-3713.54587*100)</f>
        <v>85.960719531922734</v>
      </c>
    </row>
    <row r="26" spans="1:5" x14ac:dyDescent="0.25">
      <c r="A26" s="32" t="s">
        <v>199</v>
      </c>
      <c r="B26" s="33" t="s">
        <v>169</v>
      </c>
      <c r="C26" s="22">
        <v>-45920.315719999999</v>
      </c>
      <c r="D26" s="22">
        <v>-34291.530559999999</v>
      </c>
      <c r="E26" s="22">
        <f>IF(OR(-45920.31572="",-34291.53056="",-45920.31572=0,-34291.53056=0),"-",-34291.53056/-45920.31572*100)</f>
        <v>74.676164617624281</v>
      </c>
    </row>
    <row r="27" spans="1:5" x14ac:dyDescent="0.25">
      <c r="A27" s="32" t="s">
        <v>200</v>
      </c>
      <c r="B27" s="33" t="s">
        <v>121</v>
      </c>
      <c r="C27" s="22">
        <v>3509.6131799999998</v>
      </c>
      <c r="D27" s="22">
        <v>2531.8733099999999</v>
      </c>
      <c r="E27" s="22">
        <f>IF(OR(3509.61318="",2531.87331="",3509.61318=0,2531.87331=0),"-",2531.87331/3509.61318*100)</f>
        <v>72.141093053451556</v>
      </c>
    </row>
    <row r="28" spans="1:5" ht="28.5" customHeight="1" x14ac:dyDescent="0.25">
      <c r="A28" s="32" t="s">
        <v>201</v>
      </c>
      <c r="B28" s="33" t="s">
        <v>122</v>
      </c>
      <c r="C28" s="22">
        <v>-6942.7184699999998</v>
      </c>
      <c r="D28" s="22">
        <v>-5970.8432899999998</v>
      </c>
      <c r="E28" s="22">
        <f>IF(OR(-6942.71847="",-5970.84329="",-6942.71847=0,-5970.84329=0),"-",-5970.84329/-6942.71847*100)</f>
        <v>86.001518220859097</v>
      </c>
    </row>
    <row r="29" spans="1:5" ht="29.25" customHeight="1" x14ac:dyDescent="0.25">
      <c r="A29" s="32" t="s">
        <v>202</v>
      </c>
      <c r="B29" s="33" t="s">
        <v>123</v>
      </c>
      <c r="C29" s="22">
        <v>552.78315999999995</v>
      </c>
      <c r="D29" s="22">
        <v>-1117.81943</v>
      </c>
      <c r="E29" s="22" t="s">
        <v>354</v>
      </c>
    </row>
    <row r="30" spans="1:5" x14ac:dyDescent="0.25">
      <c r="A30" s="32" t="s">
        <v>203</v>
      </c>
      <c r="B30" s="33" t="s">
        <v>124</v>
      </c>
      <c r="C30" s="22">
        <v>48208.862650000003</v>
      </c>
      <c r="D30" s="22">
        <v>25962.300510000001</v>
      </c>
      <c r="E30" s="22">
        <f>IF(OR(48208.86265="",25962.30051="",48208.86265=0,25962.30051=0),"-",25962.30051/48208.86265*100)</f>
        <v>53.853791777848549</v>
      </c>
    </row>
    <row r="31" spans="1:5" x14ac:dyDescent="0.25">
      <c r="A31" s="32" t="s">
        <v>204</v>
      </c>
      <c r="B31" s="33" t="s">
        <v>125</v>
      </c>
      <c r="C31" s="22">
        <v>-33828.155429999999</v>
      </c>
      <c r="D31" s="22">
        <v>-39368.890720000003</v>
      </c>
      <c r="E31" s="22">
        <f>IF(OR(-33828.15543="",-39368.89072="",-33828.15543=0,-39368.89072=0),"-",-39368.89072/-33828.15543*100)</f>
        <v>116.37906418357736</v>
      </c>
    </row>
    <row r="32" spans="1:5" ht="15.75" customHeight="1" x14ac:dyDescent="0.25">
      <c r="A32" s="30" t="s">
        <v>205</v>
      </c>
      <c r="B32" s="31" t="s">
        <v>126</v>
      </c>
      <c r="C32" s="21">
        <v>-1523620.7282100001</v>
      </c>
      <c r="D32" s="21">
        <v>-1209476.2848499999</v>
      </c>
      <c r="E32" s="21">
        <f>IF(-1523620.72821="","-",-1209476.28485/-1523620.72821*100)</f>
        <v>79.381716358698569</v>
      </c>
    </row>
    <row r="33" spans="1:5" x14ac:dyDescent="0.25">
      <c r="A33" s="32" t="s">
        <v>206</v>
      </c>
      <c r="B33" s="33" t="s">
        <v>170</v>
      </c>
      <c r="C33" s="22">
        <v>-31791.44773</v>
      </c>
      <c r="D33" s="22">
        <v>-15784.82828</v>
      </c>
      <c r="E33" s="22">
        <f>IF(OR(-31791.44773="",-15784.82828="",-31791.44773=0,-15784.82828=0),"-",-15784.82828/-31791.44773*100)</f>
        <v>49.651177933317733</v>
      </c>
    </row>
    <row r="34" spans="1:5" x14ac:dyDescent="0.25">
      <c r="A34" s="32" t="s">
        <v>207</v>
      </c>
      <c r="B34" s="33" t="s">
        <v>127</v>
      </c>
      <c r="C34" s="22">
        <v>-801127.75905999995</v>
      </c>
      <c r="D34" s="22">
        <v>-765917.99673000001</v>
      </c>
      <c r="E34" s="22">
        <f>IF(OR(-801127.75906="",-765917.99673="",-801127.75906=0,-765917.99673=0),"-",-765917.99673/-801127.75906*100)</f>
        <v>95.604975369807036</v>
      </c>
    </row>
    <row r="35" spans="1:5" x14ac:dyDescent="0.25">
      <c r="A35" s="32" t="s">
        <v>252</v>
      </c>
      <c r="B35" s="33" t="s">
        <v>171</v>
      </c>
      <c r="C35" s="22">
        <v>-650181.86635000003</v>
      </c>
      <c r="D35" s="22">
        <v>-424996.20922000002</v>
      </c>
      <c r="E35" s="22">
        <f>IF(OR(-650181.86635="",-424996.20922="",-650181.86635=0,-424996.20922=0),"-",-424996.20922/-650181.86635*100)</f>
        <v>65.365743219793202</v>
      </c>
    </row>
    <row r="36" spans="1:5" x14ac:dyDescent="0.25">
      <c r="A36" s="32" t="s">
        <v>257</v>
      </c>
      <c r="B36" s="33" t="s">
        <v>259</v>
      </c>
      <c r="C36" s="22">
        <v>-40519.655070000001</v>
      </c>
      <c r="D36" s="22">
        <v>-2777.2506199999998</v>
      </c>
      <c r="E36" s="22">
        <f>IF(OR(-40519.65507="",-2777.25062="",-40519.65507=0,-2777.25062=0),"-",-2777.25062/-40519.65507*100)</f>
        <v>6.854082580915712</v>
      </c>
    </row>
    <row r="37" spans="1:5" x14ac:dyDescent="0.25">
      <c r="A37" s="30" t="s">
        <v>208</v>
      </c>
      <c r="B37" s="31" t="s">
        <v>128</v>
      </c>
      <c r="C37" s="21">
        <v>266944.80135000002</v>
      </c>
      <c r="D37" s="21">
        <v>185826.41639</v>
      </c>
      <c r="E37" s="21">
        <f>IF(266944.80135="","-",185826.41639/266944.80135*100)</f>
        <v>69.61230016476587</v>
      </c>
    </row>
    <row r="38" spans="1:5" x14ac:dyDescent="0.25">
      <c r="A38" s="32" t="s">
        <v>209</v>
      </c>
      <c r="B38" s="33" t="s">
        <v>174</v>
      </c>
      <c r="C38" s="22">
        <v>-2110.7534000000001</v>
      </c>
      <c r="D38" s="22">
        <v>-2818.0908300000001</v>
      </c>
      <c r="E38" s="22">
        <f>IF(OR(-2110.7534="",-2818.09083="",-2110.7534=0,-2818.09083=0),"-",-2818.09083/-2110.7534*100)</f>
        <v>133.5111354078596</v>
      </c>
    </row>
    <row r="39" spans="1:5" ht="14.25" customHeight="1" x14ac:dyDescent="0.25">
      <c r="A39" s="32" t="s">
        <v>210</v>
      </c>
      <c r="B39" s="33" t="s">
        <v>129</v>
      </c>
      <c r="C39" s="22">
        <v>271957.56118000002</v>
      </c>
      <c r="D39" s="22">
        <v>191530.55403</v>
      </c>
      <c r="E39" s="22">
        <f>IF(OR(271957.56118="",191530.55403="",271957.56118=0,191530.55403=0),"-",191530.55403/271957.56118*100)</f>
        <v>70.426633184591637</v>
      </c>
    </row>
    <row r="40" spans="1:5" ht="40.5" customHeight="1" x14ac:dyDescent="0.25">
      <c r="A40" s="32" t="s">
        <v>211</v>
      </c>
      <c r="B40" s="33" t="s">
        <v>172</v>
      </c>
      <c r="C40" s="22">
        <v>-2902.0064299999999</v>
      </c>
      <c r="D40" s="22">
        <v>-2886.0468099999998</v>
      </c>
      <c r="E40" s="22">
        <f>IF(OR(-2902.00643="",-2886.04681="",-2902.00643=0,-2886.04681=0),"-",-2886.04681/-2902.00643*100)</f>
        <v>99.450048771945688</v>
      </c>
    </row>
    <row r="41" spans="1:5" ht="15" customHeight="1" x14ac:dyDescent="0.25">
      <c r="A41" s="30" t="s">
        <v>212</v>
      </c>
      <c r="B41" s="31" t="s">
        <v>130</v>
      </c>
      <c r="C41" s="21">
        <v>-793310.33799000003</v>
      </c>
      <c r="D41" s="21">
        <v>-805017.70198999997</v>
      </c>
      <c r="E41" s="21">
        <f>IF(-793310.33799="","-",-805017.70199/-793310.33799*100)</f>
        <v>101.47576092726369</v>
      </c>
    </row>
    <row r="42" spans="1:5" x14ac:dyDescent="0.25">
      <c r="A42" s="32" t="s">
        <v>213</v>
      </c>
      <c r="B42" s="33" t="s">
        <v>19</v>
      </c>
      <c r="C42" s="22">
        <v>23946.374449999999</v>
      </c>
      <c r="D42" s="22">
        <v>9229.8043799999996</v>
      </c>
      <c r="E42" s="22">
        <f>IF(OR(23946.37445="",9229.80438="",23946.37445=0,9229.80438=0),"-",9229.80438/23946.37445*100)</f>
        <v>38.543640079093478</v>
      </c>
    </row>
    <row r="43" spans="1:5" x14ac:dyDescent="0.25">
      <c r="A43" s="32" t="s">
        <v>214</v>
      </c>
      <c r="B43" s="33" t="s">
        <v>20</v>
      </c>
      <c r="C43" s="22">
        <v>-20255.383979999999</v>
      </c>
      <c r="D43" s="22">
        <v>-22024.574680000002</v>
      </c>
      <c r="E43" s="22">
        <f>IF(OR(-20255.38398="",-22024.57468="",-20255.38398=0,-22024.57468=0),"-",-22024.57468/-20255.38398*100)</f>
        <v>108.73442192824825</v>
      </c>
    </row>
    <row r="44" spans="1:5" x14ac:dyDescent="0.25">
      <c r="A44" s="32" t="s">
        <v>215</v>
      </c>
      <c r="B44" s="33" t="s">
        <v>131</v>
      </c>
      <c r="C44" s="22">
        <v>-41471.425230000001</v>
      </c>
      <c r="D44" s="22">
        <v>-41570.683960000002</v>
      </c>
      <c r="E44" s="22">
        <f>IF(OR(-41471.42523="",-41570.68396="",-41471.42523=0,-41570.68396=0),"-",-41570.68396/-41471.42523*100)</f>
        <v>100.23934246158532</v>
      </c>
    </row>
    <row r="45" spans="1:5" x14ac:dyDescent="0.25">
      <c r="A45" s="32" t="s">
        <v>216</v>
      </c>
      <c r="B45" s="33" t="s">
        <v>132</v>
      </c>
      <c r="C45" s="22">
        <v>-195385.01918</v>
      </c>
      <c r="D45" s="22">
        <v>-212612.00180999999</v>
      </c>
      <c r="E45" s="22">
        <f>IF(OR(-195385.01918="",-212612.00181="",-195385.01918=0,-212612.00181=0),"-",-212612.00181/-195385.01918*100)</f>
        <v>108.8169413920775</v>
      </c>
    </row>
    <row r="46" spans="1:5" ht="28.5" customHeight="1" x14ac:dyDescent="0.25">
      <c r="A46" s="32" t="s">
        <v>217</v>
      </c>
      <c r="B46" s="33" t="s">
        <v>133</v>
      </c>
      <c r="C46" s="22">
        <v>-110038.76841</v>
      </c>
      <c r="D46" s="22">
        <v>-127975.9684</v>
      </c>
      <c r="E46" s="22">
        <f>IF(OR(-110038.76841="",-127975.9684="",-110038.76841=0,-127975.9684=0),"-",-127975.9684/-110038.76841*100)</f>
        <v>116.30080038988324</v>
      </c>
    </row>
    <row r="47" spans="1:5" x14ac:dyDescent="0.25">
      <c r="A47" s="32" t="s">
        <v>218</v>
      </c>
      <c r="B47" s="33" t="s">
        <v>134</v>
      </c>
      <c r="C47" s="22">
        <v>-115872.75797999999</v>
      </c>
      <c r="D47" s="22">
        <v>-118288.23112</v>
      </c>
      <c r="E47" s="22">
        <f>IF(OR(-115872.75798="",-118288.23112="",-115872.75798=0,-118288.23112=0),"-",-118288.23112/-115872.75798*100)</f>
        <v>102.08459104806751</v>
      </c>
    </row>
    <row r="48" spans="1:5" x14ac:dyDescent="0.25">
      <c r="A48" s="32" t="s">
        <v>219</v>
      </c>
      <c r="B48" s="33" t="s">
        <v>21</v>
      </c>
      <c r="C48" s="22">
        <v>-64770.978329999998</v>
      </c>
      <c r="D48" s="22">
        <v>-43138.906739999999</v>
      </c>
      <c r="E48" s="22">
        <f>IF(OR(-64770.97833="",-43138.90674="",-64770.97833=0,-43138.90674=0),"-",-43138.90674/-64770.97833*100)</f>
        <v>66.60221576430834</v>
      </c>
    </row>
    <row r="49" spans="1:5" x14ac:dyDescent="0.25">
      <c r="A49" s="32" t="s">
        <v>220</v>
      </c>
      <c r="B49" s="33" t="s">
        <v>22</v>
      </c>
      <c r="C49" s="22">
        <v>-121615.15299</v>
      </c>
      <c r="D49" s="22">
        <v>-113758.58183</v>
      </c>
      <c r="E49" s="22">
        <f>IF(OR(-121615.15299="",-113758.58183="",-121615.15299=0,-113758.58183=0),"-",-113758.58183/-121615.15299*100)</f>
        <v>93.539809006657237</v>
      </c>
    </row>
    <row r="50" spans="1:5" x14ac:dyDescent="0.25">
      <c r="A50" s="32" t="s">
        <v>221</v>
      </c>
      <c r="B50" s="33" t="s">
        <v>135</v>
      </c>
      <c r="C50" s="22">
        <v>-147847.22633999999</v>
      </c>
      <c r="D50" s="22">
        <v>-134878.55783000001</v>
      </c>
      <c r="E50" s="22">
        <f>IF(OR(-147847.22634="",-134878.55783="",-147847.22634=0,-134878.55783=0),"-",-134878.55783/-147847.22634*100)</f>
        <v>91.228331548015433</v>
      </c>
    </row>
    <row r="51" spans="1:5" ht="24" x14ac:dyDescent="0.25">
      <c r="A51" s="30" t="s">
        <v>222</v>
      </c>
      <c r="B51" s="31" t="s">
        <v>330</v>
      </c>
      <c r="C51" s="21">
        <v>-855635.28448000003</v>
      </c>
      <c r="D51" s="21">
        <v>-790083.53217999998</v>
      </c>
      <c r="E51" s="21">
        <f>IF(-855635.28448="","-",-790083.53218/-855635.28448*100)</f>
        <v>92.338820816647583</v>
      </c>
    </row>
    <row r="52" spans="1:5" x14ac:dyDescent="0.25">
      <c r="A52" s="32" t="s">
        <v>223</v>
      </c>
      <c r="B52" s="33" t="s">
        <v>136</v>
      </c>
      <c r="C52" s="22">
        <v>-43290.5455</v>
      </c>
      <c r="D52" s="22">
        <v>-35358.084150000002</v>
      </c>
      <c r="E52" s="22">
        <f>IF(OR(-43290.5455="",-35358.08415="",-43290.5455=0,-35358.08415=0),"-",-35358.08415/-43290.5455*100)</f>
        <v>81.676226856508421</v>
      </c>
    </row>
    <row r="53" spans="1:5" x14ac:dyDescent="0.25">
      <c r="A53" s="32" t="s">
        <v>224</v>
      </c>
      <c r="B53" s="33" t="s">
        <v>23</v>
      </c>
      <c r="C53" s="22">
        <v>-71366.765880000006</v>
      </c>
      <c r="D53" s="22">
        <v>-63854.274490000003</v>
      </c>
      <c r="E53" s="22">
        <f>IF(OR(-71366.76588="",-63854.27449="",-71366.76588=0,-63854.27449=0),"-",-63854.27449/-71366.76588*100)</f>
        <v>89.473403625110436</v>
      </c>
    </row>
    <row r="54" spans="1:5" x14ac:dyDescent="0.25">
      <c r="A54" s="32" t="s">
        <v>225</v>
      </c>
      <c r="B54" s="33" t="s">
        <v>137</v>
      </c>
      <c r="C54" s="22">
        <v>-68856.596529999995</v>
      </c>
      <c r="D54" s="22">
        <v>-73510.461179999998</v>
      </c>
      <c r="E54" s="22">
        <f>IF(OR(-68856.59653="",-73510.46118="",-68856.59653=0,-73510.46118=0),"-",-73510.46118/-68856.59653*100)</f>
        <v>106.75877822101239</v>
      </c>
    </row>
    <row r="55" spans="1:5" ht="24" x14ac:dyDescent="0.25">
      <c r="A55" s="32" t="s">
        <v>226</v>
      </c>
      <c r="B55" s="33" t="s">
        <v>138</v>
      </c>
      <c r="C55" s="22">
        <v>-101435.46337</v>
      </c>
      <c r="D55" s="22">
        <v>-86860.213860000003</v>
      </c>
      <c r="E55" s="22">
        <f>IF(OR(-101435.46337="",-86860.21386="",-101435.46337=0,-86860.21386=0),"-",-86860.21386/-101435.46337*100)</f>
        <v>85.631012048680901</v>
      </c>
    </row>
    <row r="56" spans="1:5" ht="24" x14ac:dyDescent="0.25">
      <c r="A56" s="32" t="s">
        <v>227</v>
      </c>
      <c r="B56" s="33" t="s">
        <v>139</v>
      </c>
      <c r="C56" s="22">
        <v>-194806.89238999999</v>
      </c>
      <c r="D56" s="22">
        <v>-182880.33674999999</v>
      </c>
      <c r="E56" s="22">
        <f>IF(OR(-194806.89239="",-182880.33675="",-194806.89239=0,-182880.33675=0),"-",-182880.33675/-194806.89239*100)</f>
        <v>93.877754789022944</v>
      </c>
    </row>
    <row r="57" spans="1:5" x14ac:dyDescent="0.25">
      <c r="A57" s="32" t="s">
        <v>228</v>
      </c>
      <c r="B57" s="33" t="s">
        <v>24</v>
      </c>
      <c r="C57" s="22">
        <v>-63569.748590000003</v>
      </c>
      <c r="D57" s="22">
        <v>-62700.477099999996</v>
      </c>
      <c r="E57" s="22">
        <f>IF(OR(-63569.74859="",-62700.4771="",-63569.74859=0,-62700.4771=0),"-",-62700.4771/-63569.74859*100)</f>
        <v>98.632570508330204</v>
      </c>
    </row>
    <row r="58" spans="1:5" x14ac:dyDescent="0.25">
      <c r="A58" s="32" t="s">
        <v>229</v>
      </c>
      <c r="B58" s="33" t="s">
        <v>140</v>
      </c>
      <c r="C58" s="22">
        <v>-145555.24942000001</v>
      </c>
      <c r="D58" s="22">
        <v>-120141.46094</v>
      </c>
      <c r="E58" s="22">
        <f>IF(OR(-145555.24942="",-120141.46094="",-145555.24942=0,-120141.46094=0),"-",-120141.46094/-145555.24942*100)</f>
        <v>82.540108597067189</v>
      </c>
    </row>
    <row r="59" spans="1:5" x14ac:dyDescent="0.25">
      <c r="A59" s="32" t="s">
        <v>230</v>
      </c>
      <c r="B59" s="33" t="s">
        <v>25</v>
      </c>
      <c r="C59" s="22">
        <v>-28445.399460000001</v>
      </c>
      <c r="D59" s="22">
        <v>-30322.11548</v>
      </c>
      <c r="E59" s="22">
        <f>IF(OR(-28445.39946="",-30322.11548="",-28445.39946=0,-30322.11548=0),"-",-30322.11548/-28445.39946*100)</f>
        <v>106.597608244662</v>
      </c>
    </row>
    <row r="60" spans="1:5" x14ac:dyDescent="0.25">
      <c r="A60" s="32" t="s">
        <v>231</v>
      </c>
      <c r="B60" s="33" t="s">
        <v>26</v>
      </c>
      <c r="C60" s="22">
        <v>-138308.62333999999</v>
      </c>
      <c r="D60" s="22">
        <v>-134456.10823000001</v>
      </c>
      <c r="E60" s="22">
        <f>IF(OR(-138308.62334="",-134456.10823="",-138308.62334=0,-134456.10823=0),"-",-134456.10823/-138308.62334*100)</f>
        <v>97.214551763320316</v>
      </c>
    </row>
    <row r="61" spans="1:5" x14ac:dyDescent="0.25">
      <c r="A61" s="30" t="s">
        <v>232</v>
      </c>
      <c r="B61" s="31" t="s">
        <v>141</v>
      </c>
      <c r="C61" s="21">
        <v>-1074070.7736899999</v>
      </c>
      <c r="D61" s="21">
        <v>-1077822.31281</v>
      </c>
      <c r="E61" s="21">
        <f>IF(-1074070.77369="","-",-1077822.31281/-1074070.77369*100)</f>
        <v>100.34928230167846</v>
      </c>
    </row>
    <row r="62" spans="1:5" ht="16.5" customHeight="1" x14ac:dyDescent="0.25">
      <c r="A62" s="32" t="s">
        <v>233</v>
      </c>
      <c r="B62" s="33" t="s">
        <v>142</v>
      </c>
      <c r="C62" s="22">
        <v>-22534.895970000001</v>
      </c>
      <c r="D62" s="22">
        <v>-32462.321619999999</v>
      </c>
      <c r="E62" s="22">
        <f>IF(OR(-22534.89597="",-32462.32162="",-22534.89597=0,-32462.32162=0),"-",-32462.32162/-22534.89597*100)</f>
        <v>144.05356768993326</v>
      </c>
    </row>
    <row r="63" spans="1:5" ht="15" customHeight="1" x14ac:dyDescent="0.25">
      <c r="A63" s="32" t="s">
        <v>234</v>
      </c>
      <c r="B63" s="33" t="s">
        <v>143</v>
      </c>
      <c r="C63" s="22">
        <v>-244680.83587000001</v>
      </c>
      <c r="D63" s="22">
        <v>-154307.57003999999</v>
      </c>
      <c r="E63" s="22">
        <f>IF(OR(-244680.83587="",-154307.57004="",-244680.83587=0,-154307.57004=0),"-",-154307.57004/-244680.83587*100)</f>
        <v>63.064836888976572</v>
      </c>
    </row>
    <row r="64" spans="1:5" x14ac:dyDescent="0.25">
      <c r="A64" s="32" t="s">
        <v>235</v>
      </c>
      <c r="B64" s="33" t="s">
        <v>144</v>
      </c>
      <c r="C64" s="22">
        <v>-6747.4798799999999</v>
      </c>
      <c r="D64" s="22">
        <v>-8967.7478200000005</v>
      </c>
      <c r="E64" s="22">
        <f>IF(OR(-6747.47988="",-8967.74782="",-6747.47988=0,-8967.74782=0),"-",-8967.74782/-6747.47988*100)</f>
        <v>132.90514354227315</v>
      </c>
    </row>
    <row r="65" spans="1:5" ht="24" x14ac:dyDescent="0.25">
      <c r="A65" s="32" t="s">
        <v>236</v>
      </c>
      <c r="B65" s="33" t="s">
        <v>145</v>
      </c>
      <c r="C65" s="22">
        <v>-184557.37747000001</v>
      </c>
      <c r="D65" s="22">
        <v>-174271.00481000001</v>
      </c>
      <c r="E65" s="22">
        <f>IF(OR(-184557.37747="",-174271.00481="",-184557.37747=0,-174271.00481=0),"-",-174271.00481/-184557.37747*100)</f>
        <v>94.426463574087123</v>
      </c>
    </row>
    <row r="66" spans="1:5" ht="25.5" customHeight="1" x14ac:dyDescent="0.25">
      <c r="A66" s="32" t="s">
        <v>237</v>
      </c>
      <c r="B66" s="33" t="s">
        <v>146</v>
      </c>
      <c r="C66" s="22">
        <v>-67782.972680000006</v>
      </c>
      <c r="D66" s="22">
        <v>-63142.100700000003</v>
      </c>
      <c r="E66" s="22">
        <f>IF(OR(-67782.97268="",-63142.1007="",-67782.97268=0,-63142.1007=0),"-",-63142.1007/-67782.97268*100)</f>
        <v>93.15333660282306</v>
      </c>
    </row>
    <row r="67" spans="1:5" ht="27" customHeight="1" x14ac:dyDescent="0.25">
      <c r="A67" s="32" t="s">
        <v>238</v>
      </c>
      <c r="B67" s="33" t="s">
        <v>147</v>
      </c>
      <c r="C67" s="22">
        <v>-153518.23777000001</v>
      </c>
      <c r="D67" s="22">
        <v>-179635.62995999999</v>
      </c>
      <c r="E67" s="22">
        <f>IF(OR(-153518.23777="",-179635.62996="",-153518.23777=0,-179635.62996=0),"-",-179635.62996/-153518.23777*100)</f>
        <v>117.01256643469871</v>
      </c>
    </row>
    <row r="68" spans="1:5" ht="36" x14ac:dyDescent="0.25">
      <c r="A68" s="32" t="s">
        <v>239</v>
      </c>
      <c r="B68" s="33" t="s">
        <v>148</v>
      </c>
      <c r="C68" s="22">
        <v>-28742.222809999999</v>
      </c>
      <c r="D68" s="22">
        <v>-24759.255700000002</v>
      </c>
      <c r="E68" s="22">
        <f>IF(OR(-28742.22281="",-24759.2557="",-28742.22281=0,-24759.2557=0),"-",-24759.2557/-28742.22281*100)</f>
        <v>86.142452738156905</v>
      </c>
    </row>
    <row r="69" spans="1:5" x14ac:dyDescent="0.25">
      <c r="A69" s="32" t="s">
        <v>240</v>
      </c>
      <c r="B69" s="33" t="s">
        <v>149</v>
      </c>
      <c r="C69" s="22">
        <v>-360683.46188000002</v>
      </c>
      <c r="D69" s="22">
        <v>-438771.89886000002</v>
      </c>
      <c r="E69" s="22">
        <f>IF(OR(-360683.46188="",-438771.89886="",-360683.46188=0,-438771.89886=0),"-",-438771.89886/-360683.46188*100)</f>
        <v>121.65012961031746</v>
      </c>
    </row>
    <row r="70" spans="1:5" x14ac:dyDescent="0.25">
      <c r="A70" s="32" t="s">
        <v>241</v>
      </c>
      <c r="B70" s="33" t="s">
        <v>27</v>
      </c>
      <c r="C70" s="22">
        <v>-4823.2893599999998</v>
      </c>
      <c r="D70" s="22">
        <v>-1504.7833000000001</v>
      </c>
      <c r="E70" s="22">
        <f>IF(OR(-4823.28936="",-1504.7833="",-4823.28936=0,-1504.7833=0),"-",-1504.7833/-4823.28936*100)</f>
        <v>31.198279590673366</v>
      </c>
    </row>
    <row r="71" spans="1:5" x14ac:dyDescent="0.25">
      <c r="A71" s="30" t="s">
        <v>242</v>
      </c>
      <c r="B71" s="31" t="s">
        <v>28</v>
      </c>
      <c r="C71" s="21">
        <v>-150433.32152999999</v>
      </c>
      <c r="D71" s="21">
        <v>-197846.60498</v>
      </c>
      <c r="E71" s="21">
        <f>IF(-150433.32153="","-",-197846.60498/-150433.32153*100)</f>
        <v>131.51780667193782</v>
      </c>
    </row>
    <row r="72" spans="1:5" ht="26.25" customHeight="1" x14ac:dyDescent="0.25">
      <c r="A72" s="32" t="s">
        <v>243</v>
      </c>
      <c r="B72" s="33" t="s">
        <v>175</v>
      </c>
      <c r="C72" s="22">
        <v>-40481.305670000002</v>
      </c>
      <c r="D72" s="22">
        <v>-30062.843949999999</v>
      </c>
      <c r="E72" s="22">
        <f>IF(OR(-40481.30567="",-30062.84395="",-40481.30567=0,-30062.84395=0),"-",-30062.84395/-40481.30567*100)</f>
        <v>74.263523501612383</v>
      </c>
    </row>
    <row r="73" spans="1:5" x14ac:dyDescent="0.25">
      <c r="A73" s="32" t="s">
        <v>244</v>
      </c>
      <c r="B73" s="33" t="s">
        <v>150</v>
      </c>
      <c r="C73" s="22">
        <v>60212.719729999997</v>
      </c>
      <c r="D73" s="22">
        <v>60233.946649999998</v>
      </c>
      <c r="E73" s="22">
        <f>IF(OR(60212.71973="",60233.94665="",60212.71973=0,60233.94665=0),"-",60233.94665/60212.71973*100)</f>
        <v>100.03525321575771</v>
      </c>
    </row>
    <row r="74" spans="1:5" x14ac:dyDescent="0.25">
      <c r="A74" s="32" t="s">
        <v>245</v>
      </c>
      <c r="B74" s="33" t="s">
        <v>151</v>
      </c>
      <c r="C74" s="22">
        <v>-1574.3722600000001</v>
      </c>
      <c r="D74" s="22">
        <v>-3433.4875200000001</v>
      </c>
      <c r="E74" s="22" t="s">
        <v>345</v>
      </c>
    </row>
    <row r="75" spans="1:5" x14ac:dyDescent="0.25">
      <c r="A75" s="32" t="s">
        <v>246</v>
      </c>
      <c r="B75" s="33" t="s">
        <v>152</v>
      </c>
      <c r="C75" s="22">
        <v>78378.657630000002</v>
      </c>
      <c r="D75" s="22">
        <v>64127.603810000001</v>
      </c>
      <c r="E75" s="22">
        <f>IF(OR(78378.65763="",64127.60381="",78378.65763=0,64127.60381=0),"-",64127.60381/78378.65763*100)</f>
        <v>81.817685769416258</v>
      </c>
    </row>
    <row r="76" spans="1:5" x14ac:dyDescent="0.25">
      <c r="A76" s="32" t="s">
        <v>247</v>
      </c>
      <c r="B76" s="33" t="s">
        <v>153</v>
      </c>
      <c r="C76" s="22">
        <v>-16820.189490000001</v>
      </c>
      <c r="D76" s="22">
        <v>-28956.588319999999</v>
      </c>
      <c r="E76" s="22" t="s">
        <v>333</v>
      </c>
    </row>
    <row r="77" spans="1:5" x14ac:dyDescent="0.25">
      <c r="A77" s="32" t="s">
        <v>248</v>
      </c>
      <c r="B77" s="33" t="s">
        <v>277</v>
      </c>
      <c r="C77" s="22">
        <v>-42961.869570000003</v>
      </c>
      <c r="D77" s="22">
        <v>-41667.459320000002</v>
      </c>
      <c r="E77" s="22">
        <f>IF(OR(-42961.86957="",-41667.45932="",-42961.86957=0,-41667.45932=0),"-",-41667.45932/-42961.86957*100)</f>
        <v>96.98707187802674</v>
      </c>
    </row>
    <row r="78" spans="1:5" ht="24" x14ac:dyDescent="0.25">
      <c r="A78" s="32" t="s">
        <v>249</v>
      </c>
      <c r="B78" s="33" t="s">
        <v>154</v>
      </c>
      <c r="C78" s="22">
        <v>-7924.4611699999996</v>
      </c>
      <c r="D78" s="22">
        <v>-9749.0748299999996</v>
      </c>
      <c r="E78" s="22">
        <f>IF(OR(-7924.46117="",-9749.07483="",-7924.46117=0,-9749.07483=0),"-",-9749.07483/-7924.46117*100)</f>
        <v>123.02508171669166</v>
      </c>
    </row>
    <row r="79" spans="1:5" x14ac:dyDescent="0.25">
      <c r="A79" s="32" t="s">
        <v>250</v>
      </c>
      <c r="B79" s="33" t="s">
        <v>29</v>
      </c>
      <c r="C79" s="22">
        <v>-179262.50073</v>
      </c>
      <c r="D79" s="22">
        <v>-208338.7015</v>
      </c>
      <c r="E79" s="22">
        <f>IF(OR(-179262.50073="",-208338.7015="",-179262.50073=0,-208338.7015=0),"-",-208338.7015/-179262.50073*100)</f>
        <v>116.21990134668138</v>
      </c>
    </row>
    <row r="80" spans="1:5" x14ac:dyDescent="0.25">
      <c r="A80" s="35" t="s">
        <v>253</v>
      </c>
      <c r="B80" s="36" t="s">
        <v>155</v>
      </c>
      <c r="C80" s="40">
        <v>-13379.459870000001</v>
      </c>
      <c r="D80" s="40">
        <v>2702.4290000000001</v>
      </c>
      <c r="E80" s="40" t="s">
        <v>354</v>
      </c>
    </row>
    <row r="81" spans="1:5" s="19" customFormat="1" ht="11.25" x14ac:dyDescent="0.2">
      <c r="A81" s="9" t="s">
        <v>256</v>
      </c>
      <c r="B81" s="10"/>
      <c r="C81" s="29"/>
      <c r="D81" s="29"/>
      <c r="E81" s="29"/>
    </row>
    <row r="82" spans="1:5" x14ac:dyDescent="0.25">
      <c r="C82" s="22"/>
      <c r="D82" s="22"/>
      <c r="E82" s="41"/>
    </row>
    <row r="83" spans="1:5" x14ac:dyDescent="0.25">
      <c r="C83" s="22"/>
      <c r="D83" s="22"/>
      <c r="E83" s="41"/>
    </row>
  </sheetData>
  <mergeCells count="7">
    <mergeCell ref="B1:E1"/>
    <mergeCell ref="B2:E2"/>
    <mergeCell ref="A3:E3"/>
    <mergeCell ref="A4:A5"/>
    <mergeCell ref="B4:B5"/>
    <mergeCell ref="C4:D4"/>
    <mergeCell ref="E4:E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Export_Tari</vt:lpstr>
      <vt:lpstr>2. Import_Tari</vt:lpstr>
      <vt:lpstr>3. Balanta Comerciala_Tari</vt:lpstr>
      <vt:lpstr>4. Export_Moduri_Transport</vt:lpstr>
      <vt:lpstr>5. Import_Moduri_Transport</vt:lpstr>
      <vt:lpstr>6. Export_Grupe_Marfuri_CSCI</vt:lpstr>
      <vt:lpstr>7. Import_Grupe_Marfuri_CSCI</vt:lpstr>
      <vt:lpstr>8. Balanta_Comerciala_CSCI</vt:lpstr>
      <vt:lpstr>'1. Export_Tari'!Print_Titles</vt:lpstr>
      <vt:lpstr>'2. Import_Tari'!Print_Titles</vt:lpstr>
      <vt:lpstr>'3. Balanta Comerciala_Tari'!Print_Titles</vt:lpstr>
      <vt:lpstr>'6. Export_Grupe_Marfuri_CSCI'!Print_Titles</vt:lpstr>
      <vt:lpstr>'7. Import_Grupe_Marfuri_CSCI'!Print_Titles</vt:lpstr>
      <vt:lpstr>'8. Balanta_Comerciala_CSCI'!Print_Titles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2023-12-13T16:29:11Z</cp:lastPrinted>
  <dcterms:created xsi:type="dcterms:W3CDTF">2016-09-01T07:59:47Z</dcterms:created>
  <dcterms:modified xsi:type="dcterms:W3CDTF">2023-12-15T07:04:14Z</dcterms:modified>
</cp:coreProperties>
</file>