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COMERT\"/>
    </mc:Choice>
  </mc:AlternateContent>
  <xr:revisionPtr revIDLastSave="0" documentId="13_ncr:1_{DDF9DAD6-967E-44DF-97AA-9CD8231D31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Comerciala_Tari'!$3:$3</definedName>
    <definedName name="_xlnm.Print_Titles" localSheetId="7">Balanta_Comerciala_Gr_Marf_CSCI!$4:$4</definedName>
    <definedName name="_xlnm.Print_Titles" localSheetId="5">Export_Grupe_Marfuri_CSCI!$4:$5</definedName>
    <definedName name="_xlnm.Print_Titles" localSheetId="0">Export_Tari!$3:$4</definedName>
    <definedName name="_xlnm.Print_Titles" localSheetId="6">Import_Grupe_Marfuri_CSCI!$4:$5</definedName>
    <definedName name="_xlnm.Print_Titles" localSheetId="1">Import_Tari!$3:$4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3" l="1"/>
  <c r="E78" i="4"/>
  <c r="E77" i="4"/>
  <c r="E76" i="4"/>
  <c r="E74" i="4"/>
  <c r="E72" i="4"/>
  <c r="E71" i="4"/>
  <c r="E70" i="4"/>
  <c r="E68" i="4"/>
  <c r="E66" i="4"/>
  <c r="E65" i="4"/>
  <c r="E64" i="4"/>
  <c r="E63" i="4"/>
  <c r="E62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7" i="4"/>
  <c r="E26" i="4"/>
  <c r="E25" i="4"/>
  <c r="E24" i="4"/>
  <c r="E23" i="4"/>
  <c r="E22" i="4"/>
  <c r="E21" i="4"/>
  <c r="E20" i="4"/>
  <c r="E19" i="4"/>
  <c r="E17" i="4"/>
  <c r="E16" i="4"/>
  <c r="E15" i="4"/>
  <c r="E13" i="4"/>
  <c r="E12" i="4"/>
  <c r="E11" i="4"/>
  <c r="E10" i="4"/>
  <c r="E9" i="4"/>
  <c r="E8" i="4"/>
  <c r="E5" i="4"/>
  <c r="H79" i="6"/>
  <c r="G79" i="6"/>
  <c r="F79" i="6"/>
  <c r="E79" i="6"/>
  <c r="D79" i="6"/>
  <c r="H78" i="6"/>
  <c r="G78" i="6"/>
  <c r="F78" i="6"/>
  <c r="E78" i="6"/>
  <c r="D78" i="6"/>
  <c r="H77" i="6"/>
  <c r="G77" i="6"/>
  <c r="F77" i="6"/>
  <c r="E77" i="6"/>
  <c r="D77" i="6"/>
  <c r="H76" i="6"/>
  <c r="G76" i="6"/>
  <c r="F76" i="6"/>
  <c r="E76" i="6"/>
  <c r="D76" i="6"/>
  <c r="H75" i="6"/>
  <c r="G75" i="6"/>
  <c r="F75" i="6"/>
  <c r="E75" i="6"/>
  <c r="D75" i="6"/>
  <c r="H74" i="6"/>
  <c r="G74" i="6"/>
  <c r="F74" i="6"/>
  <c r="E74" i="6"/>
  <c r="D74" i="6"/>
  <c r="H73" i="6"/>
  <c r="G73" i="6"/>
  <c r="F73" i="6"/>
  <c r="E73" i="6"/>
  <c r="D73" i="6"/>
  <c r="H72" i="6"/>
  <c r="G72" i="6"/>
  <c r="F72" i="6"/>
  <c r="E72" i="6"/>
  <c r="D72" i="6"/>
  <c r="H71" i="6"/>
  <c r="G71" i="6"/>
  <c r="F71" i="6"/>
  <c r="E71" i="6"/>
  <c r="D71" i="6"/>
  <c r="H70" i="6"/>
  <c r="G70" i="6"/>
  <c r="F70" i="6"/>
  <c r="E70" i="6"/>
  <c r="D70" i="6"/>
  <c r="H69" i="6"/>
  <c r="G69" i="6"/>
  <c r="F69" i="6"/>
  <c r="E69" i="6"/>
  <c r="D69" i="6"/>
  <c r="H68" i="6"/>
  <c r="G68" i="6"/>
  <c r="F68" i="6"/>
  <c r="E68" i="6"/>
  <c r="D68" i="6"/>
  <c r="H67" i="6"/>
  <c r="G67" i="6"/>
  <c r="F67" i="6"/>
  <c r="E67" i="6"/>
  <c r="D67" i="6"/>
  <c r="H66" i="6"/>
  <c r="G66" i="6"/>
  <c r="F66" i="6"/>
  <c r="E66" i="6"/>
  <c r="D66" i="6"/>
  <c r="H65" i="6"/>
  <c r="G65" i="6"/>
  <c r="F65" i="6"/>
  <c r="E65" i="6"/>
  <c r="D65" i="6"/>
  <c r="H64" i="6"/>
  <c r="G64" i="6"/>
  <c r="F64" i="6"/>
  <c r="E64" i="6"/>
  <c r="D64" i="6"/>
  <c r="H63" i="6"/>
  <c r="G63" i="6"/>
  <c r="F63" i="6"/>
  <c r="E63" i="6"/>
  <c r="D63" i="6"/>
  <c r="H62" i="6"/>
  <c r="G62" i="6"/>
  <c r="F62" i="6"/>
  <c r="E62" i="6"/>
  <c r="D62" i="6"/>
  <c r="H61" i="6"/>
  <c r="G61" i="6"/>
  <c r="F61" i="6"/>
  <c r="E61" i="6"/>
  <c r="D61" i="6"/>
  <c r="H60" i="6"/>
  <c r="G60" i="6"/>
  <c r="F60" i="6"/>
  <c r="E60" i="6"/>
  <c r="D60" i="6"/>
  <c r="H59" i="6"/>
  <c r="G59" i="6"/>
  <c r="F59" i="6"/>
  <c r="E59" i="6"/>
  <c r="D59" i="6"/>
  <c r="H58" i="6"/>
  <c r="G58" i="6"/>
  <c r="F58" i="6"/>
  <c r="E58" i="6"/>
  <c r="D58" i="6"/>
  <c r="H57" i="6"/>
  <c r="G57" i="6"/>
  <c r="F57" i="6"/>
  <c r="E57" i="6"/>
  <c r="D57" i="6"/>
  <c r="H56" i="6"/>
  <c r="G56" i="6"/>
  <c r="F56" i="6"/>
  <c r="E56" i="6"/>
  <c r="D56" i="6"/>
  <c r="H55" i="6"/>
  <c r="G55" i="6"/>
  <c r="F55" i="6"/>
  <c r="E55" i="6"/>
  <c r="D55" i="6"/>
  <c r="H54" i="6"/>
  <c r="G54" i="6"/>
  <c r="F54" i="6"/>
  <c r="E54" i="6"/>
  <c r="D54" i="6"/>
  <c r="H53" i="6"/>
  <c r="G53" i="6"/>
  <c r="F53" i="6"/>
  <c r="E53" i="6"/>
  <c r="D53" i="6"/>
  <c r="H52" i="6"/>
  <c r="G52" i="6"/>
  <c r="F52" i="6"/>
  <c r="E52" i="6"/>
  <c r="D52" i="6"/>
  <c r="H51" i="6"/>
  <c r="G51" i="6"/>
  <c r="F51" i="6"/>
  <c r="E51" i="6"/>
  <c r="D51" i="6"/>
  <c r="H50" i="6"/>
  <c r="G50" i="6"/>
  <c r="F50" i="6"/>
  <c r="E50" i="6"/>
  <c r="D50" i="6"/>
  <c r="H49" i="6"/>
  <c r="G49" i="6"/>
  <c r="F49" i="6"/>
  <c r="E49" i="6"/>
  <c r="D49" i="6"/>
  <c r="H48" i="6"/>
  <c r="G48" i="6"/>
  <c r="F48" i="6"/>
  <c r="E48" i="6"/>
  <c r="D48" i="6"/>
  <c r="H47" i="6"/>
  <c r="G47" i="6"/>
  <c r="F47" i="6"/>
  <c r="E47" i="6"/>
  <c r="D47" i="6"/>
  <c r="H46" i="6"/>
  <c r="G46" i="6"/>
  <c r="F46" i="6"/>
  <c r="E46" i="6"/>
  <c r="D46" i="6"/>
  <c r="H45" i="6"/>
  <c r="G45" i="6"/>
  <c r="F45" i="6"/>
  <c r="E45" i="6"/>
  <c r="D45" i="6"/>
  <c r="H44" i="6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D42" i="6"/>
  <c r="H41" i="6"/>
  <c r="G41" i="6"/>
  <c r="F41" i="6"/>
  <c r="E41" i="6"/>
  <c r="D41" i="6"/>
  <c r="H40" i="6"/>
  <c r="G40" i="6"/>
  <c r="F40" i="6"/>
  <c r="E40" i="6"/>
  <c r="D40" i="6"/>
  <c r="H39" i="6"/>
  <c r="G39" i="6"/>
  <c r="F39" i="6"/>
  <c r="E39" i="6"/>
  <c r="D39" i="6"/>
  <c r="H38" i="6"/>
  <c r="G38" i="6"/>
  <c r="F38" i="6"/>
  <c r="E38" i="6"/>
  <c r="D38" i="6"/>
  <c r="H37" i="6"/>
  <c r="G37" i="6"/>
  <c r="F37" i="6"/>
  <c r="E37" i="6"/>
  <c r="D37" i="6"/>
  <c r="H36" i="6"/>
  <c r="G36" i="6"/>
  <c r="F36" i="6"/>
  <c r="E36" i="6"/>
  <c r="D36" i="6"/>
  <c r="H35" i="6"/>
  <c r="G35" i="6"/>
  <c r="F35" i="6"/>
  <c r="E35" i="6"/>
  <c r="D35" i="6"/>
  <c r="H34" i="6"/>
  <c r="G34" i="6"/>
  <c r="F34" i="6"/>
  <c r="E34" i="6"/>
  <c r="D34" i="6"/>
  <c r="H33" i="6"/>
  <c r="G33" i="6"/>
  <c r="F33" i="6"/>
  <c r="E33" i="6"/>
  <c r="D33" i="6"/>
  <c r="H32" i="6"/>
  <c r="G32" i="6"/>
  <c r="F32" i="6"/>
  <c r="E32" i="6"/>
  <c r="D32" i="6"/>
  <c r="H31" i="6"/>
  <c r="G31" i="6"/>
  <c r="F31" i="6"/>
  <c r="E31" i="6"/>
  <c r="D31" i="6"/>
  <c r="H30" i="6"/>
  <c r="G30" i="6"/>
  <c r="F30" i="6"/>
  <c r="E30" i="6"/>
  <c r="D30" i="6"/>
  <c r="H29" i="6"/>
  <c r="G29" i="6"/>
  <c r="F29" i="6"/>
  <c r="E29" i="6"/>
  <c r="D29" i="6"/>
  <c r="H28" i="6"/>
  <c r="G28" i="6"/>
  <c r="F28" i="6"/>
  <c r="E28" i="6"/>
  <c r="D28" i="6"/>
  <c r="H27" i="6"/>
  <c r="G27" i="6"/>
  <c r="F27" i="6"/>
  <c r="E27" i="6"/>
  <c r="D27" i="6"/>
  <c r="H26" i="6"/>
  <c r="G26" i="6"/>
  <c r="F26" i="6"/>
  <c r="E26" i="6"/>
  <c r="D26" i="6"/>
  <c r="H25" i="6"/>
  <c r="G25" i="6"/>
  <c r="F25" i="6"/>
  <c r="E25" i="6"/>
  <c r="D25" i="6"/>
  <c r="H24" i="6"/>
  <c r="G24" i="6"/>
  <c r="F24" i="6"/>
  <c r="E24" i="6"/>
  <c r="D24" i="6"/>
  <c r="H23" i="6"/>
  <c r="G23" i="6"/>
  <c r="F23" i="6"/>
  <c r="E23" i="6"/>
  <c r="D23" i="6"/>
  <c r="H22" i="6"/>
  <c r="G22" i="6"/>
  <c r="F22" i="6"/>
  <c r="E22" i="6"/>
  <c r="D22" i="6"/>
  <c r="H21" i="6"/>
  <c r="G21" i="6"/>
  <c r="F21" i="6"/>
  <c r="E21" i="6"/>
  <c r="D21" i="6"/>
  <c r="H20" i="6"/>
  <c r="G20" i="6"/>
  <c r="F20" i="6"/>
  <c r="E20" i="6"/>
  <c r="D20" i="6"/>
  <c r="H19" i="6"/>
  <c r="G19" i="6"/>
  <c r="F19" i="6"/>
  <c r="E19" i="6"/>
  <c r="D19" i="6"/>
  <c r="H18" i="6"/>
  <c r="G18" i="6"/>
  <c r="F18" i="6"/>
  <c r="E18" i="6"/>
  <c r="D18" i="6"/>
  <c r="H17" i="6"/>
  <c r="G17" i="6"/>
  <c r="F17" i="6"/>
  <c r="E17" i="6"/>
  <c r="D17" i="6"/>
  <c r="H16" i="6"/>
  <c r="G16" i="6"/>
  <c r="F16" i="6"/>
  <c r="E16" i="6"/>
  <c r="D16" i="6"/>
  <c r="H15" i="6"/>
  <c r="G15" i="6"/>
  <c r="F15" i="6"/>
  <c r="E15" i="6"/>
  <c r="D15" i="6"/>
  <c r="H14" i="6"/>
  <c r="G14" i="6"/>
  <c r="F14" i="6"/>
  <c r="E14" i="6"/>
  <c r="D14" i="6"/>
  <c r="H13" i="6"/>
  <c r="G13" i="6"/>
  <c r="F13" i="6"/>
  <c r="E13" i="6"/>
  <c r="D13" i="6"/>
  <c r="H12" i="6"/>
  <c r="G12" i="6"/>
  <c r="F12" i="6"/>
  <c r="E12" i="6"/>
  <c r="D12" i="6"/>
  <c r="H11" i="6"/>
  <c r="G11" i="6"/>
  <c r="F11" i="6"/>
  <c r="E11" i="6"/>
  <c r="D11" i="6"/>
  <c r="H10" i="6"/>
  <c r="G10" i="6"/>
  <c r="F10" i="6"/>
  <c r="E10" i="6"/>
  <c r="D10" i="6"/>
  <c r="H9" i="6"/>
  <c r="G9" i="6"/>
  <c r="F9" i="6"/>
  <c r="E9" i="6"/>
  <c r="D9" i="6"/>
  <c r="H8" i="6"/>
  <c r="G8" i="6"/>
  <c r="F8" i="6"/>
  <c r="E8" i="6"/>
  <c r="D8" i="6"/>
  <c r="H6" i="6"/>
  <c r="G6" i="6"/>
  <c r="D6" i="6"/>
  <c r="H80" i="5"/>
  <c r="G80" i="5"/>
  <c r="F80" i="5"/>
  <c r="E80" i="5"/>
  <c r="H79" i="5"/>
  <c r="G79" i="5"/>
  <c r="F79" i="5"/>
  <c r="E79" i="5"/>
  <c r="D79" i="5"/>
  <c r="H78" i="5"/>
  <c r="G78" i="5"/>
  <c r="F78" i="5"/>
  <c r="E78" i="5"/>
  <c r="D78" i="5"/>
  <c r="H77" i="5"/>
  <c r="G77" i="5"/>
  <c r="F77" i="5"/>
  <c r="E77" i="5"/>
  <c r="D77" i="5"/>
  <c r="H76" i="5"/>
  <c r="G76" i="5"/>
  <c r="F76" i="5"/>
  <c r="E76" i="5"/>
  <c r="D76" i="5"/>
  <c r="H75" i="5"/>
  <c r="G75" i="5"/>
  <c r="F75" i="5"/>
  <c r="E75" i="5"/>
  <c r="D75" i="5"/>
  <c r="H74" i="5"/>
  <c r="G74" i="5"/>
  <c r="F74" i="5"/>
  <c r="E74" i="5"/>
  <c r="D74" i="5"/>
  <c r="H73" i="5"/>
  <c r="G73" i="5"/>
  <c r="F73" i="5"/>
  <c r="E73" i="5"/>
  <c r="D73" i="5"/>
  <c r="H72" i="5"/>
  <c r="G72" i="5"/>
  <c r="F72" i="5"/>
  <c r="E72" i="5"/>
  <c r="D72" i="5"/>
  <c r="H71" i="5"/>
  <c r="G71" i="5"/>
  <c r="F71" i="5"/>
  <c r="E71" i="5"/>
  <c r="D71" i="5"/>
  <c r="H70" i="5"/>
  <c r="G70" i="5"/>
  <c r="F70" i="5"/>
  <c r="E70" i="5"/>
  <c r="H69" i="5"/>
  <c r="G69" i="5"/>
  <c r="F69" i="5"/>
  <c r="E69" i="5"/>
  <c r="D69" i="5"/>
  <c r="H68" i="5"/>
  <c r="G68" i="5"/>
  <c r="F68" i="5"/>
  <c r="E68" i="5"/>
  <c r="D68" i="5"/>
  <c r="H67" i="5"/>
  <c r="G67" i="5"/>
  <c r="F67" i="5"/>
  <c r="E67" i="5"/>
  <c r="D67" i="5"/>
  <c r="H66" i="5"/>
  <c r="G66" i="5"/>
  <c r="F66" i="5"/>
  <c r="E66" i="5"/>
  <c r="D66" i="5"/>
  <c r="H65" i="5"/>
  <c r="G65" i="5"/>
  <c r="F65" i="5"/>
  <c r="E65" i="5"/>
  <c r="D65" i="5"/>
  <c r="H64" i="5"/>
  <c r="G64" i="5"/>
  <c r="F64" i="5"/>
  <c r="E64" i="5"/>
  <c r="D64" i="5"/>
  <c r="H63" i="5"/>
  <c r="G63" i="5"/>
  <c r="F63" i="5"/>
  <c r="E63" i="5"/>
  <c r="H62" i="5"/>
  <c r="G62" i="5"/>
  <c r="F62" i="5"/>
  <c r="E62" i="5"/>
  <c r="D62" i="5"/>
  <c r="H61" i="5"/>
  <c r="G61" i="5"/>
  <c r="F61" i="5"/>
  <c r="E61" i="5"/>
  <c r="D61" i="5"/>
  <c r="H60" i="5"/>
  <c r="G60" i="5"/>
  <c r="F60" i="5"/>
  <c r="E60" i="5"/>
  <c r="D60" i="5"/>
  <c r="H59" i="5"/>
  <c r="G59" i="5"/>
  <c r="F59" i="5"/>
  <c r="E59" i="5"/>
  <c r="D59" i="5"/>
  <c r="H58" i="5"/>
  <c r="G58" i="5"/>
  <c r="F58" i="5"/>
  <c r="E58" i="5"/>
  <c r="D58" i="5"/>
  <c r="H57" i="5"/>
  <c r="G57" i="5"/>
  <c r="F57" i="5"/>
  <c r="E57" i="5"/>
  <c r="D57" i="5"/>
  <c r="H56" i="5"/>
  <c r="G56" i="5"/>
  <c r="F56" i="5"/>
  <c r="E56" i="5"/>
  <c r="D56" i="5"/>
  <c r="H55" i="5"/>
  <c r="G55" i="5"/>
  <c r="F55" i="5"/>
  <c r="E55" i="5"/>
  <c r="D55" i="5"/>
  <c r="H54" i="5"/>
  <c r="G54" i="5"/>
  <c r="F54" i="5"/>
  <c r="E54" i="5"/>
  <c r="D54" i="5"/>
  <c r="H53" i="5"/>
  <c r="G53" i="5"/>
  <c r="F53" i="5"/>
  <c r="E53" i="5"/>
  <c r="H52" i="5"/>
  <c r="G52" i="5"/>
  <c r="F52" i="5"/>
  <c r="E52" i="5"/>
  <c r="D52" i="5"/>
  <c r="H51" i="5"/>
  <c r="G51" i="5"/>
  <c r="F51" i="5"/>
  <c r="E51" i="5"/>
  <c r="D51" i="5"/>
  <c r="H50" i="5"/>
  <c r="G50" i="5"/>
  <c r="F50" i="5"/>
  <c r="E50" i="5"/>
  <c r="D50" i="5"/>
  <c r="H49" i="5"/>
  <c r="G49" i="5"/>
  <c r="F49" i="5"/>
  <c r="E49" i="5"/>
  <c r="D49" i="5"/>
  <c r="H48" i="5"/>
  <c r="G48" i="5"/>
  <c r="F48" i="5"/>
  <c r="E48" i="5"/>
  <c r="H47" i="5"/>
  <c r="G47" i="5"/>
  <c r="F47" i="5"/>
  <c r="E47" i="5"/>
  <c r="H46" i="5"/>
  <c r="G46" i="5"/>
  <c r="F46" i="5"/>
  <c r="E46" i="5"/>
  <c r="D46" i="5"/>
  <c r="H45" i="5"/>
  <c r="G45" i="5"/>
  <c r="F45" i="5"/>
  <c r="E45" i="5"/>
  <c r="D45" i="5"/>
  <c r="H44" i="5"/>
  <c r="G44" i="5"/>
  <c r="F44" i="5"/>
  <c r="E44" i="5"/>
  <c r="H43" i="5"/>
  <c r="G43" i="5"/>
  <c r="F43" i="5"/>
  <c r="E43" i="5"/>
  <c r="D43" i="5"/>
  <c r="H42" i="5"/>
  <c r="G42" i="5"/>
  <c r="F42" i="5"/>
  <c r="E42" i="5"/>
  <c r="D42" i="5"/>
  <c r="H41" i="5"/>
  <c r="G41" i="5"/>
  <c r="F41" i="5"/>
  <c r="E41" i="5"/>
  <c r="D41" i="5"/>
  <c r="H40" i="5"/>
  <c r="G40" i="5"/>
  <c r="F40" i="5"/>
  <c r="E40" i="5"/>
  <c r="D40" i="5"/>
  <c r="H39" i="5"/>
  <c r="G39" i="5"/>
  <c r="F39" i="5"/>
  <c r="E39" i="5"/>
  <c r="D39" i="5"/>
  <c r="H38" i="5"/>
  <c r="G38" i="5"/>
  <c r="F38" i="5"/>
  <c r="E38" i="5"/>
  <c r="D38" i="5"/>
  <c r="H37" i="5"/>
  <c r="G37" i="5"/>
  <c r="F37" i="5"/>
  <c r="E37" i="5"/>
  <c r="D37" i="5"/>
  <c r="H36" i="5"/>
  <c r="G36" i="5"/>
  <c r="F36" i="5"/>
  <c r="E36" i="5"/>
  <c r="H35" i="5"/>
  <c r="G35" i="5"/>
  <c r="F35" i="5"/>
  <c r="E35" i="5"/>
  <c r="D35" i="5"/>
  <c r="H34" i="5"/>
  <c r="G34" i="5"/>
  <c r="F34" i="5"/>
  <c r="E34" i="5"/>
  <c r="D34" i="5"/>
  <c r="H33" i="5"/>
  <c r="G33" i="5"/>
  <c r="F33" i="5"/>
  <c r="E33" i="5"/>
  <c r="D33" i="5"/>
  <c r="H32" i="5"/>
  <c r="G32" i="5"/>
  <c r="F32" i="5"/>
  <c r="E32" i="5"/>
  <c r="D32" i="5"/>
  <c r="H31" i="5"/>
  <c r="G31" i="5"/>
  <c r="F31" i="5"/>
  <c r="E31" i="5"/>
  <c r="D31" i="5"/>
  <c r="H30" i="5"/>
  <c r="G30" i="5"/>
  <c r="F30" i="5"/>
  <c r="E30" i="5"/>
  <c r="D30" i="5"/>
  <c r="H29" i="5"/>
  <c r="G29" i="5"/>
  <c r="F29" i="5"/>
  <c r="E29" i="5"/>
  <c r="D29" i="5"/>
  <c r="H28" i="5"/>
  <c r="G28" i="5"/>
  <c r="F28" i="5"/>
  <c r="E28" i="5"/>
  <c r="H27" i="5"/>
  <c r="G27" i="5"/>
  <c r="F27" i="5"/>
  <c r="E27" i="5"/>
  <c r="D27" i="5"/>
  <c r="H26" i="5"/>
  <c r="G26" i="5"/>
  <c r="F26" i="5"/>
  <c r="E26" i="5"/>
  <c r="D26" i="5"/>
  <c r="H25" i="5"/>
  <c r="G25" i="5"/>
  <c r="F25" i="5"/>
  <c r="E25" i="5"/>
  <c r="D25" i="5"/>
  <c r="H24" i="5"/>
  <c r="G24" i="5"/>
  <c r="F24" i="5"/>
  <c r="E24" i="5"/>
  <c r="D24" i="5"/>
  <c r="H23" i="5"/>
  <c r="G23" i="5"/>
  <c r="F23" i="5"/>
  <c r="E23" i="5"/>
  <c r="D23" i="5"/>
  <c r="H22" i="5"/>
  <c r="G22" i="5"/>
  <c r="F22" i="5"/>
  <c r="E22" i="5"/>
  <c r="D22" i="5"/>
  <c r="H21" i="5"/>
  <c r="G21" i="5"/>
  <c r="F21" i="5"/>
  <c r="E21" i="5"/>
  <c r="D21" i="5"/>
  <c r="H20" i="5"/>
  <c r="G20" i="5"/>
  <c r="F20" i="5"/>
  <c r="E20" i="5"/>
  <c r="D20" i="5"/>
  <c r="H19" i="5"/>
  <c r="G19" i="5"/>
  <c r="F19" i="5"/>
  <c r="E19" i="5"/>
  <c r="D19" i="5"/>
  <c r="H18" i="5"/>
  <c r="G18" i="5"/>
  <c r="F18" i="5"/>
  <c r="E18" i="5"/>
  <c r="D18" i="5"/>
  <c r="H17" i="5"/>
  <c r="G17" i="5"/>
  <c r="F17" i="5"/>
  <c r="E17" i="5"/>
  <c r="D17" i="5"/>
  <c r="H16" i="5"/>
  <c r="G16" i="5"/>
  <c r="F16" i="5"/>
  <c r="E16" i="5"/>
  <c r="D16" i="5"/>
  <c r="H15" i="5"/>
  <c r="G15" i="5"/>
  <c r="F15" i="5"/>
  <c r="E15" i="5"/>
  <c r="D15" i="5"/>
  <c r="H14" i="5"/>
  <c r="G14" i="5"/>
  <c r="F14" i="5"/>
  <c r="E14" i="5"/>
  <c r="D14" i="5"/>
  <c r="H13" i="5"/>
  <c r="G13" i="5"/>
  <c r="F13" i="5"/>
  <c r="E13" i="5"/>
  <c r="D13" i="5"/>
  <c r="H12" i="5"/>
  <c r="G12" i="5"/>
  <c r="F12" i="5"/>
  <c r="E12" i="5"/>
  <c r="H11" i="5"/>
  <c r="G11" i="5"/>
  <c r="F11" i="5"/>
  <c r="E11" i="5"/>
  <c r="D11" i="5"/>
  <c r="H10" i="5"/>
  <c r="G10" i="5"/>
  <c r="F10" i="5"/>
  <c r="E10" i="5"/>
  <c r="D10" i="5"/>
  <c r="H9" i="5"/>
  <c r="G9" i="5"/>
  <c r="F9" i="5"/>
  <c r="E9" i="5"/>
  <c r="D9" i="5"/>
  <c r="H8" i="5"/>
  <c r="G8" i="5"/>
  <c r="F8" i="5"/>
  <c r="E8" i="5"/>
  <c r="D8" i="5"/>
  <c r="H6" i="5"/>
  <c r="G6" i="5"/>
  <c r="D6" i="5"/>
  <c r="E39" i="8" l="1"/>
  <c r="D39" i="8"/>
  <c r="E38" i="8"/>
  <c r="D38" i="8"/>
  <c r="E37" i="8"/>
  <c r="D37" i="8"/>
  <c r="E36" i="8"/>
  <c r="D36" i="8"/>
  <c r="E35" i="8"/>
  <c r="D35" i="8"/>
  <c r="E34" i="8"/>
  <c r="D34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3" i="8"/>
  <c r="D23" i="8"/>
  <c r="E22" i="8"/>
  <c r="D22" i="8"/>
  <c r="E21" i="8"/>
  <c r="E20" i="8"/>
  <c r="D20" i="8"/>
  <c r="E19" i="8"/>
  <c r="D19" i="8"/>
  <c r="E18" i="8"/>
  <c r="D18" i="8"/>
  <c r="E17" i="8"/>
  <c r="D17" i="8"/>
  <c r="E16" i="8"/>
  <c r="D16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7" i="8"/>
  <c r="D7" i="8"/>
  <c r="E39" i="7"/>
  <c r="D39" i="7"/>
  <c r="E38" i="7"/>
  <c r="D38" i="7"/>
  <c r="E37" i="7"/>
  <c r="D37" i="7"/>
  <c r="E36" i="7"/>
  <c r="D36" i="7"/>
  <c r="E35" i="7"/>
  <c r="D35" i="7"/>
  <c r="E34" i="7"/>
  <c r="D34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3" i="7"/>
  <c r="D23" i="7"/>
  <c r="E22" i="7"/>
  <c r="D22" i="7"/>
  <c r="E21" i="7"/>
  <c r="E20" i="7"/>
  <c r="D20" i="7"/>
  <c r="E19" i="7"/>
  <c r="D19" i="7"/>
  <c r="E18" i="7"/>
  <c r="D18" i="7"/>
  <c r="E17" i="7"/>
  <c r="D17" i="7"/>
  <c r="E16" i="7"/>
  <c r="D16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E7" i="7"/>
  <c r="D7" i="7"/>
  <c r="D146" i="3" l="1"/>
  <c r="D145" i="3"/>
  <c r="D144" i="3"/>
  <c r="D143" i="3"/>
  <c r="D139" i="3"/>
  <c r="D138" i="3"/>
  <c r="D134" i="3"/>
  <c r="D133" i="3"/>
  <c r="D131" i="3"/>
  <c r="D130" i="3"/>
  <c r="D128" i="3"/>
  <c r="D127" i="3"/>
  <c r="D123" i="3"/>
  <c r="D122" i="3"/>
  <c r="D121" i="3"/>
  <c r="D120" i="3"/>
  <c r="D118" i="3"/>
  <c r="D116" i="3"/>
  <c r="D115" i="3"/>
  <c r="D114" i="3"/>
  <c r="D110" i="3"/>
  <c r="D108" i="3"/>
  <c r="D105" i="3"/>
  <c r="D104" i="3"/>
  <c r="D100" i="3"/>
  <c r="D98" i="3"/>
  <c r="D97" i="3"/>
  <c r="D96" i="3"/>
  <c r="D95" i="3"/>
  <c r="D94" i="3"/>
  <c r="D90" i="3"/>
  <c r="D89" i="3"/>
  <c r="D88" i="3"/>
  <c r="D85" i="3"/>
  <c r="D84" i="3"/>
  <c r="D82" i="3"/>
  <c r="D80" i="3"/>
  <c r="D78" i="3"/>
  <c r="D77" i="3"/>
  <c r="D74" i="3"/>
  <c r="D72" i="3"/>
  <c r="D70" i="3"/>
  <c r="D69" i="3"/>
  <c r="D68" i="3"/>
  <c r="D66" i="3"/>
  <c r="D64" i="3"/>
  <c r="D63" i="3"/>
  <c r="D62" i="3"/>
  <c r="D61" i="3"/>
  <c r="D60" i="3"/>
  <c r="D59" i="3"/>
  <c r="D58" i="3"/>
  <c r="D57" i="3"/>
  <c r="D55" i="3"/>
  <c r="D53" i="3"/>
  <c r="D52" i="3"/>
  <c r="D51" i="3"/>
  <c r="D50" i="3"/>
  <c r="D49" i="3"/>
  <c r="D47" i="3"/>
  <c r="D46" i="3"/>
  <c r="D41" i="3"/>
  <c r="D40" i="3"/>
  <c r="D39" i="3"/>
  <c r="D37" i="3"/>
  <c r="D36" i="3"/>
  <c r="D35" i="3"/>
  <c r="D29" i="3"/>
  <c r="D28" i="3"/>
  <c r="D27" i="3"/>
  <c r="D26" i="3"/>
  <c r="D25" i="3"/>
  <c r="D24" i="3"/>
  <c r="D23" i="3"/>
  <c r="D22" i="3"/>
  <c r="D20" i="3"/>
  <c r="D18" i="3"/>
  <c r="D17" i="3"/>
  <c r="D16" i="3"/>
  <c r="D14" i="3"/>
  <c r="D11" i="3"/>
  <c r="D10" i="3"/>
  <c r="D9" i="3"/>
  <c r="D7" i="3"/>
  <c r="D6" i="3"/>
  <c r="D4" i="3"/>
  <c r="G130" i="2"/>
  <c r="F130" i="2"/>
  <c r="E130" i="2"/>
  <c r="D130" i="2"/>
  <c r="G129" i="2"/>
  <c r="F129" i="2"/>
  <c r="E129" i="2"/>
  <c r="D129" i="2"/>
  <c r="C129" i="2"/>
  <c r="G128" i="2"/>
  <c r="F128" i="2"/>
  <c r="E128" i="2"/>
  <c r="D128" i="2"/>
  <c r="G127" i="2"/>
  <c r="F127" i="2"/>
  <c r="E127" i="2"/>
  <c r="D127" i="2"/>
  <c r="C127" i="2"/>
  <c r="G126" i="2"/>
  <c r="F126" i="2"/>
  <c r="E126" i="2"/>
  <c r="D126" i="2"/>
  <c r="C126" i="2"/>
  <c r="G125" i="2"/>
  <c r="F125" i="2"/>
  <c r="E125" i="2"/>
  <c r="D125" i="2"/>
  <c r="C125" i="2"/>
  <c r="G124" i="2"/>
  <c r="F124" i="2"/>
  <c r="E124" i="2"/>
  <c r="D124" i="2"/>
  <c r="G123" i="2"/>
  <c r="F123" i="2"/>
  <c r="E123" i="2"/>
  <c r="D123" i="2"/>
  <c r="G122" i="2"/>
  <c r="F122" i="2"/>
  <c r="E122" i="2"/>
  <c r="D122" i="2"/>
  <c r="C122" i="2"/>
  <c r="G121" i="2"/>
  <c r="F121" i="2"/>
  <c r="E121" i="2"/>
  <c r="D121" i="2"/>
  <c r="C121" i="2"/>
  <c r="G120" i="2"/>
  <c r="F120" i="2"/>
  <c r="E120" i="2"/>
  <c r="D120" i="2"/>
  <c r="C120" i="2"/>
  <c r="G119" i="2"/>
  <c r="F119" i="2"/>
  <c r="E119" i="2"/>
  <c r="D119" i="2"/>
  <c r="G118" i="2"/>
  <c r="F118" i="2"/>
  <c r="E118" i="2"/>
  <c r="D118" i="2"/>
  <c r="C118" i="2"/>
  <c r="G117" i="2"/>
  <c r="F117" i="2"/>
  <c r="E117" i="2"/>
  <c r="D117" i="2"/>
  <c r="G116" i="2"/>
  <c r="F116" i="2"/>
  <c r="E116" i="2"/>
  <c r="D116" i="2"/>
  <c r="C116" i="2"/>
  <c r="G115" i="2"/>
  <c r="F115" i="2"/>
  <c r="E115" i="2"/>
  <c r="D115" i="2"/>
  <c r="G114" i="2"/>
  <c r="F114" i="2"/>
  <c r="E114" i="2"/>
  <c r="D114" i="2"/>
  <c r="C114" i="2"/>
  <c r="G113" i="2"/>
  <c r="F113" i="2"/>
  <c r="E113" i="2"/>
  <c r="D113" i="2"/>
  <c r="G112" i="2"/>
  <c r="F112" i="2"/>
  <c r="E112" i="2"/>
  <c r="D112" i="2"/>
  <c r="G111" i="2"/>
  <c r="F111" i="2"/>
  <c r="E111" i="2"/>
  <c r="D111" i="2"/>
  <c r="G110" i="2"/>
  <c r="F110" i="2"/>
  <c r="E110" i="2"/>
  <c r="D110" i="2"/>
  <c r="C110" i="2"/>
  <c r="G109" i="2"/>
  <c r="F109" i="2"/>
  <c r="E109" i="2"/>
  <c r="D109" i="2"/>
  <c r="C109" i="2"/>
  <c r="G108" i="2"/>
  <c r="F108" i="2"/>
  <c r="E108" i="2"/>
  <c r="D108" i="2"/>
  <c r="G107" i="2"/>
  <c r="F107" i="2"/>
  <c r="E107" i="2"/>
  <c r="D107" i="2"/>
  <c r="C107" i="2"/>
  <c r="G106" i="2"/>
  <c r="F106" i="2"/>
  <c r="E106" i="2"/>
  <c r="D106" i="2"/>
  <c r="C106" i="2"/>
  <c r="G105" i="2"/>
  <c r="F105" i="2"/>
  <c r="E105" i="2"/>
  <c r="D105" i="2"/>
  <c r="C105" i="2"/>
  <c r="G104" i="2"/>
  <c r="F104" i="2"/>
  <c r="E104" i="2"/>
  <c r="D104" i="2"/>
  <c r="G103" i="2"/>
  <c r="F103" i="2"/>
  <c r="E103" i="2"/>
  <c r="D103" i="2"/>
  <c r="C103" i="2"/>
  <c r="G102" i="2"/>
  <c r="F102" i="2"/>
  <c r="E102" i="2"/>
  <c r="D102" i="2"/>
  <c r="G101" i="2"/>
  <c r="F101" i="2"/>
  <c r="E101" i="2"/>
  <c r="D101" i="2"/>
  <c r="G100" i="2"/>
  <c r="F100" i="2"/>
  <c r="E100" i="2"/>
  <c r="D100" i="2"/>
  <c r="C100" i="2"/>
  <c r="G99" i="2"/>
  <c r="F99" i="2"/>
  <c r="E99" i="2"/>
  <c r="D99" i="2"/>
  <c r="G98" i="2"/>
  <c r="F98" i="2"/>
  <c r="E98" i="2"/>
  <c r="D98" i="2"/>
  <c r="G97" i="2"/>
  <c r="F97" i="2"/>
  <c r="E97" i="2"/>
  <c r="D97" i="2"/>
  <c r="G96" i="2"/>
  <c r="F96" i="2"/>
  <c r="E96" i="2"/>
  <c r="D96" i="2"/>
  <c r="C96" i="2"/>
  <c r="G95" i="2"/>
  <c r="F95" i="2"/>
  <c r="E95" i="2"/>
  <c r="D95" i="2"/>
  <c r="G94" i="2"/>
  <c r="F94" i="2"/>
  <c r="E94" i="2"/>
  <c r="D94" i="2"/>
  <c r="C94" i="2"/>
  <c r="G93" i="2"/>
  <c r="F93" i="2"/>
  <c r="E93" i="2"/>
  <c r="D93" i="2"/>
  <c r="C93" i="2"/>
  <c r="G92" i="2"/>
  <c r="F92" i="2"/>
  <c r="E92" i="2"/>
  <c r="D92" i="2"/>
  <c r="C92" i="2"/>
  <c r="G91" i="2"/>
  <c r="F91" i="2"/>
  <c r="E91" i="2"/>
  <c r="D91" i="2"/>
  <c r="C91" i="2"/>
  <c r="G90" i="2"/>
  <c r="F90" i="2"/>
  <c r="E90" i="2"/>
  <c r="D90" i="2"/>
  <c r="C90" i="2"/>
  <c r="G89" i="2"/>
  <c r="F89" i="2"/>
  <c r="E89" i="2"/>
  <c r="D89" i="2"/>
  <c r="G88" i="2"/>
  <c r="F88" i="2"/>
  <c r="E88" i="2"/>
  <c r="D88" i="2"/>
  <c r="C88" i="2"/>
  <c r="G87" i="2"/>
  <c r="F87" i="2"/>
  <c r="E87" i="2"/>
  <c r="D87" i="2"/>
  <c r="C87" i="2"/>
  <c r="G86" i="2"/>
  <c r="F86" i="2"/>
  <c r="E86" i="2"/>
  <c r="D86" i="2"/>
  <c r="C86" i="2"/>
  <c r="G85" i="2"/>
  <c r="F85" i="2"/>
  <c r="E85" i="2"/>
  <c r="D85" i="2"/>
  <c r="C85" i="2"/>
  <c r="G84" i="2"/>
  <c r="F84" i="2"/>
  <c r="E84" i="2"/>
  <c r="D84" i="2"/>
  <c r="C84" i="2"/>
  <c r="G83" i="2"/>
  <c r="F83" i="2"/>
  <c r="E83" i="2"/>
  <c r="D83" i="2"/>
  <c r="C83" i="2"/>
  <c r="G82" i="2"/>
  <c r="F82" i="2"/>
  <c r="E82" i="2"/>
  <c r="D82" i="2"/>
  <c r="C82" i="2"/>
  <c r="G81" i="2"/>
  <c r="F81" i="2"/>
  <c r="E81" i="2"/>
  <c r="D81" i="2"/>
  <c r="C81" i="2"/>
  <c r="G80" i="2"/>
  <c r="F80" i="2"/>
  <c r="E80" i="2"/>
  <c r="D80" i="2"/>
  <c r="C80" i="2"/>
  <c r="G79" i="2"/>
  <c r="F79" i="2"/>
  <c r="E79" i="2"/>
  <c r="D79" i="2"/>
  <c r="G78" i="2"/>
  <c r="F78" i="2"/>
  <c r="E78" i="2"/>
  <c r="D78" i="2"/>
  <c r="C78" i="2"/>
  <c r="G77" i="2"/>
  <c r="F77" i="2"/>
  <c r="E77" i="2"/>
  <c r="D77" i="2"/>
  <c r="C77" i="2"/>
  <c r="G76" i="2"/>
  <c r="F76" i="2"/>
  <c r="E76" i="2"/>
  <c r="D76" i="2"/>
  <c r="G75" i="2"/>
  <c r="F75" i="2"/>
  <c r="E75" i="2"/>
  <c r="D75" i="2"/>
  <c r="C75" i="2"/>
  <c r="G74" i="2"/>
  <c r="F74" i="2"/>
  <c r="E74" i="2"/>
  <c r="D74" i="2"/>
  <c r="C74" i="2"/>
  <c r="G73" i="2"/>
  <c r="F73" i="2"/>
  <c r="E73" i="2"/>
  <c r="D73" i="2"/>
  <c r="C73" i="2"/>
  <c r="G72" i="2"/>
  <c r="F72" i="2"/>
  <c r="E72" i="2"/>
  <c r="D72" i="2"/>
  <c r="C72" i="2"/>
  <c r="G71" i="2"/>
  <c r="F71" i="2"/>
  <c r="E71" i="2"/>
  <c r="D71" i="2"/>
  <c r="G70" i="2"/>
  <c r="F70" i="2"/>
  <c r="E70" i="2"/>
  <c r="D70" i="2"/>
  <c r="G69" i="2"/>
  <c r="F69" i="2"/>
  <c r="E69" i="2"/>
  <c r="D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C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G61" i="2"/>
  <c r="F61" i="2"/>
  <c r="E61" i="2"/>
  <c r="D61" i="2"/>
  <c r="C61" i="2"/>
  <c r="G60" i="2"/>
  <c r="F60" i="2"/>
  <c r="E60" i="2"/>
  <c r="D60" i="2"/>
  <c r="C60" i="2"/>
  <c r="G59" i="2"/>
  <c r="F59" i="2"/>
  <c r="E59" i="2"/>
  <c r="D59" i="2"/>
  <c r="C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G55" i="2"/>
  <c r="F55" i="2"/>
  <c r="E55" i="2"/>
  <c r="D55" i="2"/>
  <c r="C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C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C47" i="2"/>
  <c r="G46" i="2"/>
  <c r="F46" i="2"/>
  <c r="E46" i="2"/>
  <c r="D46" i="2"/>
  <c r="C46" i="2"/>
  <c r="G45" i="2"/>
  <c r="F45" i="2"/>
  <c r="E45" i="2"/>
  <c r="D45" i="2"/>
  <c r="G44" i="2"/>
  <c r="F44" i="2"/>
  <c r="E44" i="2"/>
  <c r="D44" i="2"/>
  <c r="C44" i="2"/>
  <c r="G43" i="2"/>
  <c r="F43" i="2"/>
  <c r="E43" i="2"/>
  <c r="D43" i="2"/>
  <c r="C43" i="2"/>
  <c r="G42" i="2"/>
  <c r="F42" i="2"/>
  <c r="E42" i="2"/>
  <c r="D42" i="2"/>
  <c r="C42" i="2"/>
  <c r="G41" i="2"/>
  <c r="F41" i="2"/>
  <c r="E41" i="2"/>
  <c r="D41" i="2"/>
  <c r="C41" i="2"/>
  <c r="G40" i="2"/>
  <c r="F40" i="2"/>
  <c r="E40" i="2"/>
  <c r="D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7" i="2"/>
  <c r="F7" i="2"/>
  <c r="E7" i="2"/>
  <c r="D7" i="2"/>
  <c r="C7" i="2"/>
  <c r="G5" i="2"/>
  <c r="F5" i="2"/>
  <c r="C5" i="2"/>
  <c r="G114" i="1" l="1"/>
  <c r="F114" i="1"/>
  <c r="E114" i="1"/>
  <c r="D114" i="1"/>
  <c r="C114" i="1"/>
  <c r="B114" i="1"/>
  <c r="G113" i="1"/>
  <c r="F113" i="1"/>
  <c r="E113" i="1"/>
  <c r="D113" i="1"/>
  <c r="B113" i="1"/>
  <c r="G112" i="1"/>
  <c r="F112" i="1"/>
  <c r="E112" i="1"/>
  <c r="D112" i="1"/>
  <c r="C112" i="1"/>
  <c r="B112" i="1"/>
  <c r="G111" i="1"/>
  <c r="F111" i="1"/>
  <c r="E111" i="1"/>
  <c r="D111" i="1"/>
  <c r="B111" i="1"/>
  <c r="G110" i="1"/>
  <c r="F110" i="1"/>
  <c r="E110" i="1"/>
  <c r="D110" i="1"/>
  <c r="C110" i="1"/>
  <c r="B110" i="1"/>
  <c r="G109" i="1"/>
  <c r="F109" i="1"/>
  <c r="E109" i="1"/>
  <c r="D109" i="1"/>
  <c r="C109" i="1"/>
  <c r="B109" i="1"/>
  <c r="G108" i="1"/>
  <c r="F108" i="1"/>
  <c r="E108" i="1"/>
  <c r="D108" i="1"/>
  <c r="B108" i="1"/>
  <c r="G107" i="1"/>
  <c r="F107" i="1"/>
  <c r="E107" i="1"/>
  <c r="D107" i="1"/>
  <c r="C107" i="1"/>
  <c r="B107" i="1"/>
  <c r="G106" i="1"/>
  <c r="F106" i="1"/>
  <c r="E106" i="1"/>
  <c r="D106" i="1"/>
  <c r="B106" i="1"/>
  <c r="G105" i="1"/>
  <c r="F105" i="1"/>
  <c r="E105" i="1"/>
  <c r="D105" i="1"/>
  <c r="C105" i="1"/>
  <c r="B105" i="1"/>
  <c r="G104" i="1"/>
  <c r="F104" i="1"/>
  <c r="E104" i="1"/>
  <c r="D104" i="1"/>
  <c r="C104" i="1"/>
  <c r="B104" i="1"/>
  <c r="G103" i="1"/>
  <c r="F103" i="1"/>
  <c r="E103" i="1"/>
  <c r="D103" i="1"/>
  <c r="C103" i="1"/>
  <c r="B103" i="1"/>
  <c r="G102" i="1"/>
  <c r="F102" i="1"/>
  <c r="E102" i="1"/>
  <c r="D102" i="1"/>
  <c r="C102" i="1"/>
  <c r="B102" i="1"/>
  <c r="G101" i="1"/>
  <c r="F101" i="1"/>
  <c r="E101" i="1"/>
  <c r="D101" i="1"/>
  <c r="B101" i="1"/>
  <c r="G100" i="1"/>
  <c r="F100" i="1"/>
  <c r="E100" i="1"/>
  <c r="D100" i="1"/>
  <c r="B100" i="1"/>
  <c r="G99" i="1"/>
  <c r="F99" i="1"/>
  <c r="E99" i="1"/>
  <c r="D99" i="1"/>
  <c r="C99" i="1"/>
  <c r="B99" i="1"/>
  <c r="G98" i="1"/>
  <c r="F98" i="1"/>
  <c r="E98" i="1"/>
  <c r="D98" i="1"/>
  <c r="B98" i="1"/>
  <c r="G97" i="1"/>
  <c r="F97" i="1"/>
  <c r="E97" i="1"/>
  <c r="D97" i="1"/>
  <c r="C97" i="1"/>
  <c r="B97" i="1"/>
  <c r="G96" i="1"/>
  <c r="F96" i="1"/>
  <c r="E96" i="1"/>
  <c r="D96" i="1"/>
  <c r="B96" i="1"/>
  <c r="G95" i="1"/>
  <c r="F95" i="1"/>
  <c r="E95" i="1"/>
  <c r="D95" i="1"/>
  <c r="C95" i="1"/>
  <c r="B95" i="1"/>
  <c r="G94" i="1"/>
  <c r="F94" i="1"/>
  <c r="E94" i="1"/>
  <c r="D94" i="1"/>
  <c r="B94" i="1"/>
  <c r="G93" i="1"/>
  <c r="F93" i="1"/>
  <c r="E93" i="1"/>
  <c r="D93" i="1"/>
  <c r="C93" i="1"/>
  <c r="B93" i="1"/>
  <c r="G92" i="1"/>
  <c r="F92" i="1"/>
  <c r="E92" i="1"/>
  <c r="D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B85" i="1"/>
  <c r="G84" i="1"/>
  <c r="F84" i="1"/>
  <c r="E84" i="1"/>
  <c r="D84" i="1"/>
  <c r="B84" i="1"/>
  <c r="G83" i="1"/>
  <c r="F83" i="1"/>
  <c r="E83" i="1"/>
  <c r="D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B78" i="1"/>
  <c r="G77" i="1"/>
  <c r="F77" i="1"/>
  <c r="E77" i="1"/>
  <c r="D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2" i="1"/>
  <c r="F72" i="1"/>
  <c r="E72" i="1"/>
  <c r="D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B68" i="1"/>
  <c r="G67" i="1"/>
  <c r="F67" i="1"/>
  <c r="E67" i="1"/>
  <c r="D67" i="1"/>
  <c r="B67" i="1"/>
  <c r="G66" i="1"/>
  <c r="F66" i="1"/>
  <c r="E66" i="1"/>
  <c r="D66" i="1"/>
  <c r="B66" i="1"/>
  <c r="G65" i="1"/>
  <c r="F65" i="1"/>
  <c r="E65" i="1"/>
  <c r="D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B52" i="1"/>
  <c r="G51" i="1"/>
  <c r="F51" i="1"/>
  <c r="E51" i="1"/>
  <c r="D51" i="1"/>
  <c r="C51" i="1"/>
  <c r="B51" i="1"/>
  <c r="G50" i="1"/>
  <c r="F50" i="1"/>
  <c r="E50" i="1"/>
  <c r="D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G44" i="1"/>
  <c r="F44" i="1"/>
  <c r="E44" i="1"/>
  <c r="D44" i="1"/>
  <c r="C44" i="1"/>
  <c r="G43" i="1"/>
  <c r="F43" i="1"/>
  <c r="E43" i="1"/>
  <c r="D43" i="1"/>
  <c r="G42" i="1"/>
  <c r="F42" i="1"/>
  <c r="E42" i="1"/>
  <c r="D42" i="1"/>
  <c r="G41" i="1"/>
  <c r="F41" i="1"/>
  <c r="E41" i="1"/>
  <c r="D41" i="1"/>
  <c r="C41" i="1"/>
  <c r="G40" i="1"/>
  <c r="F40" i="1"/>
  <c r="E40" i="1"/>
  <c r="D40" i="1"/>
  <c r="G39" i="1"/>
  <c r="F39" i="1"/>
  <c r="E39" i="1"/>
  <c r="D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G24" i="1"/>
  <c r="F24" i="1"/>
  <c r="E24" i="1"/>
  <c r="D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G5" i="1"/>
  <c r="F5" i="1"/>
  <c r="C5" i="1"/>
</calcChain>
</file>

<file path=xl/sharedStrings.xml><?xml version="1.0" encoding="utf-8"?>
<sst xmlns="http://schemas.openxmlformats.org/spreadsheetml/2006/main" count="1129" uniqueCount="409">
  <si>
    <t>Structura, %</t>
  </si>
  <si>
    <t>România</t>
  </si>
  <si>
    <t>Italia</t>
  </si>
  <si>
    <t>Germania</t>
  </si>
  <si>
    <t>Polonia</t>
  </si>
  <si>
    <t>Bulgaria</t>
  </si>
  <si>
    <t>Austria</t>
  </si>
  <si>
    <t>Grecia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</si>
  <si>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</si>
  <si>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</si>
  <si>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</si>
  <si>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</si>
  <si>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</si>
  <si>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</si>
  <si>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</si>
  <si>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</si>
  <si>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</si>
  <si>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</si>
  <si>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</si>
  <si>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</si>
  <si>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</si>
  <si>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</si>
  <si>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</si>
  <si>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</si>
  <si>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</si>
  <si>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</si>
  <si>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</si>
  <si>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</si>
  <si>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</si>
  <si>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</si>
  <si>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</si>
  <si>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</si>
  <si>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</si>
  <si>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</si>
  <si>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</si>
  <si>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</si>
  <si>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</si>
  <si>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</si>
  <si>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</si>
  <si>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</si>
  <si>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</si>
  <si>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</si>
  <si>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</si>
  <si>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</si>
  <si>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</si>
  <si>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</si>
  <si>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</si>
  <si>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</si>
  <si>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</si>
  <si>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</si>
  <si>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</si>
  <si>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</si>
  <si>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</si>
  <si>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</si>
  <si>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</si>
  <si>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</si>
  <si>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</si>
  <si>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</si>
  <si>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</si>
  <si>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</si>
  <si>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</si>
  <si>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</si>
  <si>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</si>
  <si>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</si>
  <si>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</si>
  <si>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</si>
  <si>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</si>
  <si>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</si>
  <si>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</si>
  <si>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</si>
  <si>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</si>
  <si>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</si>
  <si>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</si>
  <si>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</si>
  <si>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</si>
  <si>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</si>
  <si>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</si>
  <si>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</si>
  <si>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</si>
  <si>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</si>
  <si>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</si>
  <si>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</si>
  <si>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</si>
  <si>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</si>
  <si>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</si>
  <si>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</si>
  <si>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</si>
  <si>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</si>
  <si>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</si>
  <si>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</si>
  <si>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</si>
  <si>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</si>
  <si>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</si>
  <si>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</si>
  <si>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</si>
  <si>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</si>
  <si>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</si>
  <si>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</si>
  <si>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</si>
  <si>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</si>
  <si>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</si>
  <si>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Qatar</t>
  </si>
  <si>
    <t>Ponderea, %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</si>
  <si>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</si>
  <si>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</si>
  <si>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</si>
  <si>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</si>
  <si>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</si>
  <si>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</si>
  <si>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</si>
  <si>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mii dolari             SUA</t>
  </si>
  <si>
    <t>IMPORT - total</t>
  </si>
  <si>
    <t>Etiopia</t>
  </si>
  <si>
    <t>Bahrain</t>
  </si>
  <si>
    <t xml:space="preserve">   din care:</t>
  </si>
  <si>
    <t xml:space="preserve">IMPORT - total      </t>
  </si>
  <si>
    <t>Macedonia de Nord</t>
  </si>
  <si>
    <t>Cote D'Ivoire</t>
  </si>
  <si>
    <t>Zimbabwe</t>
  </si>
  <si>
    <t>Camerun</t>
  </si>
  <si>
    <t xml:space="preserve">EXPORT - total      </t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</si>
  <si>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</si>
  <si>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</si>
  <si>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</si>
  <si>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</si>
  <si>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</si>
  <si>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</si>
  <si>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</si>
  <si>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</si>
  <si>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</si>
  <si>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</si>
  <si>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</si>
  <si>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</si>
  <si>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</si>
  <si>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</si>
  <si>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</si>
  <si>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</si>
  <si>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</si>
  <si>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</si>
  <si>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</si>
  <si>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</si>
  <si>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</si>
  <si>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</si>
  <si>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</si>
  <si>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</si>
  <si>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</si>
  <si>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</si>
  <si>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</si>
  <si>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</si>
  <si>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</si>
  <si>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</si>
  <si>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</si>
  <si>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</si>
  <si>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</si>
  <si>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</si>
  <si>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</si>
  <si>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</si>
  <si>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</si>
  <si>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</si>
  <si>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</si>
  <si>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</si>
  <si>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</si>
  <si>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</si>
  <si>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</si>
  <si>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</si>
  <si>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</si>
  <si>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</si>
  <si>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</si>
  <si>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</si>
  <si>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</si>
  <si>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</si>
  <si>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</si>
  <si>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</si>
  <si>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</si>
  <si>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</si>
  <si>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</si>
  <si>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</si>
  <si>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</si>
  <si>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</si>
  <si>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</si>
  <si>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</si>
  <si>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</si>
  <si>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</si>
  <si>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</si>
  <si>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</si>
  <si>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</si>
  <si>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de 2,2 ori</t>
  </si>
  <si>
    <t>de 1,8 ori</t>
  </si>
  <si>
    <t>Țările CSI - total</t>
  </si>
  <si>
    <t>Țările Uniunii Europene (UE-27)</t>
  </si>
  <si>
    <t xml:space="preserve">Țările CSI </t>
  </si>
  <si>
    <t xml:space="preserve">Celelalte țări ale lumii </t>
  </si>
  <si>
    <t>Afganistan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</si>
  <si>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</si>
  <si>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</si>
  <si>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</si>
  <si>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</si>
  <si>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</si>
  <si>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</si>
  <si>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</si>
  <si>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</si>
  <si>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</si>
  <si>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</si>
  <si>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</si>
  <si>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</si>
  <si>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</si>
  <si>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</si>
  <si>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</si>
  <si>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</si>
  <si>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</si>
  <si>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</si>
  <si>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</si>
  <si>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</si>
  <si>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</si>
  <si>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</si>
  <si>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</si>
  <si>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</si>
  <si>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</si>
  <si>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</si>
  <si>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</si>
  <si>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</si>
  <si>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</si>
  <si>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</si>
  <si>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</si>
  <si>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</si>
  <si>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</si>
  <si>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</si>
  <si>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</si>
  <si>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</si>
  <si>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</si>
  <si>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</si>
  <si>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</si>
  <si>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</si>
  <si>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</si>
  <si>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</si>
  <si>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</si>
  <si>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</si>
  <si>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</si>
  <si>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</si>
  <si>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</si>
  <si>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</si>
  <si>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</si>
  <si>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</si>
  <si>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</si>
  <si>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</si>
  <si>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</si>
  <si>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</si>
  <si>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</si>
  <si>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</si>
  <si>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</si>
  <si>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</si>
  <si>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</si>
  <si>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</si>
  <si>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</si>
  <si>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</si>
  <si>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</si>
  <si>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</si>
  <si>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</si>
  <si>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</si>
  <si>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</si>
  <si>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</si>
  <si>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</si>
  <si>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</si>
  <si>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23</t>
  </si>
  <si>
    <t>34</t>
  </si>
  <si>
    <t>9</t>
  </si>
  <si>
    <t>Cod CSCI</t>
  </si>
  <si>
    <t>conform Clasificării Standard de Comerţ Internaţional (CSCI)</t>
  </si>
  <si>
    <t xml:space="preserve">  ¹ În preţuri curente</t>
  </si>
  <si>
    <t>35</t>
  </si>
  <si>
    <t>Energie electrica</t>
  </si>
  <si>
    <t>Energie electrică</t>
  </si>
  <si>
    <t>BALANŢA COMERCIALĂ - total, mii dolari SUA</t>
  </si>
  <si>
    <t>Celelalte țări ale lumii</t>
  </si>
  <si>
    <t>Malawi</t>
  </si>
  <si>
    <t>Franța</t>
  </si>
  <si>
    <t>Croația</t>
  </si>
  <si>
    <t>Federația Rusă</t>
  </si>
  <si>
    <t>de 2,8 ori</t>
  </si>
  <si>
    <t>Cehia</t>
  </si>
  <si>
    <t>Kârgâzstan</t>
  </si>
  <si>
    <t>Taiwan, provincie a Chinei</t>
  </si>
  <si>
    <t>Insulele Feroe</t>
  </si>
  <si>
    <t>Burkina Faso</t>
  </si>
  <si>
    <t>Regatul Țărilor de Jos (Netherlands)</t>
  </si>
  <si>
    <t>Țările Uniunii Europene - total</t>
  </si>
  <si>
    <t>Gaz și produse industriale obținute din gaz</t>
  </si>
  <si>
    <t>de 2,6 ori</t>
  </si>
  <si>
    <t>de 2,3 ori</t>
  </si>
  <si>
    <t>Republica Dominicană</t>
  </si>
  <si>
    <t>Kosovo</t>
  </si>
  <si>
    <t>Tuvalu</t>
  </si>
  <si>
    <t>-</t>
  </si>
  <si>
    <t>Instrumente şi aparate profesionale, ştiinţifice şi de control</t>
  </si>
  <si>
    <t>Ciad</t>
  </si>
  <si>
    <t>de 3,7 ori</t>
  </si>
  <si>
    <t>de 4,2 ori</t>
  </si>
  <si>
    <t>Uganda</t>
  </si>
  <si>
    <t>Nepal</t>
  </si>
  <si>
    <t>BALANŢA COMERCIALĂ – total, mii dolari SUA</t>
  </si>
  <si>
    <t>Instrumente şi aparate, profesionale, ştiinţifice şi de control</t>
  </si>
  <si>
    <t>de 3,8 ori</t>
  </si>
  <si>
    <t>Algeria</t>
  </si>
  <si>
    <t>Kuwait</t>
  </si>
  <si>
    <t>Togo</t>
  </si>
  <si>
    <t>Lesotho</t>
  </si>
  <si>
    <t>Coreea de Nord</t>
  </si>
  <si>
    <t>Mauritania</t>
  </si>
  <si>
    <t>Nicaragua</t>
  </si>
  <si>
    <t>Liechtenstein</t>
  </si>
  <si>
    <t>Libia</t>
  </si>
  <si>
    <t>de 2,4 ori</t>
  </si>
  <si>
    <t>Sudan</t>
  </si>
  <si>
    <t>Muntenegru</t>
  </si>
  <si>
    <t>Belize</t>
  </si>
  <si>
    <t>Venezuela</t>
  </si>
  <si>
    <t>de 3,2 ori</t>
  </si>
  <si>
    <t>San Marino</t>
  </si>
  <si>
    <t>Mauritius</t>
  </si>
  <si>
    <t>Guatemala</t>
  </si>
  <si>
    <t>Laos</t>
  </si>
  <si>
    <t>de 4,0 ori</t>
  </si>
  <si>
    <t>Yemen</t>
  </si>
  <si>
    <t>Haiti</t>
  </si>
  <si>
    <t>Sierra Leone</t>
  </si>
  <si>
    <r>
      <t xml:space="preserve">  </t>
    </r>
    <r>
      <rPr>
        <b/>
        <vertAlign val="superscript"/>
        <sz val="8"/>
        <rFont val="Arial"/>
        <family val="2"/>
        <charset val="204"/>
      </rPr>
      <t>2</t>
    </r>
    <r>
      <rPr>
        <b/>
        <sz val="8"/>
        <rFont val="Arial"/>
        <family val="2"/>
        <charset val="204"/>
      </rPr>
      <t xml:space="preserve"> Faţă de anul precedent</t>
    </r>
  </si>
  <si>
    <r>
      <t xml:space="preserve">  </t>
    </r>
    <r>
      <rPr>
        <b/>
        <vertAlign val="superscript"/>
        <sz val="9"/>
        <rFont val="Arial"/>
        <family val="2"/>
        <charset val="204"/>
      </rPr>
      <t>2</t>
    </r>
    <r>
      <rPr>
        <b/>
        <sz val="9"/>
        <rFont val="Arial"/>
        <family val="2"/>
        <charset val="204"/>
      </rPr>
      <t xml:space="preserve"> Faţă de anul precedent</t>
    </r>
  </si>
  <si>
    <r>
      <rPr>
        <b/>
        <sz val="10"/>
        <rFont val="Arial"/>
        <family val="2"/>
        <charset val="204"/>
      </rPr>
      <t xml:space="preserve">Anexa 1.  </t>
    </r>
    <r>
      <rPr>
        <b/>
        <i/>
        <sz val="10"/>
        <rFont val="Arial"/>
        <family val="2"/>
        <charset val="204"/>
      </rPr>
      <t>Exporturile structurate pe principalele ţări de destinaţie a mărfurilor şi pe grupe de ţări</t>
    </r>
  </si>
  <si>
    <t>Cuba</t>
  </si>
  <si>
    <t>Paraguay</t>
  </si>
  <si>
    <r>
      <rPr>
        <b/>
        <sz val="10"/>
        <color indexed="8"/>
        <rFont val="Arial"/>
        <family val="2"/>
        <charset val="204"/>
      </rPr>
      <t xml:space="preserve">Anexa 2.  </t>
    </r>
    <r>
      <rPr>
        <b/>
        <i/>
        <sz val="10"/>
        <color indexed="8"/>
        <rFont val="Arial"/>
        <family val="2"/>
        <charset val="204"/>
      </rPr>
      <t>Importurile structurate pe principalele ţări de origine a mărfurilor şi pe grupe de ţări</t>
    </r>
  </si>
  <si>
    <t>Republica Arabă Siria</t>
  </si>
  <si>
    <t>Republica Unită Tanzania</t>
  </si>
  <si>
    <t>de 3,3 ori</t>
  </si>
  <si>
    <t>de 4,3 ori</t>
  </si>
  <si>
    <t>de 6,7 ori</t>
  </si>
  <si>
    <t>de 3,5 ori</t>
  </si>
  <si>
    <r>
      <rPr>
        <b/>
        <sz val="10"/>
        <color indexed="8"/>
        <rFont val="Arial"/>
        <family val="2"/>
        <charset val="204"/>
      </rPr>
      <t xml:space="preserve">Anexa 3.  </t>
    </r>
    <r>
      <rPr>
        <b/>
        <i/>
        <sz val="10"/>
        <color indexed="8"/>
        <rFont val="Arial"/>
        <family val="2"/>
        <charset val="204"/>
      </rPr>
      <t>Balanţa comercială structurată pe principalele ţări şi pe grupe de ţări</t>
    </r>
  </si>
  <si>
    <r>
      <rPr>
        <b/>
        <sz val="10"/>
        <rFont val="Arial"/>
        <family val="2"/>
        <charset val="204"/>
      </rPr>
      <t xml:space="preserve">Anexa 4.  </t>
    </r>
    <r>
      <rPr>
        <b/>
        <i/>
        <sz val="10"/>
        <rFont val="Arial"/>
        <family val="2"/>
        <charset val="204"/>
      </rPr>
      <t xml:space="preserve">Exporturile structurate după modul de transport al mărfurilor </t>
    </r>
  </si>
  <si>
    <t>de 91,3 ori</t>
  </si>
  <si>
    <r>
      <rPr>
        <b/>
        <sz val="10"/>
        <rFont val="Arial"/>
        <family val="2"/>
        <charset val="204"/>
      </rPr>
      <t>Anexa 5.</t>
    </r>
    <r>
      <rPr>
        <b/>
        <i/>
        <sz val="10"/>
        <rFont val="Arial"/>
        <family val="2"/>
        <charset val="204"/>
      </rPr>
      <t xml:space="preserve">  Importurile structurate după modul de transport al mărfurilor </t>
    </r>
  </si>
  <si>
    <r>
      <rPr>
        <b/>
        <sz val="10"/>
        <color indexed="8"/>
        <rFont val="Arial"/>
        <family val="2"/>
        <charset val="204"/>
      </rPr>
      <t>Anexa 6.</t>
    </r>
    <r>
      <rPr>
        <b/>
        <i/>
        <sz val="10"/>
        <color indexed="8"/>
        <rFont val="Arial"/>
        <family val="2"/>
        <charset val="204"/>
      </rPr>
      <t xml:space="preserve">  Exporturile structurate pe grupe de mărfuri, </t>
    </r>
  </si>
  <si>
    <t>de 6,2 ori</t>
  </si>
  <si>
    <t>Gradul de influenţă a grupelor de mărfuri  la creşterea (+),  scăderea (-) exporturilor, %</t>
  </si>
  <si>
    <t>Gradul de influenţă a ţărilor, grupelor de ţări  la              creşterea (+),  scăderea (-) importurilor, %</t>
  </si>
  <si>
    <t>Gradul de influenţă a ţărilor, grupelor de ţări  la              creşterea (+),  scăderea (-) exporturilor, %</t>
  </si>
  <si>
    <t>Gradul de influenţă a grupelor de mărfuri  la creşterea (+),  scăderea (-) importurilor, %</t>
  </si>
  <si>
    <r>
      <rPr>
        <b/>
        <sz val="10"/>
        <color indexed="8"/>
        <rFont val="Arial"/>
        <family val="2"/>
        <charset val="204"/>
      </rPr>
      <t>Anexa 7.</t>
    </r>
    <r>
      <rPr>
        <b/>
        <i/>
        <sz val="10"/>
        <color indexed="8"/>
        <rFont val="Arial"/>
        <family val="2"/>
        <charset val="204"/>
      </rPr>
      <t xml:space="preserve">  Importurile structurate pe grupe de mărfuri, </t>
    </r>
  </si>
  <si>
    <r>
      <rPr>
        <b/>
        <sz val="10"/>
        <color indexed="8"/>
        <rFont val="Arial"/>
        <family val="2"/>
        <charset val="204"/>
      </rPr>
      <t xml:space="preserve">Anexa 8.  </t>
    </r>
    <r>
      <rPr>
        <b/>
        <i/>
        <sz val="10"/>
        <color indexed="8"/>
        <rFont val="Arial"/>
        <family val="2"/>
        <charset val="204"/>
      </rPr>
      <t xml:space="preserve">Balanţa comercială structurată pe grupe de mărfuri, </t>
    </r>
  </si>
  <si>
    <t>de 7,3 ori</t>
  </si>
  <si>
    <t>de 21,2 ori</t>
  </si>
  <si>
    <t>de 132,0 ori</t>
  </si>
  <si>
    <t>de 4,1 ori</t>
  </si>
  <si>
    <t>de 102,8 ori</t>
  </si>
  <si>
    <t>de 2,5 ori</t>
  </si>
  <si>
    <t>de 120,1 ori</t>
  </si>
  <si>
    <t>de 4,6 ori</t>
  </si>
  <si>
    <t>Regatul Unit al Marii Britanii și Irlandei de Nord</t>
  </si>
  <si>
    <t>Elveția</t>
  </si>
  <si>
    <t>Șri Lanka</t>
  </si>
  <si>
    <t xml:space="preserve"> Ianuarie-august 2023</t>
  </si>
  <si>
    <t>ianuarie-august 2022</t>
  </si>
  <si>
    <t>ianuarie-august 2023</t>
  </si>
  <si>
    <t>Ianuarie-august    2022</t>
  </si>
  <si>
    <t>Ianuarie-august    2023</t>
  </si>
  <si>
    <t>Ianuarie-august 2023</t>
  </si>
  <si>
    <t>Ianuarie-august        2022</t>
  </si>
  <si>
    <t>Ianuarie-august         2023</t>
  </si>
  <si>
    <r>
      <t>în % faţă de ianuarie-august 2022</t>
    </r>
    <r>
      <rPr>
        <b/>
        <vertAlign val="superscript"/>
        <sz val="9"/>
        <rFont val="Arial"/>
        <family val="2"/>
        <charset val="204"/>
      </rPr>
      <t>1</t>
    </r>
  </si>
  <si>
    <r>
      <t>ianuarie-august 2022</t>
    </r>
    <r>
      <rPr>
        <b/>
        <vertAlign val="superscript"/>
        <sz val="9"/>
        <rFont val="Arial"/>
        <family val="2"/>
        <charset val="204"/>
      </rPr>
      <t>1,2</t>
    </r>
  </si>
  <si>
    <r>
      <t>ianuarie-august 2023</t>
    </r>
    <r>
      <rPr>
        <b/>
        <vertAlign val="superscript"/>
        <sz val="9"/>
        <rFont val="Arial"/>
        <family val="2"/>
        <charset val="204"/>
      </rPr>
      <t>1,2</t>
    </r>
  </si>
  <si>
    <r>
      <t>Ianuarie-august 2023
în % faţă de ianuarie-august 
2022</t>
    </r>
    <r>
      <rPr>
        <b/>
        <vertAlign val="superscript"/>
        <sz val="9"/>
        <color rgb="FF000000"/>
        <rFont val="Arial"/>
        <family val="2"/>
        <charset val="204"/>
      </rPr>
      <t>1</t>
    </r>
  </si>
  <si>
    <r>
      <t>în % faţă de 
ianuarie-august 2022</t>
    </r>
    <r>
      <rPr>
        <b/>
        <vertAlign val="superscript"/>
        <sz val="9"/>
        <rFont val="Arial"/>
        <family val="2"/>
        <charset val="204"/>
      </rPr>
      <t>1</t>
    </r>
  </si>
  <si>
    <r>
      <t>Ianuarie-august 2023
în % faţă de ianuarie-august 2022</t>
    </r>
    <r>
      <rPr>
        <b/>
        <vertAlign val="superscript"/>
        <sz val="9"/>
        <color rgb="FF000000"/>
        <rFont val="Arial"/>
        <family val="2"/>
        <charset val="204"/>
      </rPr>
      <t>1</t>
    </r>
  </si>
  <si>
    <r>
      <t>în % faţă de ianuarie-august 2022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</t>
    </r>
  </si>
  <si>
    <r>
      <t>în % faţă de ianuarie-august 2022</t>
    </r>
    <r>
      <rPr>
        <b/>
        <vertAlign val="superscript"/>
        <sz val="9"/>
        <rFont val="Arial"/>
        <family val="2"/>
        <charset val="204"/>
      </rPr>
      <t xml:space="preserve">1 </t>
    </r>
  </si>
  <si>
    <t>Mozambic</t>
  </si>
  <si>
    <t>Palau</t>
  </si>
  <si>
    <t>Bosnia și Herțegovina</t>
  </si>
  <si>
    <t>de 3,1 ori</t>
  </si>
  <si>
    <t>de 6,4 ori</t>
  </si>
  <si>
    <t>de 10,4 ori</t>
  </si>
  <si>
    <t>de 6,5 ori</t>
  </si>
  <si>
    <t>de 12,4 ori</t>
  </si>
  <si>
    <t>de 35,4 ori</t>
  </si>
  <si>
    <t>de 4,4 ori</t>
  </si>
  <si>
    <t>de 25,0 ori</t>
  </si>
  <si>
    <t>Senegal</t>
  </si>
  <si>
    <t>Barbados</t>
  </si>
  <si>
    <t>Eswatini</t>
  </si>
  <si>
    <t>Trinidad și Tobago</t>
  </si>
  <si>
    <t>de 34,3 ori</t>
  </si>
  <si>
    <t>de 28,0 ori</t>
  </si>
  <si>
    <t>de 610,6 ori</t>
  </si>
  <si>
    <t>de 1259,5 ori</t>
  </si>
  <si>
    <t>de 55,7 ori</t>
  </si>
  <si>
    <t>de 1126,8 ori</t>
  </si>
  <si>
    <t>de 3,0 ori</t>
  </si>
  <si>
    <t>de 5,2 ori</t>
  </si>
  <si>
    <t>de 5,6 ori</t>
  </si>
  <si>
    <t>de 5,8 ori</t>
  </si>
  <si>
    <t>de 114,7 ori</t>
  </si>
  <si>
    <t>Mărfuri manufacturate, clasificate mai ales după materia primă</t>
  </si>
  <si>
    <r>
      <t xml:space="preserve"> </t>
    </r>
    <r>
      <rPr>
        <sz val="9"/>
        <rFont val="Arial"/>
        <family val="2"/>
        <charset val="204"/>
      </rPr>
      <t xml:space="preserve">  din care:</t>
    </r>
  </si>
  <si>
    <t>de 2,7 ori</t>
  </si>
  <si>
    <t>Mărfuri manufacturate, clasificate iulie ales după materia primă</t>
  </si>
  <si>
    <t xml:space="preserve">   EXPORT - total</t>
  </si>
  <si>
    <t xml:space="preserve">      din care:</t>
  </si>
  <si>
    <t>Mărfuri produse în UE, la care țara de origine nu poate fi identificată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</si>
</sst>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 x14ac:knownFonts="1">
    <font>
      <sz val="12"/>
      <color indexed="8"/>
      <name val="Times New Roman"/>
      <family val="2"/>
      <charset val="238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vertAlign val="superscript"/>
      <sz val="8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Times New Roman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sz val="8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vertAlign val="superscript"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5" fillId="0" borderId="0"/>
    <xf numFmtId="0" fontId="10" fillId="0" borderId="0"/>
    <xf numFmtId="0" fontId="5" fillId="0" borderId="0"/>
  </cellStyleXfs>
  <cellXfs count="103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" fontId="0" fillId="0" borderId="0" xfId="0" applyNumberForma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right" vertical="top" indent="1"/>
    </xf>
    <xf numFmtId="0" fontId="17" fillId="0" borderId="0" xfId="0" applyFont="1" applyAlignment="1">
      <alignment horizontal="left" vertical="top" wrapText="1" indent="1"/>
    </xf>
    <xf numFmtId="4" fontId="17" fillId="0" borderId="0" xfId="0" applyNumberFormat="1" applyFont="1" applyAlignment="1">
      <alignment horizontal="right" vertical="top"/>
    </xf>
    <xf numFmtId="38" fontId="18" fillId="0" borderId="0" xfId="0" applyNumberFormat="1" applyFont="1" applyAlignment="1">
      <alignment horizontal="left" vertical="top" wrapText="1" indent="1"/>
    </xf>
    <xf numFmtId="4" fontId="18" fillId="0" borderId="0" xfId="0" applyNumberFormat="1" applyFont="1" applyAlignment="1">
      <alignment horizontal="right" vertical="top"/>
    </xf>
    <xf numFmtId="4" fontId="21" fillId="0" borderId="0" xfId="0" applyNumberFormat="1" applyFont="1" applyAlignment="1">
      <alignment horizontal="right" vertical="top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24" fillId="0" borderId="0" xfId="0" applyFont="1"/>
    <xf numFmtId="0" fontId="25" fillId="0" borderId="0" xfId="0" applyFont="1"/>
    <xf numFmtId="4" fontId="12" fillId="0" borderId="0" xfId="0" applyNumberFormat="1" applyFont="1" applyAlignment="1">
      <alignment horizontal="right" vertical="top" indent="1"/>
    </xf>
    <xf numFmtId="0" fontId="18" fillId="0" borderId="0" xfId="0" applyFont="1" applyAlignment="1">
      <alignment horizontal="left" vertical="top" wrapText="1" indent="1"/>
    </xf>
    <xf numFmtId="4" fontId="17" fillId="0" borderId="0" xfId="0" applyNumberFormat="1" applyFont="1" applyAlignment="1">
      <alignment horizontal="right" vertical="top" indent="1"/>
    </xf>
    <xf numFmtId="4" fontId="18" fillId="0" borderId="0" xfId="0" applyNumberFormat="1" applyFont="1" applyAlignment="1">
      <alignment horizontal="right" vertical="top" indent="1"/>
    </xf>
    <xf numFmtId="38" fontId="18" fillId="0" borderId="3" xfId="0" applyNumberFormat="1" applyFont="1" applyBorder="1" applyAlignment="1">
      <alignment horizontal="left" vertical="top" wrapText="1" indent="1"/>
    </xf>
    <xf numFmtId="4" fontId="21" fillId="0" borderId="3" xfId="0" applyNumberFormat="1" applyFont="1" applyBorder="1" applyAlignment="1">
      <alignment horizontal="right" vertical="top"/>
    </xf>
    <xf numFmtId="4" fontId="18" fillId="0" borderId="3" xfId="0" applyNumberFormat="1" applyFont="1" applyBorder="1" applyAlignment="1">
      <alignment horizontal="right" vertical="top" indent="1"/>
    </xf>
    <xf numFmtId="0" fontId="12" fillId="0" borderId="5" xfId="0" applyFont="1" applyBorder="1" applyAlignment="1">
      <alignment horizontal="left" vertical="top" wrapText="1" indent="1"/>
    </xf>
    <xf numFmtId="4" fontId="1" fillId="0" borderId="0" xfId="0" applyNumberFormat="1" applyFont="1"/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" fontId="29" fillId="0" borderId="0" xfId="0" applyNumberFormat="1" applyFont="1" applyAlignment="1">
      <alignment horizontal="right" vertical="top" indent="1"/>
    </xf>
    <xf numFmtId="4" fontId="21" fillId="0" borderId="0" xfId="0" applyNumberFormat="1" applyFont="1" applyAlignment="1">
      <alignment horizontal="right" vertical="top" indent="1"/>
    </xf>
    <xf numFmtId="0" fontId="30" fillId="0" borderId="0" xfId="0" applyFont="1"/>
    <xf numFmtId="4" fontId="12" fillId="0" borderId="5" xfId="0" applyNumberFormat="1" applyFont="1" applyBorder="1" applyAlignment="1">
      <alignment horizontal="right" vertical="top" indent="1"/>
    </xf>
    <xf numFmtId="4" fontId="18" fillId="0" borderId="0" xfId="0" applyNumberFormat="1" applyFont="1" applyAlignment="1">
      <alignment horizontal="right" vertical="top" wrapText="1" indent="1"/>
    </xf>
    <xf numFmtId="0" fontId="22" fillId="0" borderId="0" xfId="0" applyFont="1" applyAlignment="1">
      <alignment vertical="top" wrapText="1"/>
    </xf>
    <xf numFmtId="0" fontId="18" fillId="0" borderId="3" xfId="0" applyFont="1" applyBorder="1" applyAlignment="1">
      <alignment horizontal="left" vertical="top" wrapText="1" indent="1"/>
    </xf>
    <xf numFmtId="4" fontId="21" fillId="0" borderId="3" xfId="0" applyNumberFormat="1" applyFont="1" applyBorder="1" applyAlignment="1">
      <alignment horizontal="right" vertical="top" indent="1"/>
    </xf>
    <xf numFmtId="0" fontId="31" fillId="0" borderId="0" xfId="0" applyFont="1"/>
    <xf numFmtId="0" fontId="32" fillId="0" borderId="0" xfId="0" applyFont="1"/>
    <xf numFmtId="38" fontId="14" fillId="0" borderId="0" xfId="0" applyNumberFormat="1" applyFont="1" applyAlignment="1">
      <alignment horizontal="left" wrapText="1"/>
    </xf>
    <xf numFmtId="0" fontId="33" fillId="0" borderId="0" xfId="0" applyFont="1"/>
    <xf numFmtId="4" fontId="17" fillId="0" borderId="0" xfId="0" applyNumberFormat="1" applyFont="1" applyAlignment="1">
      <alignment horizontal="right" vertical="top" wrapText="1" indent="1"/>
    </xf>
    <xf numFmtId="38" fontId="17" fillId="0" borderId="0" xfId="0" applyNumberFormat="1" applyFont="1" applyAlignment="1">
      <alignment horizontal="center" vertical="top"/>
    </xf>
    <xf numFmtId="38" fontId="17" fillId="0" borderId="0" xfId="0" applyNumberFormat="1" applyFont="1" applyAlignment="1">
      <alignment horizontal="left" vertical="top" wrapText="1"/>
    </xf>
    <xf numFmtId="38" fontId="18" fillId="0" borderId="0" xfId="0" applyNumberFormat="1" applyFont="1" applyAlignment="1">
      <alignment horizontal="center" vertical="top"/>
    </xf>
    <xf numFmtId="38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top"/>
    </xf>
    <xf numFmtId="38" fontId="17" fillId="0" borderId="3" xfId="0" applyNumberFormat="1" applyFont="1" applyBorder="1" applyAlignment="1">
      <alignment horizontal="center" vertical="top"/>
    </xf>
    <xf numFmtId="38" fontId="17" fillId="0" borderId="3" xfId="0" applyNumberFormat="1" applyFont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center" vertical="top"/>
    </xf>
    <xf numFmtId="0" fontId="12" fillId="0" borderId="5" xfId="0" applyFont="1" applyBorder="1" applyAlignment="1">
      <alignment horizontal="left" vertical="top" wrapText="1"/>
    </xf>
    <xf numFmtId="4" fontId="12" fillId="0" borderId="5" xfId="0" applyNumberFormat="1" applyFont="1" applyBorder="1" applyAlignment="1">
      <alignment horizontal="right" vertical="top"/>
    </xf>
    <xf numFmtId="0" fontId="22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4" fontId="17" fillId="0" borderId="3" xfId="0" applyNumberFormat="1" applyFont="1" applyBorder="1" applyAlignment="1">
      <alignment horizontal="right" vertical="top" indent="1"/>
    </xf>
    <xf numFmtId="164" fontId="18" fillId="0" borderId="0" xfId="0" applyNumberFormat="1" applyFont="1" applyAlignment="1">
      <alignment horizontal="right" vertical="top" indent="1"/>
    </xf>
    <xf numFmtId="0" fontId="5" fillId="0" borderId="0" xfId="0" applyFont="1" applyAlignment="1">
      <alignment horizontal="center" vertical="top"/>
    </xf>
    <xf numFmtId="4" fontId="18" fillId="0" borderId="3" xfId="0" applyNumberFormat="1" applyFont="1" applyBorder="1" applyAlignment="1">
      <alignment horizontal="right" vertical="top"/>
    </xf>
    <xf numFmtId="4" fontId="12" fillId="0" borderId="5" xfId="0" applyNumberFormat="1" applyFont="1" applyBorder="1" applyAlignment="1">
      <alignment horizontal="right" vertical="top" wrapText="1" indent="1"/>
    </xf>
    <xf numFmtId="0" fontId="21" fillId="0" borderId="0" xfId="0" applyFont="1" applyAlignment="1">
      <alignment horizontal="left" vertical="top" indent="1"/>
    </xf>
    <xf numFmtId="0" fontId="21" fillId="0" borderId="3" xfId="0" applyFont="1" applyBorder="1" applyAlignment="1">
      <alignment horizontal="left" vertical="top" indent="1"/>
    </xf>
    <xf numFmtId="4" fontId="17" fillId="0" borderId="5" xfId="0" applyNumberFormat="1" applyFont="1" applyBorder="1" applyAlignment="1">
      <alignment horizontal="right" vertical="top" indent="1"/>
    </xf>
    <xf numFmtId="4" fontId="20" fillId="0" borderId="0" xfId="0" applyNumberFormat="1" applyFont="1" applyAlignment="1">
      <alignment horizontal="right" vertical="top" wrapText="1" indent="1"/>
    </xf>
    <xf numFmtId="0" fontId="21" fillId="0" borderId="0" xfId="0" applyFont="1" applyAlignment="1">
      <alignment horizontal="right" vertical="top" indent="1"/>
    </xf>
    <xf numFmtId="4" fontId="34" fillId="0" borderId="0" xfId="0" applyNumberFormat="1" applyFont="1" applyAlignment="1">
      <alignment horizontal="right" vertical="top" indent="1"/>
    </xf>
    <xf numFmtId="0" fontId="17" fillId="0" borderId="0" xfId="0" applyFont="1" applyAlignment="1">
      <alignment horizontal="left" vertical="top" wrapText="1"/>
    </xf>
    <xf numFmtId="4" fontId="20" fillId="0" borderId="0" xfId="0" applyNumberFormat="1" applyFont="1" applyAlignment="1">
      <alignment horizontal="right" vertical="top"/>
    </xf>
    <xf numFmtId="4" fontId="30" fillId="0" borderId="0" xfId="0" applyNumberFormat="1" applyFont="1" applyAlignment="1">
      <alignment horizontal="right" vertical="top" indent="1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34" fillId="0" borderId="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0" fillId="0" borderId="6" xfId="0" applyFont="1" applyBorder="1" applyAlignment="1">
      <alignment vertical="top" wrapText="1"/>
    </xf>
    <xf numFmtId="0" fontId="30" fillId="0" borderId="7" xfId="0" applyFont="1" applyBorder="1" applyAlignment="1">
      <alignment vertical="top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/>
    </xf>
  </cellXfs>
  <cellStyles count="6">
    <cellStyle name="Normal" xfId="0" builtinId="0"/>
    <cellStyle name="Normal 2" xfId="4" xr:uid="{00000000-0005-0000-0000-000000000000}"/>
    <cellStyle name="Normal 3" xfId="3" xr:uid="{00000000-0005-0000-0000-000001000000}"/>
    <cellStyle name="Обычный 2" xfId="1" xr:uid="{00000000-0005-0000-0000-000003000000}"/>
    <cellStyle name="Обычный 3" xfId="2" xr:uid="{00000000-0005-0000-0000-000004000000}"/>
    <cellStyle name="Обычный 3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116"/>
  <sheetViews>
    <sheetView tabSelected="1" zoomScale="99" zoomScaleNormal="99" workbookViewId="0">
      <selection sqref="A1:G1"/>
    </sheetView>
  </sheetViews>
  <sheetFormatPr defaultRowHeight="15.6" x14ac:dyDescent="0.3"/>
  <cols>
    <col min="1" max="1" width="29.19921875" style="24" customWidth="1"/>
    <col min="2" max="2" width="11.69921875" style="24" customWidth="1"/>
    <col min="3" max="3" width="10.59765625" style="25" customWidth="1"/>
    <col min="4" max="4" width="9" style="24" customWidth="1"/>
    <col min="5" max="5" width="8.69921875" style="24" customWidth="1"/>
    <col min="6" max="6" width="10.59765625" style="24" customWidth="1"/>
    <col min="7" max="7" width="10" style="24" customWidth="1"/>
    <col min="9" max="9" width="8.8984375" customWidth="1"/>
  </cols>
  <sheetData>
    <row r="1" spans="1:9" x14ac:dyDescent="0.3">
      <c r="A1" s="82" t="s">
        <v>327</v>
      </c>
      <c r="B1" s="82"/>
      <c r="C1" s="82"/>
      <c r="D1" s="82"/>
      <c r="E1" s="82"/>
      <c r="F1" s="82"/>
      <c r="G1" s="82"/>
    </row>
    <row r="2" spans="1:9" x14ac:dyDescent="0.3">
      <c r="A2" s="91"/>
      <c r="B2" s="91"/>
      <c r="C2" s="91"/>
      <c r="D2" s="91"/>
      <c r="E2" s="91"/>
      <c r="F2" s="91"/>
      <c r="G2" s="91"/>
    </row>
    <row r="3" spans="1:9" ht="54" customHeight="1" x14ac:dyDescent="0.3">
      <c r="A3" s="83"/>
      <c r="B3" s="85" t="s">
        <v>360</v>
      </c>
      <c r="C3" s="86"/>
      <c r="D3" s="87" t="s">
        <v>102</v>
      </c>
      <c r="E3" s="88"/>
      <c r="F3" s="89" t="s">
        <v>345</v>
      </c>
      <c r="G3" s="90"/>
    </row>
    <row r="4" spans="1:9" ht="42.75" customHeight="1" x14ac:dyDescent="0.3">
      <c r="A4" s="84"/>
      <c r="B4" s="15" t="s">
        <v>94</v>
      </c>
      <c r="C4" s="14" t="s">
        <v>368</v>
      </c>
      <c r="D4" s="15" t="s">
        <v>361</v>
      </c>
      <c r="E4" s="15" t="s">
        <v>362</v>
      </c>
      <c r="F4" s="15" t="s">
        <v>369</v>
      </c>
      <c r="G4" s="13" t="s">
        <v>370</v>
      </c>
    </row>
    <row r="5" spans="1:9" s="26" customFormat="1" ht="15.75" customHeight="1" x14ac:dyDescent="0.25">
      <c r="A5" s="62" t="s">
        <v>406</v>
      </c>
      <c r="B5" s="63">
        <v>2667989.8523599999</v>
      </c>
      <c r="C5" s="43">
        <f>IF(2959029.60112="","-",2667989.85236/2959029.60112*100)</f>
        <v>90.164351561409163</v>
      </c>
      <c r="D5" s="43">
        <v>100</v>
      </c>
      <c r="E5" s="43">
        <v>100</v>
      </c>
      <c r="F5" s="43">
        <f>IF(1808523.91457="","-",(2959029.60112-1808523.91457)/1808523.91457*100)</f>
        <v>63.615729782790694</v>
      </c>
      <c r="G5" s="43">
        <f>IF(2959029.60112="","-",(2667989.85236-2959029.60112)/2959029.60112*100)</f>
        <v>-9.8356484385908356</v>
      </c>
    </row>
    <row r="6" spans="1:9" ht="13.5" customHeight="1" x14ac:dyDescent="0.3">
      <c r="A6" s="66" t="s">
        <v>407</v>
      </c>
      <c r="B6" s="16"/>
      <c r="C6" s="16"/>
      <c r="D6" s="16"/>
      <c r="E6" s="16"/>
      <c r="F6" s="16"/>
      <c r="G6" s="16"/>
    </row>
    <row r="7" spans="1:9" ht="24" x14ac:dyDescent="0.3">
      <c r="A7" s="17" t="s">
        <v>122</v>
      </c>
      <c r="B7" s="18">
        <v>1682936.97407</v>
      </c>
      <c r="C7" s="31">
        <f>IF(1759217.0349="","-",1682936.97407/1759217.0349*100)</f>
        <v>95.663976682994317</v>
      </c>
      <c r="D7" s="31">
        <f>IF(1759217.0349="","-",1759217.0349/2959029.60112*100)</f>
        <v>59.452498691940505</v>
      </c>
      <c r="E7" s="31">
        <f>IF(1682936.97407="","-",1682936.97407/2667989.85236*100)</f>
        <v>63.078837147050592</v>
      </c>
      <c r="F7" s="31">
        <f>IF(1808523.91457="","-",(1759217.0349-1131961.86572)/1808523.91457*100)</f>
        <v>34.683266509590958</v>
      </c>
      <c r="G7" s="31">
        <f>IF(2959029.60112="","-",(1682936.97407-1759217.0349)/2959029.60112*100)</f>
        <v>-2.5778742058250415</v>
      </c>
      <c r="I7" s="7"/>
    </row>
    <row r="8" spans="1:9" ht="15.75" customHeight="1" x14ac:dyDescent="0.3">
      <c r="A8" s="19" t="s">
        <v>1</v>
      </c>
      <c r="B8" s="20">
        <v>888774.60725999996</v>
      </c>
      <c r="C8" s="32">
        <f>IF(OR(836554.26489="",888774.60726=""),"-",888774.60726/836554.26489*100)</f>
        <v>106.24231380577164</v>
      </c>
      <c r="D8" s="32">
        <f>IF(836554.26489="","-",836554.26489/2959029.60112*100)</f>
        <v>28.271236778887314</v>
      </c>
      <c r="E8" s="32">
        <f>IF(888774.60726="","-",888774.60726/2667989.85236*100)</f>
        <v>33.312518279401424</v>
      </c>
      <c r="F8" s="32">
        <f>IF(OR(1808523.91457="",495361.60105="",836554.26489=""),"-",(836554.26489-495361.60105)/1808523.91457*100)</f>
        <v>18.865808800826557</v>
      </c>
      <c r="G8" s="32">
        <f>IF(OR(2959029.60112="",888774.60726="",836554.26489=""),"-",(888774.60726-836554.26489)/2959029.60112*100)</f>
        <v>1.7647793165108738</v>
      </c>
    </row>
    <row r="9" spans="1:9" ht="15.75" customHeight="1" x14ac:dyDescent="0.3">
      <c r="A9" s="19" t="s">
        <v>2</v>
      </c>
      <c r="B9" s="20">
        <v>181399.18536999999</v>
      </c>
      <c r="C9" s="32">
        <f>IF(OR(242489.58473="",181399.18537=""),"-",181399.18537/242489.58473*100)</f>
        <v>74.807000709733117</v>
      </c>
      <c r="D9" s="32">
        <f>IF(242489.58473="","-",242489.58473/2959029.60112*100)</f>
        <v>8.1949022962871716</v>
      </c>
      <c r="E9" s="32">
        <f>IF(181399.18537="","-",181399.18537/2667989.85236*100)</f>
        <v>6.7990957765278361</v>
      </c>
      <c r="F9" s="32">
        <f>IF(OR(1808523.91457="",138686.14444="",242489.58473=""),"-",(242489.58473-138686.14444)/1808523.91457*100)</f>
        <v>5.7396775046063251</v>
      </c>
      <c r="G9" s="32">
        <f>IF(OR(2959029.60112="",181399.18537="",242489.58473=""),"-",(181399.18537-242489.58473)/2959029.60112*100)</f>
        <v>-2.0645416773416918</v>
      </c>
    </row>
    <row r="10" spans="1:9" ht="13.5" customHeight="1" x14ac:dyDescent="0.3">
      <c r="A10" s="19" t="s">
        <v>3</v>
      </c>
      <c r="B10" s="20">
        <v>145244.18839</v>
      </c>
      <c r="C10" s="32">
        <f>IF(OR(161391.7298="",145244.18839=""),"-",145244.18839/161391.7298*100)</f>
        <v>89.994814833442589</v>
      </c>
      <c r="D10" s="32">
        <f>IF(161391.7298="","-",161391.7298/2959029.60112*100)</f>
        <v>5.4542113988624124</v>
      </c>
      <c r="E10" s="32">
        <f>IF(145244.18839="","-",145244.18839/2667989.85236*100)</f>
        <v>5.4439558029623925</v>
      </c>
      <c r="F10" s="32">
        <f>IF(OR(1808523.91457="",168868.66032="",161391.7298=""),"-",(161391.7298-168868.66032)/1808523.91457*100)</f>
        <v>-0.41342724084341076</v>
      </c>
      <c r="G10" s="32">
        <f>IF(OR(2959029.60112="",145244.18839="",161391.7298=""),"-",(145244.18839-161391.7298)/2959029.60112*100)</f>
        <v>-0.54570394983166515</v>
      </c>
    </row>
    <row r="11" spans="1:9" ht="15.75" customHeight="1" x14ac:dyDescent="0.3">
      <c r="A11" s="19" t="s">
        <v>279</v>
      </c>
      <c r="B11" s="20">
        <v>102630.03095</v>
      </c>
      <c r="C11" s="32">
        <f>IF(OR(65766.64695="",102630.03095=""),"-",102630.03095/65766.64695*100)</f>
        <v>156.05179176616059</v>
      </c>
      <c r="D11" s="32">
        <f>IF(65766.64695="","-",65766.64695/2959029.60112*100)</f>
        <v>2.2225748240270109</v>
      </c>
      <c r="E11" s="32">
        <f>IF(102630.03095="","-",102630.03095/2667989.85236*100)</f>
        <v>3.8467174400688773</v>
      </c>
      <c r="F11" s="32">
        <f>IF(OR(1808523.91457="",54329.48313="",65766.64695=""),"-",(65766.64695-54329.48313)/1808523.91457*100)</f>
        <v>0.63240323934114673</v>
      </c>
      <c r="G11" s="32">
        <f>IF(OR(2959029.60112="",102630.03095="",65766.64695=""),"-",(102630.03095-65766.64695)/2959029.60112*100)</f>
        <v>1.2457930122107304</v>
      </c>
    </row>
    <row r="12" spans="1:9" s="4" customFormat="1" x14ac:dyDescent="0.3">
      <c r="A12" s="19" t="s">
        <v>4</v>
      </c>
      <c r="B12" s="20">
        <v>77836.133029999997</v>
      </c>
      <c r="C12" s="32">
        <f>IF(OR(81808.07707="",77836.13303=""),"-",77836.13303/81808.07707*100)</f>
        <v>95.144802099918124</v>
      </c>
      <c r="D12" s="32">
        <f>IF(81808.07707="","-",81808.07707/2959029.60112*100)</f>
        <v>2.7646927573497555</v>
      </c>
      <c r="E12" s="32">
        <f>IF(77836.13303="","-",77836.13303/2667989.85236*100)</f>
        <v>2.9174073867315942</v>
      </c>
      <c r="F12" s="32">
        <f>IF(OR(1808523.91457="",66306.10299="",81808.07707=""),"-",(81808.07707-66306.10299)/1808523.91457*100)</f>
        <v>0.85716168611935628</v>
      </c>
      <c r="G12" s="32">
        <f>IF(OR(2959029.60112="",77836.13303="",81808.07707=""),"-",(77836.13303-81808.07707)/2959029.60112*100)</f>
        <v>-0.13423130469856104</v>
      </c>
    </row>
    <row r="13" spans="1:9" s="4" customFormat="1" x14ac:dyDescent="0.3">
      <c r="A13" s="19" t="s">
        <v>5</v>
      </c>
      <c r="B13" s="20">
        <v>43884.25851</v>
      </c>
      <c r="C13" s="32">
        <f>IF(OR(124113.1936="",43884.25851=""),"-",43884.25851/124113.1936*100)</f>
        <v>35.358254217060129</v>
      </c>
      <c r="D13" s="32">
        <f>IF(124113.1936="","-",124113.1936/2959029.60112*100)</f>
        <v>4.1943883749261195</v>
      </c>
      <c r="E13" s="32">
        <f>IF(43884.25851="","-",43884.25851/2667989.85236*100)</f>
        <v>1.6448435315892111</v>
      </c>
      <c r="F13" s="32">
        <f>IF(OR(1808523.91457="",28158.42324="",124113.1936=""),"-",(124113.1936-28158.42324)/1808523.91457*100)</f>
        <v>5.3056954119854414</v>
      </c>
      <c r="G13" s="32">
        <f>IF(OR(2959029.60112="",43884.25851="",124113.1936=""),"-",(43884.25851-124113.1936)/2959029.60112*100)</f>
        <v>-2.7113258704689254</v>
      </c>
    </row>
    <row r="14" spans="1:9" s="4" customFormat="1" x14ac:dyDescent="0.3">
      <c r="A14" s="19" t="s">
        <v>37</v>
      </c>
      <c r="B14" s="20">
        <v>41921.522250000002</v>
      </c>
      <c r="C14" s="32" t="s">
        <v>98</v>
      </c>
      <c r="D14" s="32">
        <f>IF(24722.08417="","-",24722.08417/2959029.60112*100)</f>
        <v>0.83547944774336258</v>
      </c>
      <c r="E14" s="32">
        <f>IF(41921.52225="","-",41921.52225/2667989.85236*100)</f>
        <v>1.571277424946645</v>
      </c>
      <c r="F14" s="32">
        <f>IF(OR(1808523.91457="",20057.65553="",24722.08417=""),"-",(24722.08417-20057.65553)/1808523.91457*100)</f>
        <v>0.25791357263357095</v>
      </c>
      <c r="G14" s="32">
        <f>IF(OR(2959029.60112="",41921.52225="",24722.08417=""),"-",(41921.52225-24722.08417)/2959029.60112*100)</f>
        <v>0.58125265369058754</v>
      </c>
    </row>
    <row r="15" spans="1:9" s="4" customFormat="1" x14ac:dyDescent="0.3">
      <c r="A15" s="19" t="s">
        <v>39</v>
      </c>
      <c r="B15" s="20">
        <v>32523.576870000001</v>
      </c>
      <c r="C15" s="32">
        <f>IF(OR(36415.45027="",32523.57687=""),"-",32523.57687/36415.45027*100)</f>
        <v>89.312576471953648</v>
      </c>
      <c r="D15" s="32">
        <f>IF(36415.45027="","-",36415.45027/2959029.60112*100)</f>
        <v>1.2306551531696968</v>
      </c>
      <c r="E15" s="32">
        <f>IF(32523.57687="","-",32523.57687/2667989.85236*100)</f>
        <v>1.2190292568478442</v>
      </c>
      <c r="F15" s="32">
        <f>IF(OR(1808523.91457="",25329.29058="",36415.45027=""),"-",(36415.45027-25329.29058)/1808523.91457*100)</f>
        <v>0.6129949181587615</v>
      </c>
      <c r="G15" s="32">
        <f>IF(OR(2959029.60112="",32523.57687="",36415.45027=""),"-",(32523.57687-36415.45027)/2959029.60112*100)</f>
        <v>-0.1315253283889731</v>
      </c>
    </row>
    <row r="16" spans="1:9" s="4" customFormat="1" x14ac:dyDescent="0.3">
      <c r="A16" s="19" t="s">
        <v>284</v>
      </c>
      <c r="B16" s="20">
        <v>29357.35167</v>
      </c>
      <c r="C16" s="32">
        <f>IF(OR(50966.64602="",29357.35167=""),"-",29357.35167/50966.64602*100)</f>
        <v>57.601105747629099</v>
      </c>
      <c r="D16" s="32">
        <f>IF(50966.64602="","-",50966.64602/2959029.60112*100)</f>
        <v>1.7224108201117354</v>
      </c>
      <c r="E16" s="32">
        <f>IF(29357.35167="","-",29357.35167/2667989.85236*100)</f>
        <v>1.1003546975274898</v>
      </c>
      <c r="F16" s="32">
        <f>IF(OR(1808523.91457="",23263.64499="",50966.64602=""),"-",(50966.64602-23263.64499)/1808523.91457*100)</f>
        <v>1.5318017531765262</v>
      </c>
      <c r="G16" s="32">
        <f>IF(OR(2959029.60112="",29357.35167="",50966.64602=""),"-",(29357.35167-50966.64602)/2959029.60112*100)</f>
        <v>-0.730283142210569</v>
      </c>
    </row>
    <row r="17" spans="1:7" s="4" customFormat="1" x14ac:dyDescent="0.3">
      <c r="A17" s="19" t="s">
        <v>275</v>
      </c>
      <c r="B17" s="20">
        <v>28832.602449999998</v>
      </c>
      <c r="C17" s="32">
        <f>IF(OR(28108.79762="",28832.60245=""),"-",28832.60245/28108.79762*100)</f>
        <v>102.5750117090921</v>
      </c>
      <c r="D17" s="32">
        <f>IF(28108.79762="","-",28108.79762/2959029.60112*100)</f>
        <v>0.9499329648260616</v>
      </c>
      <c r="E17" s="32">
        <f>IF(28832.60245="","-",28832.60245/2667989.85236*100)</f>
        <v>1.0806863611005042</v>
      </c>
      <c r="F17" s="32">
        <f>IF(OR(1808523.91457="",21633.29758="",28108.79762=""),"-",(28108.79762-21633.29758)/1808523.91457*100)</f>
        <v>0.35805443255858943</v>
      </c>
      <c r="G17" s="32">
        <f>IF(OR(2959029.60112="",28832.60245="",28108.79762=""),"-",(28832.60245-28108.79762)/2959029.60112*100)</f>
        <v>2.4460885072796687E-2</v>
      </c>
    </row>
    <row r="18" spans="1:7" s="6" customFormat="1" x14ac:dyDescent="0.3">
      <c r="A18" s="19" t="s">
        <v>44</v>
      </c>
      <c r="B18" s="20">
        <v>23287.4136</v>
      </c>
      <c r="C18" s="32" t="s">
        <v>100</v>
      </c>
      <c r="D18" s="32">
        <f>IF(11962.07397="","-",11962.07397/2959029.60112*100)</f>
        <v>0.40425665108156833</v>
      </c>
      <c r="E18" s="32">
        <f>IF(23287.4136="","-",23287.4136/2667989.85236*100)</f>
        <v>0.87284490903894785</v>
      </c>
      <c r="F18" s="32">
        <f>IF(OR(1808523.91457="",4346.02082="",11962.07397=""),"-",(11962.07397-4346.02082)/1808523.91457*100)</f>
        <v>0.42111984744259329</v>
      </c>
      <c r="G18" s="32">
        <f>IF(OR(2959029.60112="",23287.4136="",11962.07397=""),"-",(23287.4136-11962.07397)/2959029.60112*100)</f>
        <v>0.38273830129017067</v>
      </c>
    </row>
    <row r="19" spans="1:7" s="4" customFormat="1" x14ac:dyDescent="0.3">
      <c r="A19" s="19" t="s">
        <v>7</v>
      </c>
      <c r="B19" s="20">
        <v>23085.909220000001</v>
      </c>
      <c r="C19" s="32">
        <f>IF(OR(23150.79121="",23085.90922=""),"-",23085.90922/23150.79121*100)</f>
        <v>99.719741803157163</v>
      </c>
      <c r="D19" s="32">
        <f>IF(23150.79121="","-",23150.79121/2959029.60112*100)</f>
        <v>0.78237781741816204</v>
      </c>
      <c r="E19" s="32">
        <f>IF(23085.90922="","-",23085.90922/2667989.85236*100)</f>
        <v>0.86529224238162328</v>
      </c>
      <c r="F19" s="32">
        <f>IF(OR(1808523.91457="",18448.49642="",23150.79121=""),"-",(23150.79121-18448.49642)/1808523.91457*100)</f>
        <v>0.26000733261622538</v>
      </c>
      <c r="G19" s="32">
        <f>IF(OR(2959029.60112="",23085.90922="",23150.79121=""),"-",(23085.90922-23150.79121)/2959029.60112*100)</f>
        <v>-2.1926779635945532E-3</v>
      </c>
    </row>
    <row r="20" spans="1:7" s="4" customFormat="1" x14ac:dyDescent="0.3">
      <c r="A20" s="19" t="s">
        <v>40</v>
      </c>
      <c r="B20" s="20">
        <v>13989.43079</v>
      </c>
      <c r="C20" s="32">
        <f>IF(OR(8967.21541="",13989.43079=""),"-",13989.43079/8967.21541*100)</f>
        <v>156.00640946351484</v>
      </c>
      <c r="D20" s="32">
        <f>IF(8967.21541="","-",8967.21541/2959029.60112*100)</f>
        <v>0.30304581632457778</v>
      </c>
      <c r="E20" s="32">
        <f>IF(13989.43079="","-",13989.43079/2667989.85236*100)</f>
        <v>0.52434347820421778</v>
      </c>
      <c r="F20" s="32">
        <f>IF(OR(1808523.91457="",4438.57374="",8967.21541=""),"-",(8967.21541-4438.57374)/1808523.91457*100)</f>
        <v>0.25040540705687842</v>
      </c>
      <c r="G20" s="32">
        <f>IF(OR(2959029.60112="",13989.43079="",8967.21541=""),"-",(13989.43079-8967.21541)/2959029.60112*100)</f>
        <v>0.16972508075279405</v>
      </c>
    </row>
    <row r="21" spans="1:7" s="4" customFormat="1" x14ac:dyDescent="0.3">
      <c r="A21" s="19" t="s">
        <v>6</v>
      </c>
      <c r="B21" s="20">
        <v>11293.83245</v>
      </c>
      <c r="C21" s="32">
        <f>IF(OR(14365.03148="",11293.83245=""),"-",11293.83245/14365.03148*100)</f>
        <v>78.620311175259602</v>
      </c>
      <c r="D21" s="32">
        <f>IF(14365.03148="","-",14365.03148/2959029.60112*100)</f>
        <v>0.48546427094081113</v>
      </c>
      <c r="E21" s="32">
        <f>IF(11293.83245="","-",11293.83245/2667989.85236*100)</f>
        <v>0.42330867338231876</v>
      </c>
      <c r="F21" s="32">
        <f>IF(OR(1808523.91457="",12721.41744="",14365.03148=""),"-",(14365.03148-12721.41744)/1808523.91457*100)</f>
        <v>9.0881520933097024E-2</v>
      </c>
      <c r="G21" s="32">
        <f>IF(OR(2959029.60112="",11293.83245="",14365.03148=""),"-",(11293.83245-14365.03148)/2959029.60112*100)</f>
        <v>-0.10379075048244005</v>
      </c>
    </row>
    <row r="22" spans="1:7" s="4" customFormat="1" x14ac:dyDescent="0.3">
      <c r="A22" s="19" t="s">
        <v>38</v>
      </c>
      <c r="B22" s="20">
        <v>9993.1223300000001</v>
      </c>
      <c r="C22" s="32">
        <f>IF(OR(13209.96095="",9993.12233=""),"-",9993.12233/13209.96095*100)</f>
        <v>75.648386606320742</v>
      </c>
      <c r="D22" s="32">
        <f>IF(13209.96095="","-",13209.96095/2959029.60112*100)</f>
        <v>0.4464288206174078</v>
      </c>
      <c r="E22" s="32">
        <f>IF(9993.12233="","-",9993.12233/2667989.85236*100)</f>
        <v>0.37455623458089515</v>
      </c>
      <c r="F22" s="32">
        <f>IF(OR(1808523.91457="",15306.74461="",13209.96095=""),"-",(13209.96095-15306.74461)/1808523.91457*100)</f>
        <v>-0.11593895126891572</v>
      </c>
      <c r="G22" s="32">
        <f>IF(OR(2959029.60112="",9993.12233="",13209.96095=""),"-",(9993.12233-13209.96095)/2959029.60112*100)</f>
        <v>-0.10871262047471304</v>
      </c>
    </row>
    <row r="23" spans="1:7" s="4" customFormat="1" x14ac:dyDescent="0.3">
      <c r="A23" s="19" t="s">
        <v>41</v>
      </c>
      <c r="B23" s="20">
        <v>8292.0596700000006</v>
      </c>
      <c r="C23" s="32">
        <f>IF(OR(8761.40618="",8292.05967=""),"-",8292.05967/8761.40618*100)</f>
        <v>94.643023044960586</v>
      </c>
      <c r="D23" s="32">
        <f>IF(8761.40618="","-",8761.40618/2959029.60112*100)</f>
        <v>0.29609052159139559</v>
      </c>
      <c r="E23" s="32">
        <f>IF(8292.05967="","-",8292.05967/2667989.85236*100)</f>
        <v>0.31079802131425527</v>
      </c>
      <c r="F23" s="32">
        <f>IF(OR(1808523.91457="",8294.6137="",8761.40618=""),"-",(8761.40618-8294.6137)/1808523.91457*100)</f>
        <v>2.5810688829679428E-2</v>
      </c>
      <c r="G23" s="32">
        <f>IF(OR(2959029.60112="",8292.05967="",8761.40618=""),"-",(8292.05967-8761.40618)/2959029.60112*100)</f>
        <v>-1.5861501007707075E-2</v>
      </c>
    </row>
    <row r="24" spans="1:7" s="4" customFormat="1" x14ac:dyDescent="0.3">
      <c r="A24" s="19" t="s">
        <v>42</v>
      </c>
      <c r="B24" s="20">
        <v>6680.4735600000004</v>
      </c>
      <c r="C24" s="32" t="s">
        <v>98</v>
      </c>
      <c r="D24" s="32">
        <f>IF(3836.32133="","-",3836.32133/2959029.60112*100)</f>
        <v>0.1296479537936337</v>
      </c>
      <c r="E24" s="32">
        <f>IF(6680.47356="","-",6680.47356/2667989.85236*100)</f>
        <v>0.25039351458142595</v>
      </c>
      <c r="F24" s="32">
        <f>IF(OR(1808523.91457="",3636.81626="",3836.32133=""),"-",(3836.32133-3636.81626)/1808523.91457*100)</f>
        <v>1.1031375830461997E-2</v>
      </c>
      <c r="G24" s="32">
        <f>IF(OR(2959029.60112="",6680.47356="",3836.32133=""),"-",(6680.47356-3836.32133)/2959029.60112*100)</f>
        <v>9.6117734980531513E-2</v>
      </c>
    </row>
    <row r="25" spans="1:7" s="2" customFormat="1" x14ac:dyDescent="0.3">
      <c r="A25" s="19" t="s">
        <v>276</v>
      </c>
      <c r="B25" s="20">
        <v>6158.07161</v>
      </c>
      <c r="C25" s="32" t="s">
        <v>287</v>
      </c>
      <c r="D25" s="32">
        <f>IF(2379.94897="","-",2379.94897/2959029.60112*100)</f>
        <v>8.0430049401979065E-2</v>
      </c>
      <c r="E25" s="32">
        <f>IF(6158.07161="","-",6158.07161/2667989.85236*100)</f>
        <v>0.23081315712474731</v>
      </c>
      <c r="F25" s="32">
        <f>IF(OR(1808523.91457="",653.24416="",2379.94897=""),"-",(2379.94897-653.24416)/1808523.91457*100)</f>
        <v>9.5475918017404057E-2</v>
      </c>
      <c r="G25" s="32">
        <f>IF(OR(2959029.60112="",6158.07161="",2379.94897=""),"-",(6158.07161-2379.94897)/2959029.60112*100)</f>
        <v>0.1276811370379658</v>
      </c>
    </row>
    <row r="26" spans="1:7" s="2" customFormat="1" x14ac:dyDescent="0.3">
      <c r="A26" s="19" t="s">
        <v>48</v>
      </c>
      <c r="B26" s="20">
        <v>2535.0430999999999</v>
      </c>
      <c r="C26" s="32">
        <f>IF(OR(14852.1983="",2535.0431=""),"-",2535.0431/14852.1983*100)</f>
        <v>17.068470598052816</v>
      </c>
      <c r="D26" s="32">
        <f>IF(14852.1983="","-",14852.1983/2959029.60112*100)</f>
        <v>0.50192800688368944</v>
      </c>
      <c r="E26" s="32">
        <f>IF(2535.0431="","-",2535.0431/2667989.85236*100)</f>
        <v>9.5016969339579746E-2</v>
      </c>
      <c r="F26" s="32">
        <f>IF(OR(1808523.91457="",16154.27511="",14852.1983=""),"-",(14852.1983-16154.27511)/1808523.91457*100)</f>
        <v>-7.1996659790345433E-2</v>
      </c>
      <c r="G26" s="32">
        <f>IF(OR(2959029.60112="",2535.0431="",14852.1983=""),"-",(2535.0431-14852.1983)/2959029.60112*100)</f>
        <v>-0.41625657260535448</v>
      </c>
    </row>
    <row r="27" spans="1:7" s="4" customFormat="1" x14ac:dyDescent="0.3">
      <c r="A27" s="19" t="s">
        <v>43</v>
      </c>
      <c r="B27" s="20">
        <v>2386.0867499999999</v>
      </c>
      <c r="C27" s="32">
        <f>IF(OR(2156.28633="",2386.08675=""),"-",2386.08675/2156.28633*100)</f>
        <v>110.65723122216333</v>
      </c>
      <c r="D27" s="32">
        <f>IF(2156.28633="","-",2156.28633/2959029.60112*100)</f>
        <v>7.2871401123660279E-2</v>
      </c>
      <c r="E27" s="32">
        <f>IF(2386.08675="","-",2386.08675/2667989.85236*100)</f>
        <v>8.9433876515285865E-2</v>
      </c>
      <c r="F27" s="32">
        <f>IF(OR(1808523.91457="",2324.00745="",2156.28633=""),"-",(2156.28633-2324.00745)/1808523.91457*100)</f>
        <v>-9.2739232613287294E-3</v>
      </c>
      <c r="G27" s="32">
        <f>IF(OR(2959029.60112="",2386.08675="",2156.28633=""),"-",(2386.08675-2156.28633)/2959029.60112*100)</f>
        <v>7.7660737125786108E-3</v>
      </c>
    </row>
    <row r="28" spans="1:7" s="4" customFormat="1" x14ac:dyDescent="0.3">
      <c r="A28" s="19" t="s">
        <v>45</v>
      </c>
      <c r="B28" s="20">
        <v>1474.13203</v>
      </c>
      <c r="C28" s="32">
        <f>IF(OR(1112.3717="",1474.13203=""),"-",1474.13203/1112.3717*100)</f>
        <v>132.52153304511432</v>
      </c>
      <c r="D28" s="32">
        <f>IF(1112.3717="","-",1112.3717/2959029.60112*100)</f>
        <v>3.759244921304486E-2</v>
      </c>
      <c r="E28" s="32">
        <f>IF(1474.13203="","-",1474.13203/2667989.85236*100)</f>
        <v>5.5252535113506522E-2</v>
      </c>
      <c r="F28" s="32">
        <f>IF(OR(1808523.91457="",974.53272="",1112.3717=""),"-",(1112.3717-974.53272)/1808523.91457*100)</f>
        <v>7.6216288261121996E-3</v>
      </c>
      <c r="G28" s="32">
        <f>IF(OR(2959029.60112="",1474.13203="",1112.3717=""),"-",(1474.13203-1112.3717)/2959029.60112*100)</f>
        <v>1.2225640793288209E-2</v>
      </c>
    </row>
    <row r="29" spans="1:7" s="2" customFormat="1" x14ac:dyDescent="0.3">
      <c r="A29" s="19" t="s">
        <v>50</v>
      </c>
      <c r="B29" s="20">
        <v>507.54671000000002</v>
      </c>
      <c r="C29" s="32">
        <f>IF(OR(661.12869="",507.54671=""),"-",507.54671/661.12869*100)</f>
        <v>76.769729959835814</v>
      </c>
      <c r="D29" s="32">
        <f>IF(661.12869="","-",661.12869/2959029.60112*100)</f>
        <v>2.2342753507763533E-2</v>
      </c>
      <c r="E29" s="32">
        <f>IF(507.54671="","-",507.54671/2667989.85236*100)</f>
        <v>1.9023562235480167E-2</v>
      </c>
      <c r="F29" s="32">
        <f>IF(OR(1808523.91457="",494.07829="",661.12869=""),"-",(661.12869-494.07829)/1808523.91457*100)</f>
        <v>9.2368366629931135E-3</v>
      </c>
      <c r="G29" s="32">
        <f>IF(OR(2959029.60112="",507.54671="",661.12869=""),"-",(507.54671-661.12869)/2959029.60112*100)</f>
        <v>-5.1902819742617257E-3</v>
      </c>
    </row>
    <row r="30" spans="1:7" s="2" customFormat="1" x14ac:dyDescent="0.3">
      <c r="A30" s="19" t="s">
        <v>47</v>
      </c>
      <c r="B30" s="20">
        <v>443.61979000000002</v>
      </c>
      <c r="C30" s="32">
        <f>IF(OR(1094.0558="",443.61979=""),"-",443.61979/1094.0558*100)</f>
        <v>40.548186847508141</v>
      </c>
      <c r="D30" s="32">
        <f>IF(1094.0558="","-",1094.0558/2959029.60112*100)</f>
        <v>3.6973465881716669E-2</v>
      </c>
      <c r="E30" s="32">
        <f>IF(443.61979="","-",443.61979/2667989.85236*100)</f>
        <v>1.6627491652848349E-2</v>
      </c>
      <c r="F30" s="32">
        <f>IF(OR(1808523.91457="",631.5551="",1094.0558=""),"-",(1094.0558-631.5551)/1808523.91457*100)</f>
        <v>2.5573380383524847E-2</v>
      </c>
      <c r="G30" s="32">
        <f>IF(OR(2959029.60112="",443.61979="",1094.0558=""),"-",(443.61979-1094.0558)/2959029.60112*100)</f>
        <v>-2.1981395851998525E-2</v>
      </c>
    </row>
    <row r="31" spans="1:7" s="2" customFormat="1" x14ac:dyDescent="0.3">
      <c r="A31" s="19" t="s">
        <v>49</v>
      </c>
      <c r="B31" s="20">
        <v>202.18254999999999</v>
      </c>
      <c r="C31" s="32" t="s">
        <v>352</v>
      </c>
      <c r="D31" s="32">
        <f>IF(49.14482="","-",49.14482/2959029.60112*100)</f>
        <v>1.6608424593454075E-3</v>
      </c>
      <c r="E31" s="32">
        <f>IF(202.18255="","-",202.18255/2667989.85236*100)</f>
        <v>7.5780854196711867E-3</v>
      </c>
      <c r="F31" s="32">
        <f>IF(OR(1808523.91457="",295.25684="",49.14482=""),"-",(49.14482-295.25684)/1808523.91457*100)</f>
        <v>-1.3608447088658836E-2</v>
      </c>
      <c r="G31" s="32">
        <f>IF(OR(2959029.60112="",202.18255="",49.14482=""),"-",(202.18255-49.14482)/2959029.60112*100)</f>
        <v>5.1718891200708108E-3</v>
      </c>
    </row>
    <row r="32" spans="1:7" s="2" customFormat="1" x14ac:dyDescent="0.3">
      <c r="A32" s="19" t="s">
        <v>46</v>
      </c>
      <c r="B32" s="20">
        <v>198.34348</v>
      </c>
      <c r="C32" s="32">
        <f>IF(OR(223.16571="",198.34348=""),"-",198.34348/223.16571*100)</f>
        <v>88.877220429608116</v>
      </c>
      <c r="D32" s="32">
        <f>IF(223.16571="","-",223.16571/2959029.60112*100)</f>
        <v>7.5418545970453027E-3</v>
      </c>
      <c r="E32" s="32">
        <f>IF(198.34348="","-",198.34348/2667989.85236*100)</f>
        <v>7.4341916939658923E-3</v>
      </c>
      <c r="F32" s="32">
        <f>IF(OR(1808523.91457="",1236.98094="",223.16571=""),"-",(223.16571-1236.98094)/1808523.91457*100)</f>
        <v>-5.6057607081244902E-2</v>
      </c>
      <c r="G32" s="32">
        <f>IF(OR(2959029.60112="",198.34348="",223.16571=""),"-",(198.34348-223.16571)/2959029.60112*100)</f>
        <v>-8.3886386234881586E-4</v>
      </c>
    </row>
    <row r="33" spans="1:7" s="2" customFormat="1" x14ac:dyDescent="0.3">
      <c r="A33" s="19" t="s">
        <v>51</v>
      </c>
      <c r="B33" s="20">
        <v>4.5320600000000004</v>
      </c>
      <c r="C33" s="32">
        <f>IF(OR(89.6098="",4.53206=""),"-",4.53206/89.6098*100)</f>
        <v>5.0575495090938709</v>
      </c>
      <c r="D33" s="32">
        <f>IF(89.6098="","-",89.6098/2959029.60112*100)</f>
        <v>3.0283509149784268E-3</v>
      </c>
      <c r="E33" s="32">
        <f>IF(4.53206="","-",4.53206/2667989.85236*100)</f>
        <v>1.6986796242838469E-4</v>
      </c>
      <c r="F33" s="32">
        <f>IF(OR(1808523.91457="",9.4542="",89.6098=""),"-",(89.6098-9.4542)/1808523.91457*100)</f>
        <v>4.4321006404307375E-3</v>
      </c>
      <c r="G33" s="32">
        <f>IF(OR(2959029.60112="",4.53206="",89.6098=""),"-",(4.53206-89.6098)/2959029.60112*100)</f>
        <v>-2.8751905681442956E-3</v>
      </c>
    </row>
    <row r="34" spans="1:7" s="5" customFormat="1" ht="14.25" customHeight="1" x14ac:dyDescent="0.25">
      <c r="A34" s="19" t="s">
        <v>52</v>
      </c>
      <c r="B34" s="20">
        <v>1.7176199999999999</v>
      </c>
      <c r="C34" s="32">
        <f>IF(OR(9.84913="",1.71762=""),"-",1.71762/9.84913*100)</f>
        <v>17.439306822023873</v>
      </c>
      <c r="D34" s="32">
        <f>IF(9.84913="","-",9.84913/2959029.60112*100)</f>
        <v>3.3284999907645673E-4</v>
      </c>
      <c r="E34" s="32">
        <f>IF(1.71762="","-",1.71762/2667989.85236*100)</f>
        <v>6.4378805582062469E-5</v>
      </c>
      <c r="F34" s="32">
        <f>IF(OR(1808523.91457="",1.49407="",9.84913=""),"-",(9.84913-1.49407)/1808523.91457*100)</f>
        <v>4.6198227917746521E-4</v>
      </c>
      <c r="G34" s="32">
        <f>IF(OR(2959029.60112="",1.71762="",9.84913=""),"-",(1.71762-9.84913)/2959029.60112*100)</f>
        <v>-2.7480326648040985E-4</v>
      </c>
    </row>
    <row r="35" spans="1:7" s="5" customFormat="1" ht="14.25" customHeight="1" x14ac:dyDescent="0.25">
      <c r="A35" s="17" t="s">
        <v>124</v>
      </c>
      <c r="B35" s="18">
        <v>652004.88610999996</v>
      </c>
      <c r="C35" s="31">
        <f>IF(622503.15211="","-",652004.88611/622503.15211*100)</f>
        <v>104.7392103798997</v>
      </c>
      <c r="D35" s="31">
        <f>IF(622503.15211="","-",622503.15211/2959029.60112*100)</f>
        <v>21.037408746245092</v>
      </c>
      <c r="E35" s="31">
        <f>IF(652004.88611="","-",652004.88611/2667989.85236*100)</f>
        <v>24.438057196254395</v>
      </c>
      <c r="F35" s="31">
        <f>IF(1808523.91457="","-",(622503.15211-282408.59374)/1808523.91457*100)</f>
        <v>18.805090473512589</v>
      </c>
      <c r="G35" s="31">
        <f>IF(2959029.60112="","-",(652004.88611-622503.15211)/2959029.60112*100)</f>
        <v>0.99700705896397457</v>
      </c>
    </row>
    <row r="36" spans="1:7" s="5" customFormat="1" ht="14.25" customHeight="1" x14ac:dyDescent="0.25">
      <c r="A36" s="19" t="s">
        <v>9</v>
      </c>
      <c r="B36" s="20">
        <v>442130.43968000001</v>
      </c>
      <c r="C36" s="32">
        <f>IF(OR(410394.66613="",442130.43968=""),"-",442130.43968/410394.66613*100)</f>
        <v>107.73298879570406</v>
      </c>
      <c r="D36" s="32">
        <f>IF(410394.66613="","-",410394.66613/2959029.60112*100)</f>
        <v>13.869231520180286</v>
      </c>
      <c r="E36" s="32">
        <f>IF(442130.43968="","-",442130.43968/2667989.85236*100)</f>
        <v>16.571668714890674</v>
      </c>
      <c r="F36" s="32">
        <f>IF(OR(1808523.91457="",55957.02821="",410394.66613=""),"-",(410394.66613-55957.02821)/1808523.91457*100)</f>
        <v>19.59817257955763</v>
      </c>
      <c r="G36" s="32">
        <f>IF(OR(2959029.60112="",442130.43968="",410394.66613=""),"-",(442130.43968-410394.66613)/2959029.60112*100)</f>
        <v>1.0725061195057974</v>
      </c>
    </row>
    <row r="37" spans="1:7" s="3" customFormat="1" ht="14.25" customHeight="1" x14ac:dyDescent="0.25">
      <c r="A37" s="19" t="s">
        <v>277</v>
      </c>
      <c r="B37" s="20">
        <v>100133.68826</v>
      </c>
      <c r="C37" s="32">
        <f>IF(OR(146647.08607="",100133.68826=""),"-",100133.68826/146647.08607*100)</f>
        <v>68.282085204340532</v>
      </c>
      <c r="D37" s="32">
        <f>IF(146647.08607="","-",146647.08607/2959029.60112*100)</f>
        <v>4.9559181839375217</v>
      </c>
      <c r="E37" s="32">
        <f>IF(100133.68826="","-",100133.68826/2667989.85236*100)</f>
        <v>3.7531510163513415</v>
      </c>
      <c r="F37" s="32">
        <f>IF(OR(1808523.91457="",168922.78548="",146647.08607=""),"-",(146647.08607-168922.78548)/1808523.91457*100)</f>
        <v>-1.2317061018956079</v>
      </c>
      <c r="G37" s="32">
        <f>IF(OR(2959029.60112="",100133.68826="",146647.08607=""),"-",(100133.68826-146647.08607)/2959029.60112*100)</f>
        <v>-1.5719139069238968</v>
      </c>
    </row>
    <row r="38" spans="1:7" s="5" customFormat="1" ht="14.25" customHeight="1" x14ac:dyDescent="0.25">
      <c r="A38" s="19" t="s">
        <v>8</v>
      </c>
      <c r="B38" s="20">
        <v>59482.783100000001</v>
      </c>
      <c r="C38" s="32">
        <f>IF(OR(44723.75091="",59482.7831=""),"-",59482.7831/44723.75091*100)</f>
        <v>133.00043464534178</v>
      </c>
      <c r="D38" s="32">
        <f>IF(44723.75091="","-",44723.75091/2959029.60112*100)</f>
        <v>1.5114330351096168</v>
      </c>
      <c r="E38" s="32">
        <f>IF(59482.7831="","-",59482.7831/2667989.85236*100)</f>
        <v>2.2294981012534154</v>
      </c>
      <c r="F38" s="32">
        <f>IF(OR(1808523.91457="",40820.77061="",44723.75091=""),"-",(44723.75091-40820.77061)/1808523.91457*100)</f>
        <v>0.21581026761971167</v>
      </c>
      <c r="G38" s="32">
        <f>IF(OR(2959029.60112="",59482.7831="",44723.75091=""),"-",(59482.7831-44723.75091)/2959029.60112*100)</f>
        <v>0.49877947095945474</v>
      </c>
    </row>
    <row r="39" spans="1:7" s="3" customFormat="1" ht="15.75" customHeight="1" x14ac:dyDescent="0.25">
      <c r="A39" s="19" t="s">
        <v>10</v>
      </c>
      <c r="B39" s="20">
        <v>29874.46328</v>
      </c>
      <c r="C39" s="32" t="s">
        <v>379</v>
      </c>
      <c r="D39" s="32">
        <f>IF(9622.12038="","-",9622.12038/2959029.60112*100)</f>
        <v>0.32517824006755475</v>
      </c>
      <c r="E39" s="32">
        <f>IF(29874.46328="","-",29874.46328/2667989.85236*100)</f>
        <v>1.1197367656242849</v>
      </c>
      <c r="F39" s="32">
        <f>IF(OR(1808523.91457="",7910.32739="",9622.12038=""),"-",(9622.12038-7910.32739)/1808523.91457*100)</f>
        <v>9.4651388140864073E-2</v>
      </c>
      <c r="G39" s="32">
        <f>IF(OR(2959029.60112="",29874.46328="",9622.12038=""),"-",(29874.46328-9622.12038)/2959029.60112*100)</f>
        <v>0.68442515385227776</v>
      </c>
    </row>
    <row r="40" spans="1:7" s="3" customFormat="1" ht="15.75" customHeight="1" x14ac:dyDescent="0.25">
      <c r="A40" s="19" t="s">
        <v>280</v>
      </c>
      <c r="B40" s="20">
        <v>6357.2113300000001</v>
      </c>
      <c r="C40" s="32" t="s">
        <v>380</v>
      </c>
      <c r="D40" s="32">
        <f>IF(992.61685="","-",992.61685/2959029.60112*100)</f>
        <v>3.3545350463013018E-2</v>
      </c>
      <c r="E40" s="32">
        <f>IF(6357.21133="","-",6357.21133/2667989.85236*100)</f>
        <v>0.23827719301018549</v>
      </c>
      <c r="F40" s="32">
        <f>IF(OR(1808523.91457="",893.49424="",992.61685=""),"-",(992.61685-893.49424)/1808523.91457*100)</f>
        <v>5.480857023865659E-3</v>
      </c>
      <c r="G40" s="32">
        <f>IF(OR(2959029.60112="",6357.21133="",992.61685=""),"-",(6357.21133-992.61685)/2959029.60112*100)</f>
        <v>0.1812957355333481</v>
      </c>
    </row>
    <row r="41" spans="1:7" s="3" customFormat="1" ht="14.25" customHeight="1" x14ac:dyDescent="0.25">
      <c r="A41" s="19" t="s">
        <v>12</v>
      </c>
      <c r="B41" s="20">
        <v>5711.87727</v>
      </c>
      <c r="C41" s="32">
        <f>IF(OR(5354.74622="",5711.87727=""),"-",5711.87727/5354.74622*100)</f>
        <v>106.66942998467628</v>
      </c>
      <c r="D41" s="32">
        <f>IF(5354.74622="","-",5354.74622/2959029.60112*100)</f>
        <v>0.18096291493580247</v>
      </c>
      <c r="E41" s="32">
        <f>IF(5711.87727="","-",5711.87727/2667989.85236*100)</f>
        <v>0.21408916772856149</v>
      </c>
      <c r="F41" s="32">
        <f>IF(OR(1808523.91457="",4453.13444="",5354.74622=""),"-",(5354.74622-4453.13444)/1808523.91457*100)</f>
        <v>4.9853461861153768E-2</v>
      </c>
      <c r="G41" s="32">
        <f>IF(OR(2959029.60112="",5711.87727="",5354.74622=""),"-",(5711.87727-5354.74622)/2959029.60112*100)</f>
        <v>1.206919490987265E-2</v>
      </c>
    </row>
    <row r="42" spans="1:7" s="3" customFormat="1" ht="14.25" customHeight="1" x14ac:dyDescent="0.25">
      <c r="A42" s="19" t="s">
        <v>11</v>
      </c>
      <c r="B42" s="20">
        <v>3599.9983999999999</v>
      </c>
      <c r="C42" s="32" t="s">
        <v>100</v>
      </c>
      <c r="D42" s="32">
        <f>IF(1895.83802="","-",1895.83802/2959029.60112*100)</f>
        <v>6.4069586167114403E-2</v>
      </c>
      <c r="E42" s="32">
        <f>IF(3599.9984="","-",3599.9984/2667989.85236*100)</f>
        <v>0.1349329869757781</v>
      </c>
      <c r="F42" s="32">
        <f>IF(OR(1808523.91457="",2144.6118="",1895.83802=""),"-",(1895.83802-2144.6118)/1808523.91457*100)</f>
        <v>-1.3755625678809417E-2</v>
      </c>
      <c r="G42" s="32">
        <f>IF(OR(2959029.60112="",3599.9984="",1895.83802=""),"-",(3599.9984-1895.83802)/2959029.60112*100)</f>
        <v>5.7591866582036598E-2</v>
      </c>
    </row>
    <row r="43" spans="1:7" s="2" customFormat="1" x14ac:dyDescent="0.3">
      <c r="A43" s="19" t="s">
        <v>14</v>
      </c>
      <c r="B43" s="20">
        <v>3341.82764</v>
      </c>
      <c r="C43" s="32" t="s">
        <v>100</v>
      </c>
      <c r="D43" s="32">
        <f>IF(1716.36214="","-",1716.36214/2959029.60112*100)</f>
        <v>5.8004223389666418E-2</v>
      </c>
      <c r="E43" s="32">
        <f>IF(3341.82764="","-",3341.82764/2667989.85236*100)</f>
        <v>0.12525638495378644</v>
      </c>
      <c r="F43" s="32">
        <f>IF(OR(1808523.91457="",647.32172="",1716.36214=""),"-",(1716.36214-647.32172)/1808523.91457*100)</f>
        <v>5.9111212817673904E-2</v>
      </c>
      <c r="G43" s="32">
        <f>IF(OR(2959029.60112="",3341.82764="",1716.36214=""),"-",(3341.82764-1716.36214)/2959029.60112*100)</f>
        <v>5.4932383893177596E-2</v>
      </c>
    </row>
    <row r="44" spans="1:7" s="2" customFormat="1" x14ac:dyDescent="0.3">
      <c r="A44" s="19" t="s">
        <v>13</v>
      </c>
      <c r="B44" s="20">
        <v>1260.32673</v>
      </c>
      <c r="C44" s="32">
        <f>IF(OR(1095.00676="",1260.32673=""),"-",1260.32673/1095.00676*100)</f>
        <v>115.09762094984693</v>
      </c>
      <c r="D44" s="32">
        <f>IF(1095.00676="","-",1095.00676/2959029.60112*100)</f>
        <v>3.7005603444640676E-2</v>
      </c>
      <c r="E44" s="32">
        <f>IF(1260.32673="","-",1260.32673/2667989.85236*100)</f>
        <v>4.723881272955982E-2</v>
      </c>
      <c r="F44" s="32">
        <f>IF(OR(1808523.91457="",448.37146="",1095.00676=""),"-",(1095.00676-448.37146)/1808523.91457*100)</f>
        <v>3.5754865876559107E-2</v>
      </c>
      <c r="G44" s="32">
        <f>IF(OR(2959029.60112="",1260.32673="",1095.00676=""),"-",(1260.32673-1095.00676)/2959029.60112*100)</f>
        <v>5.5869657382753455E-3</v>
      </c>
    </row>
    <row r="45" spans="1:7" s="4" customFormat="1" x14ac:dyDescent="0.3">
      <c r="A45" s="19" t="s">
        <v>15</v>
      </c>
      <c r="B45" s="20">
        <v>112.27042</v>
      </c>
      <c r="C45" s="32" t="s">
        <v>187</v>
      </c>
      <c r="D45" s="32">
        <f>IF(60.95863="","-",60.95863/2959029.60112*100)</f>
        <v>2.0600885498721273E-3</v>
      </c>
      <c r="E45" s="32">
        <f>IF(112.27042="","-",112.27042/2667989.85236*100)</f>
        <v>4.208052736808199E-3</v>
      </c>
      <c r="F45" s="32">
        <f>IF(OR(1808523.91457="",210.74839="",60.95863=""),"-",(60.95863-210.74839)/1808523.91457*100)</f>
        <v>-8.2824318104532477E-3</v>
      </c>
      <c r="G45" s="32">
        <f>IF(OR(2959029.60112="",112.27042="",60.95863=""),"-",(112.27042-60.95863)/2959029.60112*100)</f>
        <v>1.7340749136331172E-3</v>
      </c>
    </row>
    <row r="46" spans="1:7" s="2" customFormat="1" x14ac:dyDescent="0.3">
      <c r="A46" s="17" t="s">
        <v>125</v>
      </c>
      <c r="B46" s="18">
        <f>IF(333047.99218="","-",333047.99218)</f>
        <v>333047.99218</v>
      </c>
      <c r="C46" s="31">
        <f>IF(577309.41411="","-",333047.99218/577309.41411*100)</f>
        <v>57.68968668100419</v>
      </c>
      <c r="D46" s="31">
        <f>IF(577309.41411="","-",577309.41411/2959029.60112*100)</f>
        <v>19.510092561814421</v>
      </c>
      <c r="E46" s="31">
        <f>IF(333047.99218="","-",333047.99218/2667989.85236*100)</f>
        <v>12.483105656695011</v>
      </c>
      <c r="F46" s="31">
        <f>IF(1808523.91457="","-",(577309.41411-394153.45511)/1808523.91457*100)</f>
        <v>10.127372799687182</v>
      </c>
      <c r="G46" s="31">
        <f>IF(2959029.60112="","-",(333047.99218-577309.41411)/2959029.60112*100)</f>
        <v>-8.2547812917297776</v>
      </c>
    </row>
    <row r="47" spans="1:7" s="6" customFormat="1" x14ac:dyDescent="0.3">
      <c r="A47" s="72" t="s">
        <v>53</v>
      </c>
      <c r="B47" s="20">
        <f>IF(95341.54821="","-",95341.54821)</f>
        <v>95341.548209999994</v>
      </c>
      <c r="C47" s="32">
        <f>IF(OR(256236.54289="",95341.54821=""),"-",95341.54821/256236.54289*100)</f>
        <v>37.208411858307514</v>
      </c>
      <c r="D47" s="32">
        <f>IF(256236.54289="","-",256236.54289/2959029.60112*100)</f>
        <v>8.6594788640510352</v>
      </c>
      <c r="E47" s="32">
        <f>IF(95341.54821="","-",95341.54821/2667989.85236*100)</f>
        <v>3.5735348890350753</v>
      </c>
      <c r="F47" s="32">
        <f>IF(OR(1808523.91457="",162103.29763="",256236.54289=""),"-",(256236.54289-162103.29763)/1808523.91457*100)</f>
        <v>5.2049765281860498</v>
      </c>
      <c r="G47" s="32">
        <f>IF(OR(2959029.60112="",95341.54821="",256236.54289=""),"-",(95341.54821-256236.54289)/2959029.60112*100)</f>
        <v>-5.4374243035318353</v>
      </c>
    </row>
    <row r="48" spans="1:7" s="4" customFormat="1" x14ac:dyDescent="0.3">
      <c r="A48" s="72" t="s">
        <v>16</v>
      </c>
      <c r="B48" s="20">
        <f>IF(33727.20721="","-",33727.20721)</f>
        <v>33727.20721</v>
      </c>
      <c r="C48" s="32">
        <f>IF(OR(25664.33844="",33727.20721=""),"-",33727.20721/25664.33844*100)</f>
        <v>131.41662423463586</v>
      </c>
      <c r="D48" s="32">
        <f>IF(25664.33844="","-",25664.33844/2959029.60112*100)</f>
        <v>0.86732280171465614</v>
      </c>
      <c r="E48" s="32">
        <f>IF(33727.20721="","-",33727.20721/2667989.85236*100)</f>
        <v>1.264143009395865</v>
      </c>
      <c r="F48" s="32">
        <f>IF(OR(1808523.91457="",15805.10137="",25664.33844=""),"-",(25664.33844-15805.10137)/1808523.91457*100)</f>
        <v>0.54515381248603278</v>
      </c>
      <c r="G48" s="32">
        <f>IF(OR(2959029.60112="",33727.20721="",25664.33844=""),"-",(33727.20721-25664.33844)/2959029.60112*100)</f>
        <v>0.27248354551600923</v>
      </c>
    </row>
    <row r="49" spans="1:7" s="2" customFormat="1" ht="22.8" x14ac:dyDescent="0.3">
      <c r="A49" s="19" t="s">
        <v>357</v>
      </c>
      <c r="B49" s="20">
        <f>IF(27134.42145="","-",27134.42145)</f>
        <v>27134.421450000002</v>
      </c>
      <c r="C49" s="32">
        <f>IF(OR(47566.82636="",27134.42145=""),"-",27134.42145/47566.82636*100)</f>
        <v>57.044843069072058</v>
      </c>
      <c r="D49" s="32">
        <f>IF(47566.82636="","-",47566.82636/2959029.60112*100)</f>
        <v>1.6075143804575607</v>
      </c>
      <c r="E49" s="32">
        <f>IF(27134.42145="","-",27134.42145/2667989.85236*100)</f>
        <v>1.0170361564905483</v>
      </c>
      <c r="F49" s="32">
        <f>IF(OR(1808523.91457="",39221.13315="",47566.82636=""),"-",(47566.82636-39221.13315)/1808523.91457*100)</f>
        <v>0.46146435459131285</v>
      </c>
      <c r="G49" s="32">
        <f>IF(OR(2959029.60112="",27134.42145="",47566.82636=""),"-",(27134.42145-47566.82636)/2959029.60112*100)</f>
        <v>-0.6905103248127793</v>
      </c>
    </row>
    <row r="50" spans="1:7" s="6" customFormat="1" x14ac:dyDescent="0.3">
      <c r="A50" s="19" t="s">
        <v>57</v>
      </c>
      <c r="B50" s="20">
        <f>IF(26486.86745="","-",26486.86745)</f>
        <v>26486.867450000002</v>
      </c>
      <c r="C50" s="32" t="s">
        <v>98</v>
      </c>
      <c r="D50" s="32">
        <f>IF(15671.90769="","-",15671.90769/2959029.60112*100)</f>
        <v>0.52962997342331908</v>
      </c>
      <c r="E50" s="32">
        <f>IF(26486.86745="","-",26486.86745/2667989.85236*100)</f>
        <v>0.99276492474552525</v>
      </c>
      <c r="F50" s="32">
        <f>IF(OR(1808523.91457="",14629.00065="",15671.90769=""),"-",(15671.90769-14629.00065)/1808523.91457*100)</f>
        <v>5.7666201237265069E-2</v>
      </c>
      <c r="G50" s="32">
        <f>IF(OR(2959029.60112="",26486.86745="",15671.90769=""),"-",(26486.86745-15671.90769)/2959029.60112*100)</f>
        <v>0.36549008350259538</v>
      </c>
    </row>
    <row r="51" spans="1:7" s="2" customFormat="1" x14ac:dyDescent="0.3">
      <c r="A51" s="19" t="s">
        <v>358</v>
      </c>
      <c r="B51" s="20">
        <f>IF(20325.02751="","-",20325.02751)</f>
        <v>20325.02751</v>
      </c>
      <c r="C51" s="32">
        <f>IF(OR(57923.17365="",20325.02751=""),"-",20325.02751/57923.17365*100)</f>
        <v>35.089630331400187</v>
      </c>
      <c r="D51" s="32">
        <f>IF(57923.17365="","-",57923.17365/2959029.60112*100)</f>
        <v>1.9575057183637481</v>
      </c>
      <c r="E51" s="32">
        <f>IF(20325.02751="","-",20325.02751/2667989.85236*100)</f>
        <v>0.76181052532944504</v>
      </c>
      <c r="F51" s="32">
        <f>IF(OR(1808523.91457="",44195.36787="",57923.17365=""),"-",(57923.17365-44195.36787)/1808523.91457*100)</f>
        <v>0.75906133556790478</v>
      </c>
      <c r="G51" s="32">
        <f>IF(OR(2959029.60112="",20325.02751="",57923.17365=""),"-",(20325.02751-57923.17365)/2959029.60112*100)</f>
        <v>-1.270624198073889</v>
      </c>
    </row>
    <row r="52" spans="1:7" s="4" customFormat="1" x14ac:dyDescent="0.3">
      <c r="A52" s="19" t="s">
        <v>60</v>
      </c>
      <c r="B52" s="20">
        <f>IF(18087.64878="","-",18087.64878)</f>
        <v>18087.64878</v>
      </c>
      <c r="C52" s="32" t="s">
        <v>311</v>
      </c>
      <c r="D52" s="32">
        <f>IF(7637.65625="","-",7637.65625/2959029.60112*100)</f>
        <v>0.25811354665425207</v>
      </c>
      <c r="E52" s="32">
        <f>IF(18087.64878="","-",18087.64878/2667989.85236*100)</f>
        <v>0.6779504338819119</v>
      </c>
      <c r="F52" s="32">
        <f>IF(OR(1808523.91457="",3511.32166="",7637.65625=""),"-",(7637.65625-3511.32166)/1808523.91457*100)</f>
        <v>0.22816035534598336</v>
      </c>
      <c r="G52" s="32">
        <f>IF(OR(2959029.60112="",18087.64878="",7637.65625=""),"-",(18087.64878-7637.65625)/2959029.60112*100)</f>
        <v>0.35315606596313376</v>
      </c>
    </row>
    <row r="53" spans="1:7" s="2" customFormat="1" x14ac:dyDescent="0.3">
      <c r="A53" s="19" t="s">
        <v>55</v>
      </c>
      <c r="B53" s="20">
        <f>IF(12515.34556="","-",12515.34556)</f>
        <v>12515.34556</v>
      </c>
      <c r="C53" s="32">
        <f>IF(OR(10971.18186="",12515.34556=""),"-",12515.34556/10971.18186*100)</f>
        <v>114.07472521834579</v>
      </c>
      <c r="D53" s="32">
        <f>IF(10971.18186="","-",10971.18186/2959029.60112*100)</f>
        <v>0.37076958797057596</v>
      </c>
      <c r="E53" s="32">
        <f>IF(12515.34556="","-",12515.34556/2667989.85236*100)</f>
        <v>0.4690926972203216</v>
      </c>
      <c r="F53" s="32">
        <f>IF(OR(1808523.91457="",13409.68715="",10971.18186=""),"-",(10971.18186-13409.68715)/1808523.91457*100)</f>
        <v>-0.13483400857211145</v>
      </c>
      <c r="G53" s="32">
        <f>IF(OR(2959029.60112="",12515.34556="",10971.18186=""),"-",(12515.34556-10971.18186)/2959029.60112*100)</f>
        <v>5.2184800700051444E-2</v>
      </c>
    </row>
    <row r="54" spans="1:7" s="4" customFormat="1" x14ac:dyDescent="0.3">
      <c r="A54" s="72" t="s">
        <v>63</v>
      </c>
      <c r="B54" s="20">
        <f>IF(9744.78371="","-",9744.78371)</f>
        <v>9744.7837099999997</v>
      </c>
      <c r="C54" s="32">
        <f>IF(OR(11083.74881="",9744.78371=""),"-",9744.78371/11083.74881*100)</f>
        <v>87.919564734343709</v>
      </c>
      <c r="D54" s="32">
        <f>IF(11083.74881="","-",11083.74881/2959029.60112*100)</f>
        <v>0.37457377262480829</v>
      </c>
      <c r="E54" s="32">
        <f>IF(9744.78371="","-",9744.78371/2667989.85236*100)</f>
        <v>0.36524815495007013</v>
      </c>
      <c r="F54" s="32">
        <f>IF(OR(1808523.91457="",6485.69607="",11083.74881=""),"-",(11083.74881-6485.69607)/1808523.91457*100)</f>
        <v>0.25424340275274965</v>
      </c>
      <c r="G54" s="32">
        <f>IF(OR(2959029.60112="",9744.78371="",11083.74881=""),"-",(9744.78371-11083.74881)/2959029.60112*100)</f>
        <v>-4.5250142124066549E-2</v>
      </c>
    </row>
    <row r="55" spans="1:7" s="2" customFormat="1" x14ac:dyDescent="0.3">
      <c r="A55" s="19" t="s">
        <v>71</v>
      </c>
      <c r="B55" s="20">
        <f>IF(7915.56345="","-",7915.56345)</f>
        <v>7915.5634499999996</v>
      </c>
      <c r="C55" s="32" t="s">
        <v>333</v>
      </c>
      <c r="D55" s="32">
        <f>IF(2366.34788="","-",2366.34788/2959029.60112*100)</f>
        <v>7.9970402428699308E-2</v>
      </c>
      <c r="E55" s="32">
        <f>IF(7915.56345="","-",7915.56345/2667989.85236*100)</f>
        <v>0.29668641516751648</v>
      </c>
      <c r="F55" s="32">
        <f>IF(OR(1808523.91457="",12442.78957="",2366.34788=""),"-",(2366.34788-12442.78957)/1808523.91457*100)</f>
        <v>-0.55716386213205293</v>
      </c>
      <c r="G55" s="32">
        <f>IF(OR(2959029.60112="",7915.56345="",2366.34788=""),"-",(7915.56345-2366.34788)/2959029.60112*100)</f>
        <v>0.18753497997788224</v>
      </c>
    </row>
    <row r="56" spans="1:7" s="2" customFormat="1" x14ac:dyDescent="0.3">
      <c r="A56" s="19" t="s">
        <v>65</v>
      </c>
      <c r="B56" s="20">
        <f>IF(7227.24722="","-",7227.24722)</f>
        <v>7227.2472200000002</v>
      </c>
      <c r="C56" s="32">
        <f>IF(OR(9261.13968="",7227.24722=""),"-",7227.24722/9261.13968*100)</f>
        <v>78.038421508830965</v>
      </c>
      <c r="D56" s="32">
        <f>IF(9261.13968="","-",9261.13968/2959029.60112*100)</f>
        <v>0.31297894676331178</v>
      </c>
      <c r="E56" s="32">
        <f>IF(7227.24722="","-",7227.24722/2667989.85236*100)</f>
        <v>0.27088735789632257</v>
      </c>
      <c r="F56" s="32">
        <f>IF(OR(1808523.91457="",4901.5061="",9261.13968=""),"-",(9261.13968-4901.5061)/1808523.91457*100)</f>
        <v>0.24106032244735673</v>
      </c>
      <c r="G56" s="32">
        <f>IF(OR(2959029.60112="",7227.24722="",9261.13968=""),"-",(7227.24722-9261.13968)/2959029.60112*100)</f>
        <v>-6.8735117054258832E-2</v>
      </c>
    </row>
    <row r="57" spans="1:7" s="4" customFormat="1" x14ac:dyDescent="0.3">
      <c r="A57" s="19" t="s">
        <v>34</v>
      </c>
      <c r="B57" s="20">
        <f>IF(6738.96368="","-",6738.96368)</f>
        <v>6738.9636799999998</v>
      </c>
      <c r="C57" s="32">
        <f>IF(OR(5988.7218="",6738.96368=""),"-",6738.96368/5988.7218*100)</f>
        <v>112.52757942437732</v>
      </c>
      <c r="D57" s="32">
        <f>IF(5988.7218="","-",5988.7218/2959029.60112*100)</f>
        <v>0.20238803281093418</v>
      </c>
      <c r="E57" s="32">
        <f>IF(6738.96368="","-",6738.96368/2667989.85236*100)</f>
        <v>0.25258580627804766</v>
      </c>
      <c r="F57" s="32">
        <f>IF(OR(1808523.91457="",2718.20147="",5988.7218=""),"-",(5988.7218-2718.20147)/1808523.91457*100)</f>
        <v>0.18083920835393591</v>
      </c>
      <c r="G57" s="32">
        <f>IF(OR(2959029.60112="",6738.96368="",5988.7218=""),"-",(6738.96368-5988.7218)/2959029.60112*100)</f>
        <v>2.5354321555824628E-2</v>
      </c>
    </row>
    <row r="58" spans="1:7" s="6" customFormat="1" x14ac:dyDescent="0.3">
      <c r="A58" s="19" t="s">
        <v>59</v>
      </c>
      <c r="B58" s="20">
        <f>IF(6722.10049="","-",6722.10049)</f>
        <v>6722.1004899999998</v>
      </c>
      <c r="C58" s="32">
        <f>IF(OR(5395.85316="",6722.10049=""),"-",6722.10049/5395.85316*100)</f>
        <v>124.57901078242092</v>
      </c>
      <c r="D58" s="32">
        <f>IF(5395.85316="","-",5395.85316/2959029.60112*100)</f>
        <v>0.18235211834169068</v>
      </c>
      <c r="E58" s="32">
        <f>IF(6722.10049="","-",6722.10049/2667989.85236*100)</f>
        <v>0.25195375027584499</v>
      </c>
      <c r="F58" s="32">
        <f>IF(OR(1808523.91457="",8199.12149="",5395.85316=""),"-",(5395.85316-8199.12149)/1808523.91457*100)</f>
        <v>-0.1550031109578395</v>
      </c>
      <c r="G58" s="32">
        <f>IF(OR(2959029.60112="",6722.10049="",5395.85316=""),"-",(6722.10049-5395.85316)/2959029.60112*100)</f>
        <v>4.482034682917712E-2</v>
      </c>
    </row>
    <row r="59" spans="1:7" s="2" customFormat="1" x14ac:dyDescent="0.3">
      <c r="A59" s="19" t="s">
        <v>56</v>
      </c>
      <c r="B59" s="20">
        <f>IF(4321.28163="","-",4321.28163)</f>
        <v>4321.2816300000004</v>
      </c>
      <c r="C59" s="32">
        <f>IF(OR(5240.04955="",4321.28163=""),"-",4321.28163/5240.04955*100)</f>
        <v>82.466426868043655</v>
      </c>
      <c r="D59" s="32">
        <f>IF(5240.04955="","-",5240.04955/2959029.60112*100)</f>
        <v>0.17708675668592935</v>
      </c>
      <c r="E59" s="32">
        <f>IF(4321.28163="","-",4321.28163/2667989.85236*100)</f>
        <v>0.16196769362438027</v>
      </c>
      <c r="F59" s="32">
        <f>IF(OR(1808523.91457="",7907.28422="",5240.04955=""),"-",(5240.04955-7907.28422)/1808523.91457*100)</f>
        <v>-0.14748130497539866</v>
      </c>
      <c r="G59" s="32">
        <f>IF(OR(2959029.60112="",4321.28163="",5240.04955=""),"-",(4321.28163-5240.04955)/2959029.60112*100)</f>
        <v>-3.1049635990537016E-2</v>
      </c>
    </row>
    <row r="60" spans="1:7" s="2" customFormat="1" x14ac:dyDescent="0.3">
      <c r="A60" s="19" t="s">
        <v>54</v>
      </c>
      <c r="B60" s="20">
        <f>IF(3247.39636="","-",3247.39636)</f>
        <v>3247.3963600000002</v>
      </c>
      <c r="C60" s="32">
        <f>IF(OR(6066.3258="",3247.39636=""),"-",3247.39636/6066.3258*100)</f>
        <v>53.531519194040001</v>
      </c>
      <c r="D60" s="32">
        <f>IF(6066.3258="","-",6066.3258/2959029.60112*100)</f>
        <v>0.20501064935963736</v>
      </c>
      <c r="E60" s="32">
        <f>IF(3247.39636="","-",3247.39636/2667989.85236*100)</f>
        <v>0.12171696819339398</v>
      </c>
      <c r="F60" s="32">
        <f>IF(OR(1808523.91457="",3801.46819="",6066.3258=""),"-",(6066.3258-3801.46819)/1808523.91457*100)</f>
        <v>0.12523238381055629</v>
      </c>
      <c r="G60" s="32">
        <f>IF(OR(2959029.60112="",3247.39636="",6066.3258=""),"-",(3247.39636-6066.3258)/2959029.60112*100)</f>
        <v>-9.5265334247857061E-2</v>
      </c>
    </row>
    <row r="61" spans="1:7" s="2" customFormat="1" x14ac:dyDescent="0.3">
      <c r="A61" s="19" t="s">
        <v>62</v>
      </c>
      <c r="B61" s="20">
        <f>IF(3172.23834="","-",3172.23834)</f>
        <v>3172.2383399999999</v>
      </c>
      <c r="C61" s="32" t="s">
        <v>381</v>
      </c>
      <c r="D61" s="32">
        <f>IF(304.2128="","-",304.2128/2959029.60112*100)</f>
        <v>1.0280829900615214E-2</v>
      </c>
      <c r="E61" s="32">
        <f>IF(3172.23834="","-",3172.23834/2667989.85236*100)</f>
        <v>0.11889994023755232</v>
      </c>
      <c r="F61" s="32">
        <f>IF(OR(1808523.91457="",3318.15316="",304.2128=""),"-",(304.2128-3318.15316)/1808523.91457*100)</f>
        <v>-0.16665194945550957</v>
      </c>
      <c r="G61" s="32">
        <f>IF(OR(2959029.60112="",3172.23834="",304.2128=""),"-",(3172.23834-304.2128)/2959029.60112*100)</f>
        <v>9.6924530221476832E-2</v>
      </c>
    </row>
    <row r="62" spans="1:7" s="2" customFormat="1" x14ac:dyDescent="0.3">
      <c r="A62" s="72" t="s">
        <v>297</v>
      </c>
      <c r="B62" s="20">
        <f>IF(3000.3="","-",3000.3)</f>
        <v>3000.3</v>
      </c>
      <c r="C62" s="32" t="str">
        <f>IF(OR(""="",3000.3=""),"-",3000.3/""*100)</f>
        <v>-</v>
      </c>
      <c r="D62" s="32" t="str">
        <f>IF(""="","-",""/2959029.60112*100)</f>
        <v>-</v>
      </c>
      <c r="E62" s="32">
        <f>IF(3000.3="","-",3000.3/2667989.85236*100)</f>
        <v>0.11245545020892983</v>
      </c>
      <c r="F62" s="32" t="str">
        <f>IF(OR(1808523.91457="",""="",""=""),"-",(""-"")/1808523.91457*100)</f>
        <v>-</v>
      </c>
      <c r="G62" s="32" t="str">
        <f>IF(OR(2959029.60112="",3000.3="",""=""),"-",(3000.3-"")/2959029.60112*100)</f>
        <v>-</v>
      </c>
    </row>
    <row r="63" spans="1:7" s="2" customFormat="1" x14ac:dyDescent="0.3">
      <c r="A63" s="19" t="s">
        <v>116</v>
      </c>
      <c r="B63" s="20">
        <f>IF(2486.21824="","-",2486.21824)</f>
        <v>2486.2182400000002</v>
      </c>
      <c r="C63" s="32">
        <f>IF(OR(1942.23948="",2486.21824=""),"-",2486.21824/1942.23948*100)</f>
        <v>128.00781085965775</v>
      </c>
      <c r="D63" s="32">
        <f>IF(1942.23948="","-",1942.23948/2959029.60112*100)</f>
        <v>6.5637717151084185E-2</v>
      </c>
      <c r="E63" s="32">
        <f>IF(2486.21824="","-",2486.21824/2667989.85236*100)</f>
        <v>9.3186945137770608E-2</v>
      </c>
      <c r="F63" s="32">
        <f>IF(OR(1808523.91457="",1786.13013="",1942.23948=""),"-",(1942.23948-1786.13013)/1808523.91457*100)</f>
        <v>8.6318653982033165E-3</v>
      </c>
      <c r="G63" s="32">
        <f>IF(OR(2959029.60112="",2486.21824="",1942.23948=""),"-",(2486.21824-1942.23948)/2959029.60112*100)</f>
        <v>1.8383687672272792E-2</v>
      </c>
    </row>
    <row r="64" spans="1:7" s="2" customFormat="1" x14ac:dyDescent="0.3">
      <c r="A64" s="19" t="s">
        <v>72</v>
      </c>
      <c r="B64" s="20">
        <f>IF(2147.51265="","-",2147.51265)</f>
        <v>2147.5126500000001</v>
      </c>
      <c r="C64" s="32">
        <f>IF(OR(2452.31514="",2147.51265=""),"-",2147.51265/2452.31514*100)</f>
        <v>87.57082705120844</v>
      </c>
      <c r="D64" s="32">
        <f>IF(2452.31514="","-",2452.31514/2959029.60112*100)</f>
        <v>8.2875654203384552E-2</v>
      </c>
      <c r="E64" s="32">
        <f>IF(2147.51265="","-",2147.51265/2667989.85236*100)</f>
        <v>8.0491784783228992E-2</v>
      </c>
      <c r="F64" s="32">
        <f>IF(OR(1808523.91457="",2043.19366="",2452.31514=""),"-",(2452.31514-2043.19366)/1808523.91457*100)</f>
        <v>2.2621845180149258E-2</v>
      </c>
      <c r="G64" s="32">
        <f>IF(OR(2959029.60112="",2147.51265="",2452.31514=""),"-",(2147.51265-2452.31514)/2959029.60112*100)</f>
        <v>-1.0300758393381113E-2</v>
      </c>
    </row>
    <row r="65" spans="1:7" s="2" customFormat="1" x14ac:dyDescent="0.3">
      <c r="A65" s="19" t="s">
        <v>81</v>
      </c>
      <c r="B65" s="20">
        <f>IF(2017.81247="","-",2017.81247)</f>
        <v>2017.8124700000001</v>
      </c>
      <c r="C65" s="32" t="s">
        <v>382</v>
      </c>
      <c r="D65" s="32">
        <f>IF(310.14785="","-",310.14785/2959029.60112*100)</f>
        <v>1.0481404102297871E-2</v>
      </c>
      <c r="E65" s="32">
        <f>IF(2017.81247="","-",2017.81247/2667989.85236*100)</f>
        <v>7.5630440206326935E-2</v>
      </c>
      <c r="F65" s="32">
        <f>IF(OR(1808523.91457="",102.18825="",310.14785=""),"-",(310.14785-102.18825)/1808523.91457*100)</f>
        <v>1.1498858175145839E-2</v>
      </c>
      <c r="G65" s="32">
        <f>IF(OR(2959029.60112="",2017.81247="",310.14785=""),"-",(2017.81247-310.14785)/2959029.60112*100)</f>
        <v>5.7710291892776093E-2</v>
      </c>
    </row>
    <row r="66" spans="1:7" s="2" customFormat="1" x14ac:dyDescent="0.3">
      <c r="A66" s="19" t="s">
        <v>35</v>
      </c>
      <c r="B66" s="20">
        <f>IF(1879.65842="","-",1879.65842)</f>
        <v>1879.65842</v>
      </c>
      <c r="C66" s="32" t="s">
        <v>296</v>
      </c>
      <c r="D66" s="32">
        <f>IF(445.3563="","-",445.3563/2959029.60112*100)</f>
        <v>1.5050755147276374E-2</v>
      </c>
      <c r="E66" s="32">
        <f>IF(1879.65842="","-",1879.65842/2667989.85236*100)</f>
        <v>7.0452232730095557E-2</v>
      </c>
      <c r="F66" s="32">
        <f>IF(OR(1808523.91457="",564.6465="",445.3563=""),"-",(445.3563-564.6465)/1808523.91457*100)</f>
        <v>-6.5959979317366533E-3</v>
      </c>
      <c r="G66" s="32">
        <f>IF(OR(2959029.60112="",1879.65842="",445.3563=""),"-",(1879.65842-445.3563)/2959029.60112*100)</f>
        <v>4.8472043654349158E-2</v>
      </c>
    </row>
    <row r="67" spans="1:7" s="2" customFormat="1" x14ac:dyDescent="0.3">
      <c r="A67" s="19" t="s">
        <v>58</v>
      </c>
      <c r="B67" s="20">
        <f>IF(1824.37844="","-",1824.37844)</f>
        <v>1824.37844</v>
      </c>
      <c r="C67" s="32" t="s">
        <v>383</v>
      </c>
      <c r="D67" s="32">
        <f>IF(146.55697="","-",146.55697/2959029.60112*100)</f>
        <v>4.9528727236972502E-3</v>
      </c>
      <c r="E67" s="32">
        <f>IF(1824.37844="","-",1824.37844/2667989.85236*100)</f>
        <v>6.8380261581063584E-2</v>
      </c>
      <c r="F67" s="32">
        <f>IF(OR(1808523.91457="",2749.44746="",146.55697=""),"-",(146.55697-2749.44746)/1808523.91457*100)</f>
        <v>-0.14392347643458564</v>
      </c>
      <c r="G67" s="32">
        <f>IF(OR(2959029.60112="",1824.37844="",146.55697=""),"-",(1824.37844-146.55697)/2959029.60112*100)</f>
        <v>5.6701746726864115E-2</v>
      </c>
    </row>
    <row r="68" spans="1:7" x14ac:dyDescent="0.3">
      <c r="A68" s="19" t="s">
        <v>310</v>
      </c>
      <c r="B68" s="20">
        <f>IF(1726.17099="","-",1726.17099)</f>
        <v>1726.1709900000001</v>
      </c>
      <c r="C68" s="32" t="s">
        <v>384</v>
      </c>
      <c r="D68" s="32">
        <f>IF(48.74235="","-",48.74235/2959029.60112*100)</f>
        <v>1.6472410408314572E-3</v>
      </c>
      <c r="E68" s="32">
        <f>IF(1726.17099="","-",1726.17099/2667989.85236*100)</f>
        <v>6.4699308675147185E-2</v>
      </c>
      <c r="F68" s="32">
        <f>IF(OR(1808523.91457="",2085.50385="",48.74235=""),"-",(48.74235-2085.50385)/1808523.91457*100)</f>
        <v>-0.11262010325610024</v>
      </c>
      <c r="G68" s="32">
        <f>IF(OR(2959029.60112="",1726.17099="",48.74235=""),"-",(1726.17099-48.74235)/2959029.60112*100)</f>
        <v>5.6688471090829549E-2</v>
      </c>
    </row>
    <row r="69" spans="1:7" x14ac:dyDescent="0.3">
      <c r="A69" s="72" t="s">
        <v>68</v>
      </c>
      <c r="B69" s="20">
        <f>IF(1613.46823="","-",1613.46823)</f>
        <v>1613.4682299999999</v>
      </c>
      <c r="C69" s="32">
        <f>IF(OR(1106.60771="",1613.46823=""),"-",1613.46823/1106.60771*100)</f>
        <v>145.80308951579596</v>
      </c>
      <c r="D69" s="32">
        <f>IF(1106.60771="","-",1106.60771/2959029.60112*100)</f>
        <v>3.7397655960627982E-2</v>
      </c>
      <c r="E69" s="32">
        <f>IF(1613.46823="","-",1613.46823/2667989.85236*100)</f>
        <v>6.0475051229028805E-2</v>
      </c>
      <c r="F69" s="32">
        <f>IF(OR(1808523.91457="",493.86589="",1106.60771=""),"-",(1106.60771-493.86589)/1808523.91457*100)</f>
        <v>3.388076956370728E-2</v>
      </c>
      <c r="G69" s="32">
        <f>IF(OR(2959029.60112="",1613.46823="",1106.60771=""),"-",(1613.46823-1106.60771)/2959029.60112*100)</f>
        <v>1.7129281836455845E-2</v>
      </c>
    </row>
    <row r="70" spans="1:7" x14ac:dyDescent="0.3">
      <c r="A70" s="19" t="s">
        <v>378</v>
      </c>
      <c r="B70" s="20">
        <f>IF(1558.26378="","-",1558.26378)</f>
        <v>1558.26378</v>
      </c>
      <c r="C70" s="32">
        <f>IF(OR(981.30878="",1558.26378=""),"-",1558.26378/981.30878*100)</f>
        <v>158.79443980925149</v>
      </c>
      <c r="D70" s="32">
        <f>IF(981.30878="","-",981.30878/2959029.60112*100)</f>
        <v>3.3163195786502855E-2</v>
      </c>
      <c r="E70" s="32">
        <f>IF(1558.26378="","-",1558.26378/2667989.85236*100)</f>
        <v>5.8405911050284566E-2</v>
      </c>
      <c r="F70" s="32">
        <f>IF(OR(1808523.91457="",871.14716="",981.30878=""),"-",(981.30878-871.14716)/1808523.91457*100)</f>
        <v>6.0912448606571133E-3</v>
      </c>
      <c r="G70" s="32">
        <f>IF(OR(2959029.60112="",1558.26378="",981.30878=""),"-",(1558.26378-981.30878)/2959029.60112*100)</f>
        <v>1.9498115185519645E-2</v>
      </c>
    </row>
    <row r="71" spans="1:7" x14ac:dyDescent="0.3">
      <c r="A71" s="19" t="s">
        <v>73</v>
      </c>
      <c r="B71" s="20">
        <f>IF(1351.68264="","-",1351.68264)</f>
        <v>1351.68264</v>
      </c>
      <c r="C71" s="32">
        <f>IF(OR(1448.58176="",1351.68264=""),"-",1351.68264/1448.58176*100)</f>
        <v>93.31075934574794</v>
      </c>
      <c r="D71" s="32">
        <f>IF(1448.58176="","-",1448.58176/2959029.60112*100)</f>
        <v>4.8954622131921498E-2</v>
      </c>
      <c r="E71" s="32">
        <f>IF(1351.68264="","-",1351.68264/2667989.85236*100)</f>
        <v>5.0662960310900507E-2</v>
      </c>
      <c r="F71" s="32">
        <f>IF(OR(1808523.91457="",1858.62346="",1448.58176=""),"-",(1448.58176-1858.62346)/1808523.91457*100)</f>
        <v>-2.2672727559563E-2</v>
      </c>
      <c r="G71" s="32">
        <f>IF(OR(2959029.60112="",1351.68264="",1448.58176=""),"-",(1351.68264-1448.58176)/2959029.60112*100)</f>
        <v>-3.2746924857839708E-3</v>
      </c>
    </row>
    <row r="72" spans="1:7" x14ac:dyDescent="0.3">
      <c r="A72" s="72" t="s">
        <v>82</v>
      </c>
      <c r="B72" s="20">
        <f>IF(1252.90306="","-",1252.90306)</f>
        <v>1252.9030600000001</v>
      </c>
      <c r="C72" s="32" t="s">
        <v>352</v>
      </c>
      <c r="D72" s="32">
        <f>IF(302.87106="","-",302.87106/2959029.60112*100)</f>
        <v>1.0235485981125792E-2</v>
      </c>
      <c r="E72" s="32">
        <f>IF(1252.90306="","-",1252.90306/2667989.85236*100)</f>
        <v>4.6960563170498223E-2</v>
      </c>
      <c r="F72" s="32">
        <f>IF(OR(1808523.91457="",208.76717="",302.87106=""),"-",(302.87106-208.76717)/1808523.91457*100)</f>
        <v>5.2033533669016713E-3</v>
      </c>
      <c r="G72" s="32">
        <f>IF(OR(2959029.60112="",1252.90306="",302.87106=""),"-",(1252.90306-302.87106)/2959029.60112*100)</f>
        <v>3.210620129113987E-2</v>
      </c>
    </row>
    <row r="73" spans="1:7" x14ac:dyDescent="0.3">
      <c r="A73" s="19" t="s">
        <v>74</v>
      </c>
      <c r="B73" s="20">
        <f>IF(893.50271="","-",893.50271)</f>
        <v>893.50270999999998</v>
      </c>
      <c r="C73" s="32">
        <f>IF(OR(1301.65159="",893.50271=""),"-",893.50271/1301.65159*100)</f>
        <v>68.643768952028097</v>
      </c>
      <c r="D73" s="32">
        <f>IF(1301.65159="","-",1301.65159/2959029.60112*100)</f>
        <v>4.3989137165350481E-2</v>
      </c>
      <c r="E73" s="32">
        <f>IF(893.50271="","-",893.50271/2667989.85236*100)</f>
        <v>3.3489734198563097E-2</v>
      </c>
      <c r="F73" s="32">
        <f>IF(OR(1808523.91457="",231.99417="",1301.65159=""),"-",(1301.65159-231.99417)/1808523.91457*100)</f>
        <v>5.9145329037815067E-2</v>
      </c>
      <c r="G73" s="32">
        <f>IF(OR(2959029.60112="",893.50271="",1301.65159=""),"-",(893.50271-1301.65159)/2959029.60112*100)</f>
        <v>-1.3793335485576578E-2</v>
      </c>
    </row>
    <row r="74" spans="1:7" x14ac:dyDescent="0.3">
      <c r="A74" s="72" t="s">
        <v>86</v>
      </c>
      <c r="B74" s="20">
        <f>IF(767.44655="","-",767.44655)</f>
        <v>767.44655</v>
      </c>
      <c r="C74" s="32">
        <f>IF(OR(1595.22198="",767.44655=""),"-",767.44655/1595.22198*100)</f>
        <v>48.109075703683565</v>
      </c>
      <c r="D74" s="32">
        <f>IF(1595.22198="","-",1595.22198/2959029.60112*100)</f>
        <v>5.3910308277963989E-2</v>
      </c>
      <c r="E74" s="32">
        <f>IF(767.44655="","-",767.44655/2667989.85236*100)</f>
        <v>2.8764972599919999E-2</v>
      </c>
      <c r="F74" s="32">
        <f>IF(OR(1808523.91457="",2003.12972="",1595.22198=""),"-",(1595.22198-2003.12972)/1808523.91457*100)</f>
        <v>-2.2554732990466717E-2</v>
      </c>
      <c r="G74" s="32">
        <f>IF(OR(2959029.60112="",767.44655="",1595.22198=""),"-",(767.44655-1595.22198)/2959029.60112*100)</f>
        <v>-2.7974557256429104E-2</v>
      </c>
    </row>
    <row r="75" spans="1:7" x14ac:dyDescent="0.3">
      <c r="A75" s="19" t="s">
        <v>128</v>
      </c>
      <c r="B75" s="20">
        <f>IF(759.37446="","-",759.37446)</f>
        <v>759.37446</v>
      </c>
      <c r="C75" s="32">
        <f>IF(OR(634.79235="",759.37446=""),"-",759.37446/634.79235*100)</f>
        <v>119.62564766257815</v>
      </c>
      <c r="D75" s="32">
        <f>IF(634.79235="","-",634.79235/2959029.60112*100)</f>
        <v>2.1452720505388982E-2</v>
      </c>
      <c r="E75" s="32">
        <f>IF(759.37446="","-",759.37446/2667989.85236*100)</f>
        <v>2.8462419350219304E-2</v>
      </c>
      <c r="F75" s="32">
        <f>IF(OR(1808523.91457="",621.31435="",634.79235=""),"-",(634.79235-621.31435)/1808523.91457*100)</f>
        <v>7.4524864677858772E-4</v>
      </c>
      <c r="G75" s="32">
        <f>IF(OR(2959029.60112="",759.37446="",634.79235=""),"-",(759.37446-634.79235)/2959029.60112*100)</f>
        <v>4.2102353404252979E-3</v>
      </c>
    </row>
    <row r="76" spans="1:7" x14ac:dyDescent="0.3">
      <c r="A76" s="19" t="s">
        <v>88</v>
      </c>
      <c r="B76" s="20">
        <f>IF(720.72833="","-",720.72833)</f>
        <v>720.72833000000003</v>
      </c>
      <c r="C76" s="32">
        <f>IF(OR(461.95161="",720.72833=""),"-",720.72833/461.95161*100)</f>
        <v>156.01814441127286</v>
      </c>
      <c r="D76" s="32">
        <f>IF(461.95161="","-",461.95161/2959029.60112*100)</f>
        <v>1.56115913752654E-2</v>
      </c>
      <c r="E76" s="32">
        <f>IF(720.72833="","-",720.72833/2667989.85236*100)</f>
        <v>2.7013908218671515E-2</v>
      </c>
      <c r="F76" s="32">
        <f>IF(OR(1808523.91457="",529.15237="",461.95161=""),"-",(461.95161-529.15237)/1808523.91457*100)</f>
        <v>-3.7157794518839892E-3</v>
      </c>
      <c r="G76" s="32">
        <f>IF(OR(2959029.60112="",720.72833="",461.95161=""),"-",(720.72833-461.95161)/2959029.60112*100)</f>
        <v>8.7453238014939903E-3</v>
      </c>
    </row>
    <row r="77" spans="1:7" x14ac:dyDescent="0.3">
      <c r="A77" s="19" t="s">
        <v>117</v>
      </c>
      <c r="B77" s="20">
        <f>IF(688.96204="","-",688.96204)</f>
        <v>688.96204</v>
      </c>
      <c r="C77" s="32" t="s">
        <v>288</v>
      </c>
      <c r="D77" s="32">
        <f>IF(295.30431="","-",295.30431/2959029.60112*100)</f>
        <v>9.9797687014765452E-3</v>
      </c>
      <c r="E77" s="32">
        <f>IF(688.96204="","-",688.96204/2667989.85236*100)</f>
        <v>2.5823263135374034E-2</v>
      </c>
      <c r="F77" s="32">
        <f>IF(OR(1808523.91457="",336.93794="",295.30431=""),"-",(295.30431-336.93794)/1808523.91457*100)</f>
        <v>-2.3020779357456811E-3</v>
      </c>
      <c r="G77" s="32">
        <f>IF(OR(2959029.60112="",688.96204="",295.30431=""),"-",(688.96204-295.30431)/2959029.60112*100)</f>
        <v>1.330360905652987E-2</v>
      </c>
    </row>
    <row r="78" spans="1:7" x14ac:dyDescent="0.3">
      <c r="A78" s="19" t="s">
        <v>126</v>
      </c>
      <c r="B78" s="20">
        <f>IF(677.54165="","-",677.54165)</f>
        <v>677.54165</v>
      </c>
      <c r="C78" s="32" t="s">
        <v>99</v>
      </c>
      <c r="D78" s="32">
        <f>IF(421.62595="","-",421.62595/2959029.60112*100)</f>
        <v>1.424879121994635E-2</v>
      </c>
      <c r="E78" s="32">
        <f>IF(677.54165="","-",677.54165/2667989.85236*100)</f>
        <v>2.5395210907592961E-2</v>
      </c>
      <c r="F78" s="32">
        <f>IF(OR(1808523.91457="",299.4="",421.62595=""),"-",(421.62595-299.4)/1808523.91457*100)</f>
        <v>6.7583264459657871E-3</v>
      </c>
      <c r="G78" s="32">
        <f>IF(OR(2959029.60112="",677.54165="",421.62595=""),"-",(677.54165-421.62595)/2959029.60112*100)</f>
        <v>8.6486360225370949E-3</v>
      </c>
    </row>
    <row r="79" spans="1:7" x14ac:dyDescent="0.3">
      <c r="A79" s="19" t="s">
        <v>376</v>
      </c>
      <c r="B79" s="20">
        <f>IF(669.94482="","-",669.94482)</f>
        <v>669.94482000000005</v>
      </c>
      <c r="C79" s="32" t="str">
        <f>IF(OR(""="",669.94482=""),"-",669.94482/""*100)</f>
        <v>-</v>
      </c>
      <c r="D79" s="32" t="str">
        <f>IF(""="","-",""/2959029.60112*100)</f>
        <v>-</v>
      </c>
      <c r="E79" s="32">
        <f>IF(669.94482="","-",669.94482/2667989.85236*100)</f>
        <v>2.511047106897326E-2</v>
      </c>
      <c r="F79" s="32" t="str">
        <f>IF(OR(1808523.91457="",""="",""=""),"-",(""-"")/1808523.91457*100)</f>
        <v>-</v>
      </c>
      <c r="G79" s="32" t="str">
        <f>IF(OR(2959029.60112="",669.94482="",""=""),"-",(669.94482-"")/2959029.60112*100)</f>
        <v>-</v>
      </c>
    </row>
    <row r="80" spans="1:7" x14ac:dyDescent="0.3">
      <c r="A80" s="19" t="s">
        <v>83</v>
      </c>
      <c r="B80" s="20">
        <f>IF(651.79447="","-",651.79447)</f>
        <v>651.79447000000005</v>
      </c>
      <c r="C80" s="32">
        <f>IF(OR(601.52964="",651.79447=""),"-",651.79447/601.52964*100)</f>
        <v>108.35616845081817</v>
      </c>
      <c r="D80" s="32">
        <f>IF(601.52964="","-",601.52964/2959029.60112*100)</f>
        <v>2.0328611777736847E-2</v>
      </c>
      <c r="E80" s="32">
        <f>IF(651.79447="","-",651.79447/2667989.85236*100)</f>
        <v>2.4430170505463054E-2</v>
      </c>
      <c r="F80" s="32">
        <f>IF(OR(1808523.91457="",305.1496="",601.52964=""),"-",(601.52964-305.1496)/1808523.91457*100)</f>
        <v>1.6387952496081212E-2</v>
      </c>
      <c r="G80" s="32">
        <f>IF(OR(2959029.60112="",651.79447="",601.52964=""),"-",(651.79447-601.52964)/2959029.60112*100)</f>
        <v>1.6986930438605519E-3</v>
      </c>
    </row>
    <row r="81" spans="1:7" x14ac:dyDescent="0.3">
      <c r="A81" s="19" t="s">
        <v>33</v>
      </c>
      <c r="B81" s="20">
        <f>IF(517.81358="","-",517.81358)</f>
        <v>517.81358</v>
      </c>
      <c r="C81" s="32">
        <f>IF(OR(2015.76884="",517.81358=""),"-",517.81358/2015.76884*100)</f>
        <v>25.688142892416177</v>
      </c>
      <c r="D81" s="32">
        <f>IF(2015.76884="","-",2015.76884/2959029.60112*100)</f>
        <v>6.8122631799189398E-2</v>
      </c>
      <c r="E81" s="32">
        <f>IF(517.81358="","-",517.81358/2667989.85236*100)</f>
        <v>1.9408378916507582E-2</v>
      </c>
      <c r="F81" s="32">
        <f>IF(OR(1808523.91457="",645.06518="",2015.76884=""),"-",(2015.76884-645.06518)/1808523.91457*100)</f>
        <v>7.5791293051599068E-2</v>
      </c>
      <c r="G81" s="32">
        <f>IF(OR(2959029.60112="",517.81358="",2015.76884=""),"-",(517.81358-2015.76884)/2959029.60112*100)</f>
        <v>-5.0623192800539077E-2</v>
      </c>
    </row>
    <row r="82" spans="1:7" x14ac:dyDescent="0.3">
      <c r="A82" s="19" t="s">
        <v>64</v>
      </c>
      <c r="B82" s="20">
        <f>IF(510.20247="","-",510.20247)</f>
        <v>510.20247000000001</v>
      </c>
      <c r="C82" s="32">
        <f>IF(OR(3665.7453="",510.20247=""),"-",510.20247/3665.7453*100)</f>
        <v>13.918110186215065</v>
      </c>
      <c r="D82" s="32">
        <f>IF(3665.7453="","-",3665.7453/2959029.60112*100)</f>
        <v>0.12388336022770799</v>
      </c>
      <c r="E82" s="32">
        <f>IF(510.20247="","-",510.20247/2667989.85236*100)</f>
        <v>1.9123103843468325E-2</v>
      </c>
      <c r="F82" s="32">
        <f>IF(OR(1808523.91457="",789.41019="",3665.7453=""),"-",(3665.7453-789.41019)/1808523.91457*100)</f>
        <v>0.15904324442864146</v>
      </c>
      <c r="G82" s="32">
        <f>IF(OR(2959029.60112="",510.20247="",3665.7453=""),"-",(510.20247-3665.7453)/2959029.60112*100)</f>
        <v>-0.10664113764882986</v>
      </c>
    </row>
    <row r="83" spans="1:7" x14ac:dyDescent="0.3">
      <c r="A83" s="19" t="s">
        <v>92</v>
      </c>
      <c r="B83" s="20">
        <f>IF(462.51196="","-",462.51196)</f>
        <v>462.51195999999999</v>
      </c>
      <c r="C83" s="32" t="s">
        <v>342</v>
      </c>
      <c r="D83" s="32">
        <f>IF(74.70979="","-",74.70979/2959029.60112*100)</f>
        <v>2.5248071182431618E-3</v>
      </c>
      <c r="E83" s="32">
        <f>IF(462.51196="","-",462.51196/2667989.85236*100)</f>
        <v>1.7335596669937853E-2</v>
      </c>
      <c r="F83" s="32">
        <f>IF(OR(1808523.91457="",28.60973="",74.70979=""),"-",(74.70979-28.60973)/1808523.91457*100)</f>
        <v>2.5490434286549583E-3</v>
      </c>
      <c r="G83" s="32">
        <f>IF(OR(2959029.60112="",462.51196="",74.70979=""),"-",(462.51196-74.70979)/2959029.60112*100)</f>
        <v>1.3105721208507544E-2</v>
      </c>
    </row>
    <row r="84" spans="1:7" x14ac:dyDescent="0.3">
      <c r="A84" s="19" t="s">
        <v>298</v>
      </c>
      <c r="B84" s="20">
        <f>IF(430.84858="","-",430.84858)</f>
        <v>430.84858000000003</v>
      </c>
      <c r="C84" s="32" t="s">
        <v>350</v>
      </c>
      <c r="D84" s="32">
        <f>IF(20.2905="","-",20.2905/2959029.60112*100)</f>
        <v>6.8571466781947705E-4</v>
      </c>
      <c r="E84" s="32">
        <f>IF(430.84858="","-",430.84858/2667989.85236*100)</f>
        <v>1.6148808797712935E-2</v>
      </c>
      <c r="F84" s="32">
        <f>IF(OR(1808523.91457="",575.78474="",20.2905=""),"-",(20.2905-575.78474)/1808523.91457*100)</f>
        <v>-3.0715338377600387E-2</v>
      </c>
      <c r="G84" s="32">
        <f>IF(OR(2959029.60112="",430.84858="",20.2905=""),"-",(430.84858-20.2905)/2959029.60112*100)</f>
        <v>1.3874754069530187E-2</v>
      </c>
    </row>
    <row r="85" spans="1:7" x14ac:dyDescent="0.3">
      <c r="A85" s="19" t="s">
        <v>67</v>
      </c>
      <c r="B85" s="20">
        <f>IF(400.20361="","-",400.20361)</f>
        <v>400.20361000000003</v>
      </c>
      <c r="C85" s="32" t="s">
        <v>335</v>
      </c>
      <c r="D85" s="32">
        <f>IF(59.84156="","-",59.84156/2959029.60112*100)</f>
        <v>2.0223373222542224E-3</v>
      </c>
      <c r="E85" s="32">
        <f>IF(400.20361="","-",400.20361/2667989.85236*100)</f>
        <v>1.5000192360026988E-2</v>
      </c>
      <c r="F85" s="32">
        <f>IF(OR(1808523.91457="",1667.77169="",59.84156=""),"-",(59.84156-1667.77169)/1808523.91457*100)</f>
        <v>-8.8908425099941582E-2</v>
      </c>
      <c r="G85" s="32">
        <f>IF(OR(2959029.60112="",400.20361="",59.84156=""),"-",(400.20361-59.84156)/2959029.60112*100)</f>
        <v>1.1502488852128149E-2</v>
      </c>
    </row>
    <row r="86" spans="1:7" x14ac:dyDescent="0.3">
      <c r="A86" s="19" t="s">
        <v>97</v>
      </c>
      <c r="B86" s="20">
        <f>IF(398.00468="","-",398.00468)</f>
        <v>398.00468000000001</v>
      </c>
      <c r="C86" s="32">
        <f>IF(OR(1540.36567="",398.00468=""),"-",398.00468/1540.36567*100)</f>
        <v>25.838324480446257</v>
      </c>
      <c r="D86" s="32">
        <f>IF(1540.36567="","-",1540.36567/2959029.60112*100)</f>
        <v>5.2056446796509503E-2</v>
      </c>
      <c r="E86" s="32">
        <f>IF(398.00468="","-",398.00468/2667989.85236*100)</f>
        <v>1.491777338088226E-2</v>
      </c>
      <c r="F86" s="32">
        <f>IF(OR(1808523.91457="",349.62882="",1540.36567=""),"-",(1540.36567-349.62882)/1808523.91457*100)</f>
        <v>6.5840260137401227E-2</v>
      </c>
      <c r="G86" s="32">
        <f>IF(OR(2959029.60112="",398.00468="",1540.36567=""),"-",(398.00468-1540.36567)/2959029.60112*100)</f>
        <v>-3.8605933160236507E-2</v>
      </c>
    </row>
    <row r="87" spans="1:7" x14ac:dyDescent="0.3">
      <c r="A87" s="19" t="s">
        <v>121</v>
      </c>
      <c r="B87" s="20">
        <f>IF(372.06125="","-",372.06125)</f>
        <v>372.06124999999997</v>
      </c>
      <c r="C87" s="32">
        <f>IF(OR(324.29225="",372.06125=""),"-",372.06125/324.29225*100)</f>
        <v>114.73023175854493</v>
      </c>
      <c r="D87" s="32">
        <f>IF(324.29225="","-",324.29225/2959029.60112*100)</f>
        <v>1.0959412162597314E-2</v>
      </c>
      <c r="E87" s="32">
        <f>IF(372.06125="","-",372.06125/2667989.85236*100)</f>
        <v>1.3945377253623702E-2</v>
      </c>
      <c r="F87" s="32">
        <f>IF(OR(1808523.91457="",344.19813="",324.29225=""),"-",(324.29225-344.19813)/1808523.91457*100)</f>
        <v>-1.100669990572552E-3</v>
      </c>
      <c r="G87" s="32">
        <f>IF(OR(2959029.60112="",372.06125="",324.29225=""),"-",(372.06125-324.29225)/2959029.60112*100)</f>
        <v>1.6143468109247462E-3</v>
      </c>
    </row>
    <row r="88" spans="1:7" x14ac:dyDescent="0.3">
      <c r="A88" s="19" t="s">
        <v>79</v>
      </c>
      <c r="B88" s="20">
        <f>IF(356.49301="","-",356.49301)</f>
        <v>356.49301000000003</v>
      </c>
      <c r="C88" s="32">
        <f>IF(OR(306.35468="",356.49301=""),"-",356.49301/306.35468*100)</f>
        <v>116.3661054565904</v>
      </c>
      <c r="D88" s="32">
        <f>IF(306.35468="","-",306.35468/2959029.60112*100)</f>
        <v>1.0353214441790106E-2</v>
      </c>
      <c r="E88" s="32">
        <f>IF(356.49301="","-",356.49301/2667989.85236*100)</f>
        <v>1.3361857792849556E-2</v>
      </c>
      <c r="F88" s="32">
        <f>IF(OR(1808523.91457="",378.75375="",306.35468=""),"-",(306.35468-378.75375)/1808523.91457*100)</f>
        <v>-4.0032133065386567E-3</v>
      </c>
      <c r="G88" s="32">
        <f>IF(OR(2959029.60112="",356.49301="",306.35468=""),"-",(356.49301-306.35468)/2959029.60112*100)</f>
        <v>1.6944179936903159E-3</v>
      </c>
    </row>
    <row r="89" spans="1:7" x14ac:dyDescent="0.3">
      <c r="A89" s="19" t="s">
        <v>283</v>
      </c>
      <c r="B89" s="20">
        <f>IF(332.16578="","-",332.16578)</f>
        <v>332.16577999999998</v>
      </c>
      <c r="C89" s="32">
        <f>IF(OR(389.40949="",332.16578=""),"-",332.16578/389.40949*100)</f>
        <v>85.299867756176155</v>
      </c>
      <c r="D89" s="32">
        <f>IF(389.40949="","-",389.40949/2959029.60112*100)</f>
        <v>1.3160040367714048E-2</v>
      </c>
      <c r="E89" s="32">
        <f>IF(332.16578="","-",332.16578/2667989.85236*100)</f>
        <v>1.2450039107389371E-2</v>
      </c>
      <c r="F89" s="32">
        <f>IF(OR(1808523.91457="",467.23276="",389.40949=""),"-",(389.40949-467.23276)/1808523.91457*100)</f>
        <v>-4.3031374577373769E-3</v>
      </c>
      <c r="G89" s="32">
        <f>IF(OR(2959029.60112="",332.16578="",389.40949=""),"-",(332.16578-389.40949)/2959029.60112*100)</f>
        <v>-1.9345433373945684E-3</v>
      </c>
    </row>
    <row r="90" spans="1:7" x14ac:dyDescent="0.3">
      <c r="A90" s="19" t="s">
        <v>36</v>
      </c>
      <c r="B90" s="20">
        <f>IF(291.93712="","-",291.93712)</f>
        <v>291.93711999999999</v>
      </c>
      <c r="C90" s="32">
        <f>IF(OR(1029.49915="",291.93712=""),"-",291.93712/1029.49915*100)</f>
        <v>28.357198740766322</v>
      </c>
      <c r="D90" s="32">
        <f>IF(1029.49915="","-",1029.49915/2959029.60112*100)</f>
        <v>3.4791782738852368E-2</v>
      </c>
      <c r="E90" s="32">
        <f>IF(291.93712="","-",291.93712/2667989.85236*100)</f>
        <v>1.0942212532846171E-2</v>
      </c>
      <c r="F90" s="32">
        <f>IF(OR(1808523.91457="",638.13319="",1029.49915=""),"-",(1029.49915-638.13319)/1808523.91457*100)</f>
        <v>2.1640076575545442E-2</v>
      </c>
      <c r="G90" s="32">
        <f>IF(OR(2959029.60112="",291.93712="",1029.49915=""),"-",(291.93712-1029.49915)/2959029.60112*100)</f>
        <v>-2.4925807762140369E-2</v>
      </c>
    </row>
    <row r="91" spans="1:7" x14ac:dyDescent="0.3">
      <c r="A91" s="72" t="s">
        <v>291</v>
      </c>
      <c r="B91" s="20">
        <f>IF(280.44384="","-",280.44384)</f>
        <v>280.44384000000002</v>
      </c>
      <c r="C91" s="32" t="str">
        <f>IF(OR(""="",280.44384=""),"-",280.44384/""*100)</f>
        <v>-</v>
      </c>
      <c r="D91" s="32" t="str">
        <f>IF(""="","-",""/2959029.60112*100)</f>
        <v>-</v>
      </c>
      <c r="E91" s="32">
        <f>IF(280.44384="","-",280.44384/2667989.85236*100)</f>
        <v>1.0511428285678462E-2</v>
      </c>
      <c r="F91" s="32" t="str">
        <f>IF(OR(1808523.91457="",""="",""=""),"-",(""-"")/1808523.91457*100)</f>
        <v>-</v>
      </c>
      <c r="G91" s="32" t="str">
        <f>IF(OR(2959029.60112="",280.44384="",""=""),"-",(280.44384-"")/2959029.60112*100)</f>
        <v>-</v>
      </c>
    </row>
    <row r="92" spans="1:7" x14ac:dyDescent="0.3">
      <c r="A92" s="19" t="s">
        <v>66</v>
      </c>
      <c r="B92" s="20">
        <f>IF(252.12608="","-",252.12608)</f>
        <v>252.12608</v>
      </c>
      <c r="C92" s="32" t="s">
        <v>385</v>
      </c>
      <c r="D92" s="32">
        <f>IF(57.31967="","-",57.31967/2959029.60112*100)</f>
        <v>1.9371103951884893E-3</v>
      </c>
      <c r="E92" s="32">
        <f>IF(252.12608="","-",252.12608/2667989.85236*100)</f>
        <v>9.4500389413767483E-3</v>
      </c>
      <c r="F92" s="32">
        <f>IF(OR(1808523.91457="",190.19476="",57.31967=""),"-",(57.31967-190.19476)/1808523.91457*100)</f>
        <v>-7.3471569233627071E-3</v>
      </c>
      <c r="G92" s="32">
        <f>IF(OR(2959029.60112="",252.12608="",57.31967=""),"-",(252.12608-57.31967)/2959029.60112*100)</f>
        <v>6.5834559386045112E-3</v>
      </c>
    </row>
    <row r="93" spans="1:7" x14ac:dyDescent="0.3">
      <c r="A93" s="19" t="s">
        <v>192</v>
      </c>
      <c r="B93" s="20">
        <f>IF(248.91124="","-",248.91124)</f>
        <v>248.91123999999999</v>
      </c>
      <c r="C93" s="32">
        <f>IF(OR(442.82385="",248.91124=""),"-",248.91124/442.82385*100)</f>
        <v>56.2099895929273</v>
      </c>
      <c r="D93" s="32">
        <f>IF(442.82385="","-",442.82385/2959029.60112*100)</f>
        <v>1.49651713464573E-2</v>
      </c>
      <c r="E93" s="32">
        <f>IF(248.91124="","-",248.91124/2667989.85236*100)</f>
        <v>9.3295422311978748E-3</v>
      </c>
      <c r="F93" s="32">
        <f>IF(OR(1808523.91457="",527.05521="",442.82385=""),"-",(442.82385-527.05521)/1808523.91457*100)</f>
        <v>-4.6574645389760904E-3</v>
      </c>
      <c r="G93" s="32">
        <f>IF(OR(2959029.60112="",248.91124="",442.82385=""),"-",(248.91124-442.82385)/2959029.60112*100)</f>
        <v>-6.5532500900499146E-3</v>
      </c>
    </row>
    <row r="94" spans="1:7" x14ac:dyDescent="0.3">
      <c r="A94" s="19" t="s">
        <v>87</v>
      </c>
      <c r="B94" s="20">
        <f>IF(243.54894="","-",243.54894)</f>
        <v>243.54893999999999</v>
      </c>
      <c r="C94" s="32" t="s">
        <v>386</v>
      </c>
      <c r="D94" s="32">
        <f>IF(9.73585="","-",9.73585/2959029.60112*100)</f>
        <v>3.2902171699515805E-4</v>
      </c>
      <c r="E94" s="32">
        <f>IF(243.54894="","-",243.54894/2667989.85236*100)</f>
        <v>9.1285557096315827E-3</v>
      </c>
      <c r="F94" s="32">
        <f>IF(OR(1808523.91457="",0.73254="",9.73585=""),"-",(9.73585-0.73254)/1808523.91457*100)</f>
        <v>4.9782642781036454E-4</v>
      </c>
      <c r="G94" s="32">
        <f>IF(OR(2959029.60112="",243.54894="",9.73585=""),"-",(243.54894-9.73585)/2959029.60112*100)</f>
        <v>7.9016813455161511E-3</v>
      </c>
    </row>
    <row r="95" spans="1:7" x14ac:dyDescent="0.3">
      <c r="A95" s="72" t="s">
        <v>281</v>
      </c>
      <c r="B95" s="20">
        <f>IF(232.72327="","-",232.72327)</f>
        <v>232.72327000000001</v>
      </c>
      <c r="C95" s="32">
        <f>IF(OR(235.27328="",232.72327=""),"-",232.72327/235.27328*100)</f>
        <v>98.916149764223121</v>
      </c>
      <c r="D95" s="32">
        <f>IF(235.27328="","-",235.27328/2959029.60112*100)</f>
        <v>7.9510282665286123E-3</v>
      </c>
      <c r="E95" s="32">
        <f>IF(232.72327="","-",232.72327/2667989.85236*100)</f>
        <v>8.722794421205991E-3</v>
      </c>
      <c r="F95" s="32">
        <f>IF(OR(1808523.91457="",754.08253="",235.27328=""),"-",(235.27328-754.08253)/1808523.91457*100)</f>
        <v>-2.8686889115500231E-2</v>
      </c>
      <c r="G95" s="32">
        <f>IF(OR(2959029.60112="",232.72327="",235.27328=""),"-",(232.72327-235.27328)/2959029.60112*100)</f>
        <v>-8.617723861345629E-5</v>
      </c>
    </row>
    <row r="96" spans="1:7" x14ac:dyDescent="0.3">
      <c r="A96" s="19" t="s">
        <v>290</v>
      </c>
      <c r="B96" s="20">
        <f>IF(225.83482="","-",225.83482)</f>
        <v>225.83482000000001</v>
      </c>
      <c r="C96" s="32" t="s">
        <v>186</v>
      </c>
      <c r="D96" s="32">
        <f>IF(103.23663="","-",103.23663/2959029.60112*100)</f>
        <v>3.4888677680319485E-3</v>
      </c>
      <c r="E96" s="32">
        <f>IF(225.83482="","-",225.83482/2667989.85236*100)</f>
        <v>8.4646056580850691E-3</v>
      </c>
      <c r="F96" s="32">
        <f>IF(OR(1808523.91457="",97.30713="",103.23663=""),"-",(103.23663-97.30713)/1808523.91457*100)</f>
        <v>3.2786406373895365E-4</v>
      </c>
      <c r="G96" s="32">
        <f>IF(OR(2959029.60112="",225.83482="",103.23663=""),"-",(225.83482-103.23663)/2959029.60112*100)</f>
        <v>4.1431890358108042E-3</v>
      </c>
    </row>
    <row r="97" spans="1:7" x14ac:dyDescent="0.3">
      <c r="A97" s="19" t="s">
        <v>91</v>
      </c>
      <c r="B97" s="20">
        <f>IF(225.3753="","-",225.3753)</f>
        <v>225.37530000000001</v>
      </c>
      <c r="C97" s="32">
        <f>IF(OR(815.89751="",225.3753=""),"-",225.3753/815.89751*100)</f>
        <v>27.622991520099138</v>
      </c>
      <c r="D97" s="32">
        <f>IF(815.89751="","-",815.89751/2959029.60112*100)</f>
        <v>2.757314457723508E-2</v>
      </c>
      <c r="E97" s="32">
        <f>IF(225.3753="","-",225.3753/2667989.85236*100)</f>
        <v>8.4473822042704476E-3</v>
      </c>
      <c r="F97" s="32">
        <f>IF(OR(1808523.91457="",266.47488="",815.89751=""),"-",(815.89751-266.47488)/1808523.91457*100)</f>
        <v>3.0379616524486619E-2</v>
      </c>
      <c r="G97" s="32">
        <f>IF(OR(2959029.60112="",225.3753="",815.89751=""),"-",(225.3753-815.89751)/2959029.60112*100)</f>
        <v>-1.9956617188840758E-2</v>
      </c>
    </row>
    <row r="98" spans="1:7" x14ac:dyDescent="0.3">
      <c r="A98" s="19" t="s">
        <v>313</v>
      </c>
      <c r="B98" s="20">
        <f>IF(220.2171="","-",220.2171)</f>
        <v>220.21709999999999</v>
      </c>
      <c r="C98" s="32" t="s">
        <v>278</v>
      </c>
      <c r="D98" s="32">
        <f>IF(77.70942="","-",77.70942/2959029.60112*100)</f>
        <v>2.6261792031612927E-3</v>
      </c>
      <c r="E98" s="32">
        <f>IF(220.2171="","-",220.2171/2667989.85236*100)</f>
        <v>8.2540456368379554E-3</v>
      </c>
      <c r="F98" s="32">
        <f>IF(OR(1808523.91457="",45.51214="",77.70942=""),"-",(77.70942-45.51214)/1808523.91457*100)</f>
        <v>1.7803071190051313E-3</v>
      </c>
      <c r="G98" s="32">
        <f>IF(OR(2959029.60112="",220.2171="",77.70942=""),"-",(220.2171-77.70942)/2959029.60112*100)</f>
        <v>4.8160275228764354E-3</v>
      </c>
    </row>
    <row r="99" spans="1:7" x14ac:dyDescent="0.3">
      <c r="A99" s="72" t="s">
        <v>322</v>
      </c>
      <c r="B99" s="20">
        <f>IF(215.64302="","-",215.64302)</f>
        <v>215.64302000000001</v>
      </c>
      <c r="C99" s="32">
        <f>IF(OR(176.90536="",215.64302=""),"-",215.64302/176.90536*100)</f>
        <v>121.89739191622007</v>
      </c>
      <c r="D99" s="32">
        <f>IF(176.90536="","-",176.90536/2959029.60112*100)</f>
        <v>5.9784924061942772E-3</v>
      </c>
      <c r="E99" s="32">
        <f>IF(215.64302="","-",215.64302/2667989.85236*100)</f>
        <v>8.0826027059004973E-3</v>
      </c>
      <c r="F99" s="32">
        <f>IF(OR(1808523.91457="",211.45377="",176.90536=""),"-",(176.90536-211.45377)/1808523.91457*100)</f>
        <v>-1.9103098234791284E-3</v>
      </c>
      <c r="G99" s="32">
        <f>IF(OR(2959029.60112="",215.64302="",176.90536=""),"-",(215.64302-176.90536)/2959029.60112*100)</f>
        <v>1.3091339128658162E-3</v>
      </c>
    </row>
    <row r="100" spans="1:7" x14ac:dyDescent="0.3">
      <c r="A100" s="19" t="s">
        <v>96</v>
      </c>
      <c r="B100" s="20">
        <f>IF(204.33663="","-",204.33663)</f>
        <v>204.33663000000001</v>
      </c>
      <c r="C100" s="32" t="s">
        <v>90</v>
      </c>
      <c r="D100" s="32">
        <f>IF(97.9432="","-",97.9432/2959029.60112*100)</f>
        <v>3.3099770263510806E-3</v>
      </c>
      <c r="E100" s="32">
        <f>IF(204.33663="","-",204.33663/2667989.85236*100)</f>
        <v>7.658823357939379E-3</v>
      </c>
      <c r="F100" s="32">
        <f>IF(OR(1808523.91457="",336.88869="",97.9432=""),"-",(97.9432-336.88869)/1808523.91457*100)</f>
        <v>-1.3212183044691029E-2</v>
      </c>
      <c r="G100" s="32">
        <f>IF(OR(2959029.60112="",204.33663="",97.9432=""),"-",(204.33663-97.9432)/2959029.60112*100)</f>
        <v>3.5955513915687035E-3</v>
      </c>
    </row>
    <row r="101" spans="1:7" x14ac:dyDescent="0.3">
      <c r="A101" s="72" t="s">
        <v>304</v>
      </c>
      <c r="B101" s="20">
        <f>IF(196.02687="","-",196.02687)</f>
        <v>196.02687</v>
      </c>
      <c r="C101" s="32" t="s">
        <v>316</v>
      </c>
      <c r="D101" s="32">
        <f>IF(61.02556="","-",61.02556/2959029.60112*100)</f>
        <v>2.0623504400531065E-3</v>
      </c>
      <c r="E101" s="32">
        <f>IF(196.02687="","-",196.02687/2667989.85236*100)</f>
        <v>7.3473619034421086E-3</v>
      </c>
      <c r="F101" s="32">
        <f>IF(OR(1808523.91457="",103.75509="",61.02556=""),"-",(61.02556-103.75509)/1808523.91457*100)</f>
        <v>-2.362674314437224E-3</v>
      </c>
      <c r="G101" s="32">
        <f>IF(OR(2959029.60112="",196.02687="",61.02556=""),"-",(196.02687-61.02556)/2959029.60112*100)</f>
        <v>4.5623507770554805E-3</v>
      </c>
    </row>
    <row r="102" spans="1:7" x14ac:dyDescent="0.3">
      <c r="A102" s="19" t="s">
        <v>93</v>
      </c>
      <c r="B102" s="20">
        <f>IF(187.23601="","-",187.23601)</f>
        <v>187.23600999999999</v>
      </c>
      <c r="C102" s="32">
        <f>IF(OR(117.22409="",187.23601=""),"-",187.23601/117.22409*100)</f>
        <v>159.72485689588206</v>
      </c>
      <c r="D102" s="32">
        <f>IF(117.22409="","-",117.22409/2959029.60112*100)</f>
        <v>3.9615720625312571E-3</v>
      </c>
      <c r="E102" s="32">
        <f>IF(187.23601="","-",187.23601/2667989.85236*100)</f>
        <v>7.0178681464765809E-3</v>
      </c>
      <c r="F102" s="32">
        <f>IF(OR(1808523.91457="",102.5224="",117.22409=""),"-",(117.22409-102.5224)/1808523.91457*100)</f>
        <v>8.1291100889288018E-4</v>
      </c>
      <c r="G102" s="32">
        <f>IF(OR(2959029.60112="",187.23601="",117.22409=""),"-",(187.23601-117.22409)/2959029.60112*100)</f>
        <v>2.3660432451740364E-3</v>
      </c>
    </row>
    <row r="103" spans="1:7" x14ac:dyDescent="0.3">
      <c r="A103" s="19" t="s">
        <v>294</v>
      </c>
      <c r="B103" s="20">
        <f>IF(175.10164="","-",175.10164)</f>
        <v>175.10164</v>
      </c>
      <c r="C103" s="32" t="str">
        <f>IF(OR(""="",175.10164=""),"-",175.10164/""*100)</f>
        <v>-</v>
      </c>
      <c r="D103" s="32" t="str">
        <f>IF(""="","-",""/2959029.60112*100)</f>
        <v>-</v>
      </c>
      <c r="E103" s="32">
        <f>IF(175.10164="","-",175.10164/2667989.85236*100)</f>
        <v>6.5630549473459174E-3</v>
      </c>
      <c r="F103" s="32" t="str">
        <f>IF(OR(1808523.91457="",""="",""=""),"-",(""-"")/1808523.91457*100)</f>
        <v>-</v>
      </c>
      <c r="G103" s="32" t="str">
        <f>IF(OR(2959029.60112="",175.10164="",""=""),"-",(175.10164-"")/2959029.60112*100)</f>
        <v>-</v>
      </c>
    </row>
    <row r="104" spans="1:7" x14ac:dyDescent="0.3">
      <c r="A104" s="19" t="s">
        <v>113</v>
      </c>
      <c r="B104" s="20">
        <f>IF(173.98936="","-",173.98936)</f>
        <v>173.98936</v>
      </c>
      <c r="C104" s="32">
        <f>IF(OR(278.60007="",173.98936=""),"-",173.98936/278.60007*100)</f>
        <v>62.451298020133308</v>
      </c>
      <c r="D104" s="32">
        <f>IF(278.60007="","-",278.60007/2959029.60112*100)</f>
        <v>9.4152511990603007E-3</v>
      </c>
      <c r="E104" s="32">
        <f>IF(173.98936="","-",173.98936/2667989.85236*100)</f>
        <v>6.5213651336078282E-3</v>
      </c>
      <c r="F104" s="32">
        <f>IF(OR(1808523.91457="",368.992="",278.60007=""),"-",(278.60007-368.992)/1808523.91457*100)</f>
        <v>-4.9981053206858955E-3</v>
      </c>
      <c r="G104" s="32">
        <f>IF(OR(2959029.60112="",173.98936="",278.60007=""),"-",(173.98936-278.60007)/2959029.60112*100)</f>
        <v>-3.5353046133909782E-3</v>
      </c>
    </row>
    <row r="105" spans="1:7" x14ac:dyDescent="0.3">
      <c r="A105" s="19" t="s">
        <v>101</v>
      </c>
      <c r="B105" s="20">
        <f>IF(171.60371="","-",171.60371)</f>
        <v>171.60371000000001</v>
      </c>
      <c r="C105" s="32">
        <f>IF(OR(389.98956="",171.60371=""),"-",171.60371/389.98956*100)</f>
        <v>44.002129185201781</v>
      </c>
      <c r="D105" s="32">
        <f>IF(389.98956="","-",389.98956/2959029.60112*100)</f>
        <v>1.3179643753897833E-2</v>
      </c>
      <c r="E105" s="32">
        <f>IF(171.60371="","-",171.60371/2667989.85236*100)</f>
        <v>6.4319476270948348E-3</v>
      </c>
      <c r="F105" s="32">
        <f>IF(OR(1808523.91457="",100.60856="",389.98956=""),"-",(389.98956-100.60856)/1808523.91457*100)</f>
        <v>1.6000949595892076E-2</v>
      </c>
      <c r="G105" s="32">
        <f>IF(OR(2959029.60112="",171.60371="",389.98956=""),"-",(171.60371-389.98956)/2959029.60112*100)</f>
        <v>-7.3803198831583301E-3</v>
      </c>
    </row>
    <row r="106" spans="1:7" x14ac:dyDescent="0.3">
      <c r="A106" s="72" t="s">
        <v>312</v>
      </c>
      <c r="B106" s="20">
        <f>IF(164.60524="","-",164.60524)</f>
        <v>164.60524000000001</v>
      </c>
      <c r="C106" s="32" t="s">
        <v>296</v>
      </c>
      <c r="D106" s="32">
        <f>IF(39.53341="","-",39.53341/2959029.60112*100)</f>
        <v>1.3360261751026929E-3</v>
      </c>
      <c r="E106" s="32">
        <f>IF(164.60524="","-",164.60524/2667989.85236*100)</f>
        <v>6.1696351601336344E-3</v>
      </c>
      <c r="F106" s="32" t="str">
        <f>IF(OR(1808523.91457="",""="",39.53341=""),"-",(39.53341-"")/1808523.91457*100)</f>
        <v>-</v>
      </c>
      <c r="G106" s="32">
        <f>IF(OR(2959029.60112="",164.60524="",39.53341=""),"-",(164.60524-39.53341)/2959029.60112*100)</f>
        <v>4.2267853607365069E-3</v>
      </c>
    </row>
    <row r="107" spans="1:7" x14ac:dyDescent="0.3">
      <c r="A107" s="19" t="s">
        <v>323</v>
      </c>
      <c r="B107" s="20">
        <f>IF(163.33998="","-",163.33998)</f>
        <v>163.33998</v>
      </c>
      <c r="C107" s="32" t="str">
        <f>IF(OR(""="",163.33998=""),"-",163.33998/""*100)</f>
        <v>-</v>
      </c>
      <c r="D107" s="32" t="str">
        <f>IF(""="","-",""/2959029.60112*100)</f>
        <v>-</v>
      </c>
      <c r="E107" s="32">
        <f>IF(163.33998="","-",163.33998/2667989.85236*100)</f>
        <v>6.1222114415283788E-3</v>
      </c>
      <c r="F107" s="32" t="str">
        <f>IF(OR(1808523.91457="",""="",""=""),"-",(""-"")/1808523.91457*100)</f>
        <v>-</v>
      </c>
      <c r="G107" s="32" t="str">
        <f>IF(OR(2959029.60112="",163.33998="",""=""),"-",(163.33998-"")/2959029.60112*100)</f>
        <v>-</v>
      </c>
    </row>
    <row r="108" spans="1:7" x14ac:dyDescent="0.3">
      <c r="A108" s="72" t="s">
        <v>324</v>
      </c>
      <c r="B108" s="20">
        <f>IF(147.2="","-",147.2)</f>
        <v>147.19999999999999</v>
      </c>
      <c r="C108" s="32" t="s">
        <v>342</v>
      </c>
      <c r="D108" s="32">
        <f>IF(23.58668="","-",23.58668/2959029.60112*100)</f>
        <v>7.9710861936198231E-4</v>
      </c>
      <c r="E108" s="32">
        <f>IF(147.2="","-",147.2/2667989.85236*100)</f>
        <v>5.5172623640150882E-3</v>
      </c>
      <c r="F108" s="32">
        <f>IF(OR(1808523.91457="",60.504="",23.58668=""),"-",(23.58668-60.504)/1808523.91457*100)</f>
        <v>-2.0412956501477931E-3</v>
      </c>
      <c r="G108" s="32">
        <f>IF(OR(2959029.60112="",147.2="",23.58668=""),"-",(147.2-23.58668)/2959029.60112*100)</f>
        <v>4.1774952150938965E-3</v>
      </c>
    </row>
    <row r="109" spans="1:7" x14ac:dyDescent="0.3">
      <c r="A109" s="19" t="s">
        <v>377</v>
      </c>
      <c r="B109" s="20">
        <f>IF(111.00945="","-",111.00945)</f>
        <v>111.00945</v>
      </c>
      <c r="C109" s="32" t="str">
        <f>IF(OR(""="",111.00945=""),"-",111.00945/""*100)</f>
        <v>-</v>
      </c>
      <c r="D109" s="32" t="str">
        <f>IF(""="","-",""/2959029.60112*100)</f>
        <v>-</v>
      </c>
      <c r="E109" s="32">
        <f>IF(111.00945="","-",111.00945/2667989.85236*100)</f>
        <v>4.1607898134172197E-3</v>
      </c>
      <c r="F109" s="32" t="str">
        <f>IF(OR(1808523.91457="",""="",""=""),"-",(""-"")/1808523.91457*100)</f>
        <v>-</v>
      </c>
      <c r="G109" s="32" t="str">
        <f>IF(OR(2959029.60112="",111.00945="",""=""),"-",(111.00945-"")/2959029.60112*100)</f>
        <v>-</v>
      </c>
    </row>
    <row r="110" spans="1:7" x14ac:dyDescent="0.3">
      <c r="A110" s="19" t="s">
        <v>303</v>
      </c>
      <c r="B110" s="20">
        <f>IF(92.8949="","-",92.8949)</f>
        <v>92.894900000000007</v>
      </c>
      <c r="C110" s="32">
        <f>IF(OR(117.96092="",92.8949=""),"-",92.8949/117.96092*100)</f>
        <v>78.750572647280137</v>
      </c>
      <c r="D110" s="32">
        <f>IF(117.96092="","-",117.96092/2959029.60112*100)</f>
        <v>3.9864731314398312E-3</v>
      </c>
      <c r="E110" s="32">
        <f>IF(92.8949="","-",92.8949/2667989.85236*100)</f>
        <v>3.4818310840960954E-3</v>
      </c>
      <c r="F110" s="32">
        <f>IF(OR(1808523.91457="",4.10857="",117.96092=""),"-",(117.96092-4.10857)/1808523.91457*100)</f>
        <v>6.2953190213727341E-3</v>
      </c>
      <c r="G110" s="32">
        <f>IF(OR(2959029.60112="",92.8949="",117.96092=""),"-",(92.8949-117.96092)/2959029.60112*100)</f>
        <v>-8.4710271200100348E-4</v>
      </c>
    </row>
    <row r="111" spans="1:7" s="28" customFormat="1" ht="11.4" x14ac:dyDescent="0.2">
      <c r="A111" s="19" t="s">
        <v>302</v>
      </c>
      <c r="B111" s="20">
        <f>IF(79.2239="","-",79.2239)</f>
        <v>79.2239</v>
      </c>
      <c r="C111" s="32" t="s">
        <v>351</v>
      </c>
      <c r="D111" s="32">
        <f>IF(0.6="","-",0.6/2959029.60112*100)</f>
        <v>2.0276917803488636E-5</v>
      </c>
      <c r="E111" s="32">
        <f>IF(79.2239="","-",79.2239/2667989.85236*100)</f>
        <v>2.9694228383185801E-3</v>
      </c>
      <c r="F111" s="32" t="str">
        <f>IF(OR(1808523.91457="",""="",0.6=""),"-",(0.6-"")/1808523.91457*100)</f>
        <v>-</v>
      </c>
      <c r="G111" s="32">
        <f>IF(OR(2959029.60112="",79.2239="",0.6=""),"-",(79.2239-0.6)/2959029.60112*100)</f>
        <v>2.6570839294828507E-3</v>
      </c>
    </row>
    <row r="112" spans="1:7" s="28" customFormat="1" ht="14.25" customHeight="1" x14ac:dyDescent="0.2">
      <c r="A112" s="19" t="s">
        <v>80</v>
      </c>
      <c r="B112" s="20">
        <f>IF(74.85839="","-",74.85839)</f>
        <v>74.85839</v>
      </c>
      <c r="C112" s="32">
        <f>IF(OR(1764.66139="",74.85839=""),"-",74.85839/1764.66139*100)</f>
        <v>4.2420823861284793</v>
      </c>
      <c r="D112" s="32">
        <f>IF(1764.66139="","-",1764.66139/2959029.60112*100)</f>
        <v>5.9636489926700002E-2</v>
      </c>
      <c r="E112" s="32">
        <f>IF(74.85839="","-",74.85839/2667989.85236*100)</f>
        <v>2.8057974033815452E-3</v>
      </c>
      <c r="F112" s="32">
        <f>IF(OR(1808523.91457="",440.26803="",1764.66139=""),"-",(1764.66139-440.26803)/1808523.91457*100)</f>
        <v>7.3230624672988728E-2</v>
      </c>
      <c r="G112" s="32">
        <f>IF(OR(2959029.60112="",74.85839="",1764.66139=""),"-",(74.85839-1764.66139)/2959029.60112*100)</f>
        <v>-5.7106660891814175E-2</v>
      </c>
    </row>
    <row r="113" spans="1:7" x14ac:dyDescent="0.3">
      <c r="A113" s="72" t="s">
        <v>359</v>
      </c>
      <c r="B113" s="20">
        <f>IF(64.3808="","-",64.3808)</f>
        <v>64.380799999999994</v>
      </c>
      <c r="C113" s="32" t="s">
        <v>187</v>
      </c>
      <c r="D113" s="32">
        <f>IF(35.35="","-",35.35/2959029.60112*100)</f>
        <v>1.1946484072555387E-3</v>
      </c>
      <c r="E113" s="32">
        <f>IF(64.3808="","-",64.3808/2667989.85236*100)</f>
        <v>2.4130826413395557E-3</v>
      </c>
      <c r="F113" s="32" t="str">
        <f>IF(OR(1808523.91457="",""="",35.35=""),"-",(35.35-"")/1808523.91457*100)</f>
        <v>-</v>
      </c>
      <c r="G113" s="32">
        <f>IF(OR(2959029.60112="",64.3808="",35.35=""),"-",(64.3808-35.35)/2959029.60112*100)</f>
        <v>9.810919089491962E-4</v>
      </c>
    </row>
    <row r="114" spans="1:7" x14ac:dyDescent="0.3">
      <c r="A114" s="33" t="s">
        <v>305</v>
      </c>
      <c r="B114" s="70">
        <f>IF(50.55="","-",50.55)</f>
        <v>50.55</v>
      </c>
      <c r="C114" s="35" t="str">
        <f>IF(OR(""="",50.55=""),"-",50.55/""*100)</f>
        <v>-</v>
      </c>
      <c r="D114" s="35" t="str">
        <f>IF(""="","-",""/2959029.60112*100)</f>
        <v>-</v>
      </c>
      <c r="E114" s="35">
        <f>IF(50.55="","-",50.55/2667989.85236*100)</f>
        <v>1.8946848675337141E-3</v>
      </c>
      <c r="F114" s="35" t="str">
        <f>IF(OR(1808523.91457="",""="",""=""),"-",(""-"")/1808523.91457*100)</f>
        <v>-</v>
      </c>
      <c r="G114" s="35" t="str">
        <f>IF(OR(2959029.60112="",50.55="",""=""),"-",(50.55-"")/2959029.60112*100)</f>
        <v>-</v>
      </c>
    </row>
    <row r="115" spans="1:7" s="28" customFormat="1" ht="14.25" customHeight="1" x14ac:dyDescent="0.2">
      <c r="A115" s="10" t="s">
        <v>268</v>
      </c>
      <c r="B115" s="11"/>
      <c r="C115" s="12"/>
      <c r="D115" s="11"/>
      <c r="E115" s="11"/>
      <c r="F115" s="27"/>
      <c r="G115" s="27"/>
    </row>
    <row r="116" spans="1:7" s="28" customFormat="1" ht="15" customHeight="1" x14ac:dyDescent="0.2">
      <c r="A116" s="81" t="s">
        <v>325</v>
      </c>
      <c r="B116" s="81"/>
      <c r="C116" s="81"/>
      <c r="D116" s="81"/>
      <c r="E116" s="81"/>
      <c r="F116" s="27"/>
      <c r="G116" s="27"/>
    </row>
  </sheetData>
  <mergeCells count="7">
    <mergeCell ref="A116:E116"/>
    <mergeCell ref="A1:G1"/>
    <mergeCell ref="A3:A4"/>
    <mergeCell ref="B3:C3"/>
    <mergeCell ref="D3:E3"/>
    <mergeCell ref="F3:G3"/>
    <mergeCell ref="A2:G2"/>
  </mergeCells>
  <phoneticPr fontId="3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N132"/>
  <sheetViews>
    <sheetView zoomScaleNormal="100" workbookViewId="0">
      <selection sqref="A1:G1"/>
    </sheetView>
  </sheetViews>
  <sheetFormatPr defaultRowHeight="15.6" x14ac:dyDescent="0.3"/>
  <cols>
    <col min="1" max="1" width="29" customWidth="1"/>
    <col min="2" max="2" width="11.69921875" customWidth="1"/>
    <col min="3" max="3" width="11.5" customWidth="1"/>
    <col min="4" max="5" width="8.3984375" customWidth="1"/>
    <col min="6" max="7" width="10" customWidth="1"/>
    <col min="9" max="9" width="10.19921875" bestFit="1" customWidth="1"/>
  </cols>
  <sheetData>
    <row r="1" spans="1:14" x14ac:dyDescent="0.3">
      <c r="A1" s="92" t="s">
        <v>330</v>
      </c>
      <c r="B1" s="92"/>
      <c r="C1" s="92"/>
      <c r="D1" s="92"/>
      <c r="E1" s="92"/>
      <c r="F1" s="92"/>
      <c r="G1" s="92"/>
    </row>
    <row r="2" spans="1:14" x14ac:dyDescent="0.3">
      <c r="A2" s="93"/>
      <c r="B2" s="93"/>
      <c r="C2" s="93"/>
      <c r="D2" s="93"/>
      <c r="E2" s="93"/>
      <c r="F2" s="93"/>
      <c r="G2" s="93"/>
    </row>
    <row r="3" spans="1:14" ht="54" customHeight="1" x14ac:dyDescent="0.3">
      <c r="A3" s="83"/>
      <c r="B3" s="85" t="s">
        <v>360</v>
      </c>
      <c r="C3" s="86"/>
      <c r="D3" s="87" t="s">
        <v>102</v>
      </c>
      <c r="E3" s="88"/>
      <c r="F3" s="89" t="s">
        <v>344</v>
      </c>
      <c r="G3" s="90"/>
    </row>
    <row r="4" spans="1:14" ht="44.25" customHeight="1" x14ac:dyDescent="0.3">
      <c r="A4" s="84"/>
      <c r="B4" s="15" t="s">
        <v>94</v>
      </c>
      <c r="C4" s="14" t="s">
        <v>368</v>
      </c>
      <c r="D4" s="15" t="s">
        <v>361</v>
      </c>
      <c r="E4" s="15" t="s">
        <v>362</v>
      </c>
      <c r="F4" s="15" t="s">
        <v>369</v>
      </c>
      <c r="G4" s="13" t="s">
        <v>370</v>
      </c>
    </row>
    <row r="5" spans="1:14" s="26" customFormat="1" ht="13.2" x14ac:dyDescent="0.25">
      <c r="A5" s="36" t="s">
        <v>111</v>
      </c>
      <c r="B5" s="63">
        <v>5709381.88442</v>
      </c>
      <c r="C5" s="43">
        <f>IF(5891602.28837="","-",5709381.88442/5891602.28837*100)</f>
        <v>96.907116349151707</v>
      </c>
      <c r="D5" s="43">
        <v>100</v>
      </c>
      <c r="E5" s="43">
        <v>100</v>
      </c>
      <c r="F5" s="43">
        <f>IF(4403044.02622="","-",(5891602.28837-4403044.02622)/4403044.02622*100)</f>
        <v>33.807480762983019</v>
      </c>
      <c r="G5" s="43">
        <f>IF(5891602.28837="","-",(5709381.88442-5891602.28837)/5891602.28837*100)</f>
        <v>-3.092883650848302</v>
      </c>
      <c r="I5" s="37"/>
      <c r="J5" s="37"/>
      <c r="K5" s="37"/>
      <c r="L5" s="37"/>
      <c r="M5" s="37"/>
      <c r="N5" s="37"/>
    </row>
    <row r="6" spans="1:14" s="1" customFormat="1" ht="13.8" x14ac:dyDescent="0.25">
      <c r="A6" s="30" t="s">
        <v>114</v>
      </c>
      <c r="B6" s="79"/>
      <c r="C6" s="16"/>
      <c r="D6" s="16"/>
      <c r="E6" s="16"/>
      <c r="F6" s="16"/>
      <c r="G6" s="16"/>
    </row>
    <row r="7" spans="1:14" ht="16.5" customHeight="1" x14ac:dyDescent="0.3">
      <c r="A7" s="17" t="s">
        <v>122</v>
      </c>
      <c r="B7" s="18">
        <v>2784763.5518399999</v>
      </c>
      <c r="C7" s="31">
        <f>IF(2717669.20889="","-",2784763.55184/2717669.20889*100)</f>
        <v>102.4688193371924</v>
      </c>
      <c r="D7" s="31">
        <f>IF(2717669.20889="","-",2717669.20889/5891602.28837*100)</f>
        <v>46.127845633006629</v>
      </c>
      <c r="E7" s="31">
        <f>IF(2784763.55184="","-",2784763.55184/5709381.88442*100)</f>
        <v>48.775219598450384</v>
      </c>
      <c r="F7" s="31">
        <f>IF(4403044.02622="","-",(2717669.20889-2049664.86405)/4403044.02622*100)</f>
        <v>15.171420972900867</v>
      </c>
      <c r="G7" s="31">
        <f>IF(5891602.28837="","-",(2784763.55184-2717669.20889)/5891602.28837*100)</f>
        <v>1.1388131728179265</v>
      </c>
    </row>
    <row r="8" spans="1:14" x14ac:dyDescent="0.3">
      <c r="A8" s="19" t="s">
        <v>1</v>
      </c>
      <c r="B8" s="21">
        <v>889699.63115000003</v>
      </c>
      <c r="C8" s="32">
        <f>IF(OR(989095.44122="",889699.63115=""),"-",889699.63115/989095.44122*100)</f>
        <v>89.950837307732385</v>
      </c>
      <c r="D8" s="32">
        <f>IF(989095.44122="","-",989095.44122/5891602.28837*100)</f>
        <v>16.788224880224359</v>
      </c>
      <c r="E8" s="32">
        <f>IF(889699.63115="","-",889699.63115/5709381.88442*100)</f>
        <v>15.583116511751467</v>
      </c>
      <c r="F8" s="32">
        <f>IF(OR(4403044.02622="",544332.01446="",989095.44122=""),"-",(989095.44122-544332.01446)/4403044.02622*100)</f>
        <v>10.101271395685501</v>
      </c>
      <c r="G8" s="32">
        <f>IF(OR(5891602.28837="",889699.63115="",989095.44122=""),"-",(889699.63115-989095.44122)/5891602.28837*100)</f>
        <v>-1.687076031357496</v>
      </c>
    </row>
    <row r="9" spans="1:14" s="2" customFormat="1" x14ac:dyDescent="0.3">
      <c r="A9" s="19" t="s">
        <v>3</v>
      </c>
      <c r="B9" s="21">
        <v>406680.20215000003</v>
      </c>
      <c r="C9" s="32">
        <f>IF(OR(384633.3817="",406680.20215=""),"-",406680.20215/384633.3817*100)</f>
        <v>105.73190510728882</v>
      </c>
      <c r="D9" s="32">
        <f>IF(384633.3817="","-",384633.3817/5891602.28837*100)</f>
        <v>6.5285021437931201</v>
      </c>
      <c r="E9" s="32">
        <f>IF(406680.20215="","-",406680.20215/5709381.88442*100)</f>
        <v>7.1230162981349334</v>
      </c>
      <c r="F9" s="32">
        <f>IF(OR(4403044.02622="",355771.82286="",384633.3817=""),"-",(384633.3817-355771.82286)/4403044.02622*100)</f>
        <v>0.65549103456904501</v>
      </c>
      <c r="G9" s="32">
        <f>IF(OR(5891602.28837="",406680.20215="",384633.3817=""),"-",(406680.20215-384633.3817)/5891602.28837*100)</f>
        <v>0.37420754780953791</v>
      </c>
    </row>
    <row r="10" spans="1:14" s="2" customFormat="1" x14ac:dyDescent="0.3">
      <c r="A10" s="19" t="s">
        <v>2</v>
      </c>
      <c r="B10" s="20">
        <v>313721.19922000001</v>
      </c>
      <c r="C10" s="32">
        <f>IF(OR(298299.08983="",313721.19922=""),"-",313721.19922/298299.08983*100)</f>
        <v>105.17001557020808</v>
      </c>
      <c r="D10" s="32">
        <f>IF(298299.08983="","-",298299.08983/5891602.28837*100)</f>
        <v>5.0631233275681424</v>
      </c>
      <c r="E10" s="32">
        <f>IF(313721.19922="","-",313721.19922/5709381.88442*100)</f>
        <v>5.4948364914264278</v>
      </c>
      <c r="F10" s="32">
        <f>IF(OR(4403044.02622="",292260.33146="",298299.08983=""),"-",(298299.08983-292260.33146)/4403044.02622*100)</f>
        <v>0.13714962498760774</v>
      </c>
      <c r="G10" s="32">
        <f>IF(OR(5891602.28837="",313721.19922="",298299.08983=""),"-",(313721.19922-298299.08983)/5891602.28837*100)</f>
        <v>0.2617642643741106</v>
      </c>
    </row>
    <row r="11" spans="1:14" s="2" customFormat="1" x14ac:dyDescent="0.3">
      <c r="A11" s="19" t="s">
        <v>4</v>
      </c>
      <c r="B11" s="20">
        <v>207136.96634000001</v>
      </c>
      <c r="C11" s="32">
        <f>IF(OR(196551.43154="",207136.96634=""),"-",207136.96634/196551.43154*100)</f>
        <v>105.38563098577369</v>
      </c>
      <c r="D11" s="32">
        <f>IF(196551.43154="","-",196551.43154/5891602.28837*100)</f>
        <v>3.3361286441210019</v>
      </c>
      <c r="E11" s="32">
        <f>IF(207136.96634="","-",207136.96634/5709381.88442*100)</f>
        <v>3.6280103614236072</v>
      </c>
      <c r="F11" s="32">
        <f>IF(OR(4403044.02622="",167539.52733="",196551.43154=""),"-",(196551.43154-167539.52733)/4403044.02622*100)</f>
        <v>0.65890561250886714</v>
      </c>
      <c r="G11" s="32">
        <f>IF(OR(5891602.28837="",207136.96634="",196551.43154=""),"-",(207136.96634-196551.43154)/5891602.28837*100)</f>
        <v>0.17967157798305272</v>
      </c>
    </row>
    <row r="12" spans="1:14" s="2" customFormat="1" x14ac:dyDescent="0.3">
      <c r="A12" s="19" t="s">
        <v>275</v>
      </c>
      <c r="B12" s="20">
        <v>143270.44342</v>
      </c>
      <c r="C12" s="32">
        <f>IF(OR(128134.00024="",143270.44342=""),"-",143270.44342/128134.00024*100)</f>
        <v>111.81297949931232</v>
      </c>
      <c r="D12" s="32">
        <f>IF(128134.00024="","-",128134.00024/5891602.28837*100)</f>
        <v>2.1748582807929178</v>
      </c>
      <c r="E12" s="32">
        <f>IF(143270.44342="","-",143270.44342/5709381.88442*100)</f>
        <v>2.5093862404083072</v>
      </c>
      <c r="F12" s="32">
        <f>IF(OR(4403044.02622="",113524.32474="",128134.00024=""),"-",(128134.00024-113524.32474)/4403044.02622*100)</f>
        <v>0.33180852639673375</v>
      </c>
      <c r="G12" s="32">
        <f>IF(OR(5891602.28837="",143270.44342="",128134.00024=""),"-",(143270.44342-128134.00024)/5891602.28837*100)</f>
        <v>0.25691556284916384</v>
      </c>
    </row>
    <row r="13" spans="1:14" s="2" customFormat="1" x14ac:dyDescent="0.3">
      <c r="A13" s="72" t="s">
        <v>39</v>
      </c>
      <c r="B13" s="21">
        <v>122736.51657000001</v>
      </c>
      <c r="C13" s="32">
        <f>IF(OR(119948.74982="",122736.51657=""),"-",122736.51657/119948.74982*100)</f>
        <v>102.32413155967315</v>
      </c>
      <c r="D13" s="32">
        <f>IF(119948.74982="","-",119948.74982/5891602.28837*100)</f>
        <v>2.035927476923864</v>
      </c>
      <c r="E13" s="32">
        <f>IF(122736.51657="","-",122736.51657/5709381.88442*100)</f>
        <v>2.1497338775836408</v>
      </c>
      <c r="F13" s="32">
        <f>IF(OR(4403044.02622="",81644.59755="",119948.74982=""),"-",(119948.74982-81644.59755)/4403044.02622*100)</f>
        <v>0.86994706484649853</v>
      </c>
      <c r="G13" s="32">
        <f>IF(OR(5891602.28837="",122736.51657="",119948.74982=""),"-",(122736.51657-119948.74982)/5891602.28837*100)</f>
        <v>4.7317633023244807E-2</v>
      </c>
    </row>
    <row r="14" spans="1:14" s="2" customFormat="1" x14ac:dyDescent="0.3">
      <c r="A14" s="19" t="s">
        <v>279</v>
      </c>
      <c r="B14" s="20">
        <v>100962.30716</v>
      </c>
      <c r="C14" s="32">
        <f>IF(OR(87829.84986="",100962.30716=""),"-",100962.30716/87829.84986*100)</f>
        <v>114.95215729155066</v>
      </c>
      <c r="D14" s="32">
        <f>IF(87829.84986="","-",87829.84986/5891602.28837*100)</f>
        <v>1.4907633876335438</v>
      </c>
      <c r="E14" s="32">
        <f>IF(100962.30716="","-",100962.30716/5709381.88442*100)</f>
        <v>1.7683579274231098</v>
      </c>
      <c r="F14" s="32">
        <f>IF(OR(4403044.02622="",75089.26197="",87829.84986=""),"-",(87829.84986-75089.26197)/4403044.02622*100)</f>
        <v>0.28935863039592974</v>
      </c>
      <c r="G14" s="32">
        <f>IF(OR(5891602.28837="",100962.30716="",87829.84986=""),"-",(100962.30716-87829.84986)/5891602.28837*100)</f>
        <v>0.22290128656381669</v>
      </c>
    </row>
    <row r="15" spans="1:14" s="2" customFormat="1" x14ac:dyDescent="0.3">
      <c r="A15" s="19" t="s">
        <v>5</v>
      </c>
      <c r="B15" s="20">
        <v>95527.028980000003</v>
      </c>
      <c r="C15" s="32">
        <f>IF(OR(87005.19501="",95527.02898=""),"-",95527.02898/87005.19501*100)</f>
        <v>109.79462659559644</v>
      </c>
      <c r="D15" s="32">
        <f>IF(87005.19501="","-",87005.19501/5891602.28837*100)</f>
        <v>1.476766264106929</v>
      </c>
      <c r="E15" s="32">
        <f>IF(95527.02898="","-",95527.02898/5709381.88442*100)</f>
        <v>1.6731588622698044</v>
      </c>
      <c r="F15" s="32">
        <f>IF(OR(4403044.02622="",57903.20066="",87005.19501=""),"-",(87005.19501-57903.20066)/4403044.02622*100)</f>
        <v>0.66095170015785576</v>
      </c>
      <c r="G15" s="32">
        <f>IF(OR(5891602.28837="",95527.02898="",87005.19501=""),"-",(95527.02898-87005.19501)/5891602.28837*100)</f>
        <v>0.14464374125901325</v>
      </c>
    </row>
    <row r="16" spans="1:14" s="2" customFormat="1" x14ac:dyDescent="0.3">
      <c r="A16" s="19" t="s">
        <v>7</v>
      </c>
      <c r="B16" s="21">
        <v>85650.155239999993</v>
      </c>
      <c r="C16" s="32" t="s">
        <v>100</v>
      </c>
      <c r="D16" s="32">
        <f>IF(44245.81821="","-",44245.81821/5891602.28837*100)</f>
        <v>0.75099804848234697</v>
      </c>
      <c r="E16" s="32">
        <f>IF(85650.15524="","-",85650.15524/5709381.88442*100)</f>
        <v>1.5001651137354415</v>
      </c>
      <c r="F16" s="32">
        <f>IF(OR(4403044.02622="",20145.56268="",44245.81821=""),"-",(44245.81821-20145.56268)/4403044.02622*100)</f>
        <v>0.54735440723471473</v>
      </c>
      <c r="G16" s="32">
        <f>IF(OR(5891602.28837="",85650.15524="",44245.81821=""),"-",(85650.15524-44245.81821)/5891602.28837*100)</f>
        <v>0.70276870371464129</v>
      </c>
    </row>
    <row r="17" spans="1:7" s="2" customFormat="1" x14ac:dyDescent="0.3">
      <c r="A17" s="72" t="s">
        <v>37</v>
      </c>
      <c r="B17" s="21">
        <v>79231.268719999993</v>
      </c>
      <c r="C17" s="32">
        <f>IF(OR(71143.8314="",79231.26872=""),"-",79231.26872/71143.8314*100)</f>
        <v>111.36772810917238</v>
      </c>
      <c r="D17" s="32">
        <f>IF(71143.8314="","-",71143.8314/5891602.28837*100)</f>
        <v>1.2075464010942769</v>
      </c>
      <c r="E17" s="32">
        <f>IF(79231.26872="","-",79231.26872/5709381.88442*100)</f>
        <v>1.3877381181351627</v>
      </c>
      <c r="F17" s="32">
        <f>IF(OR(4403044.02622="",61524.51072="",71143.8314=""),"-",(71143.8314-61524.51072)/4403044.02622*100)</f>
        <v>0.21846978187629332</v>
      </c>
      <c r="G17" s="32">
        <f>IF(OR(5891602.28837="",79231.26872="",71143.8314=""),"-",(79231.26872-71143.8314)/5891602.28837*100)</f>
        <v>0.13727059166849342</v>
      </c>
    </row>
    <row r="18" spans="1:7" s="2" customFormat="1" x14ac:dyDescent="0.3">
      <c r="A18" s="19" t="s">
        <v>6</v>
      </c>
      <c r="B18" s="21">
        <v>59943.603450000002</v>
      </c>
      <c r="C18" s="32">
        <f>IF(OR(54988.05724="",59943.60345=""),"-",59943.60345/54988.05724*100)</f>
        <v>109.01204090257473</v>
      </c>
      <c r="D18" s="32">
        <f>IF(54988.05724="","-",54988.05724/5891602.28837*100)</f>
        <v>0.93332941615129406</v>
      </c>
      <c r="E18" s="32">
        <f>IF(59943.60345="","-",59943.60345/5709381.88442*100)</f>
        <v>1.0499140653662811</v>
      </c>
      <c r="F18" s="32">
        <f>IF(OR(4403044.02622="",66750.45725="",54988.05724=""),"-",(54988.05724-66750.45725)/4403044.02622*100)</f>
        <v>-0.26714245735348663</v>
      </c>
      <c r="G18" s="32">
        <f>IF(OR(5891602.28837="",59943.60345="",54988.05724=""),"-",(59943.60345-54988.05724)/5891602.28837*100)</f>
        <v>8.4112028739316447E-2</v>
      </c>
    </row>
    <row r="19" spans="1:7" s="2" customFormat="1" ht="15.75" customHeight="1" x14ac:dyDescent="0.3">
      <c r="A19" s="19" t="s">
        <v>41</v>
      </c>
      <c r="B19" s="20">
        <v>53923.177499999998</v>
      </c>
      <c r="C19" s="32">
        <f>IF(OR(34494.29029="",53923.1775=""),"-",53923.1775/34494.29029*100)</f>
        <v>156.32493681318761</v>
      </c>
      <c r="D19" s="32">
        <f>IF(34494.29029="","-",34494.29029/5891602.28837*100)</f>
        <v>0.58548232894286822</v>
      </c>
      <c r="E19" s="32">
        <f>IF(53923.1775="","-",53923.1775/5709381.88442*100)</f>
        <v>0.94446611895322352</v>
      </c>
      <c r="F19" s="32">
        <f>IF(OR(4403044.02622="",25562.75143="",34494.29029=""),"-",(34494.29029-25562.75143)/4403044.02622*100)</f>
        <v>0.20284918358328785</v>
      </c>
      <c r="G19" s="32">
        <f>IF(OR(5891602.28837="",53923.1775="",34494.29029=""),"-",(53923.1775-34494.29029)/5891602.28837*100)</f>
        <v>0.32977255182944964</v>
      </c>
    </row>
    <row r="20" spans="1:7" s="2" customFormat="1" x14ac:dyDescent="0.3">
      <c r="A20" s="19" t="s">
        <v>284</v>
      </c>
      <c r="B20" s="20">
        <v>53717.07228</v>
      </c>
      <c r="C20" s="32">
        <f>IF(OR(59060.15679="",53717.07228=""),"-",53717.07228/59060.15679*100)</f>
        <v>90.953148788618378</v>
      </c>
      <c r="D20" s="32">
        <f>IF(59060.15679="","-",59060.15679/5891602.28837*100)</f>
        <v>1.0024464296679449</v>
      </c>
      <c r="E20" s="32">
        <f>IF(53717.07228="","-",53717.07228/5709381.88442*100)</f>
        <v>0.94085617966080337</v>
      </c>
      <c r="F20" s="32">
        <f>IF(OR(4403044.02622="",47838.96305="",59060.15679=""),"-",(59060.15679-47838.96305)/4403044.02622*100)</f>
        <v>0.25485081850597263</v>
      </c>
      <c r="G20" s="32">
        <f>IF(OR(5891602.28837="",53717.07228="",59060.15679=""),"-",(53717.07228-59060.15679)/5891602.28837*100)</f>
        <v>-9.0689836965866286E-2</v>
      </c>
    </row>
    <row r="21" spans="1:7" s="2" customFormat="1" x14ac:dyDescent="0.3">
      <c r="A21" s="19" t="s">
        <v>38</v>
      </c>
      <c r="B21" s="20">
        <v>36562.250760000003</v>
      </c>
      <c r="C21" s="32">
        <f>IF(OR(34715.33651="",36562.25076=""),"-",36562.25076/34715.33651*100)</f>
        <v>105.32016807461446</v>
      </c>
      <c r="D21" s="32">
        <f>IF(34715.33651="","-",34715.33651/5891602.28837*100)</f>
        <v>0.58923421525801123</v>
      </c>
      <c r="E21" s="32">
        <f>IF(36562.25076="","-",36562.25076/5709381.88442*100)</f>
        <v>0.64038895103115456</v>
      </c>
      <c r="F21" s="32">
        <f>IF(OR(4403044.02622="",30625.32153="",34715.33651=""),"-",(34715.33651-30625.32153)/4403044.02622*100)</f>
        <v>9.2890621934372641E-2</v>
      </c>
      <c r="G21" s="32">
        <f>IF(OR(5891602.28837="",36562.25076="",34715.33651=""),"-",(36562.25076-34715.33651)/5891602.28837*100)</f>
        <v>3.1348250604861821E-2</v>
      </c>
    </row>
    <row r="22" spans="1:7" s="2" customFormat="1" x14ac:dyDescent="0.3">
      <c r="A22" s="19" t="s">
        <v>47</v>
      </c>
      <c r="B22" s="20">
        <v>30314.4215</v>
      </c>
      <c r="C22" s="32">
        <f>IF(OR(21924.79139="",30314.4215=""),"-",30314.4215/21924.79139*100)</f>
        <v>138.26549571562424</v>
      </c>
      <c r="D22" s="32">
        <f>IF(21924.79139="","-",21924.79139/5891602.28837*100)</f>
        <v>0.37213631058022112</v>
      </c>
      <c r="E22" s="32">
        <f>IF(30314.4215="","-",30314.4215/5709381.88442*100)</f>
        <v>0.53095802862168417</v>
      </c>
      <c r="F22" s="32">
        <f>IF(OR(4403044.02622="",17457.51699="",21924.79139=""),"-",(21924.79139-17457.51699)/4403044.02622*100)</f>
        <v>0.10145877200858106</v>
      </c>
      <c r="G22" s="32">
        <f>IF(OR(5891602.28837="",30314.4215="",21924.79139=""),"-",(30314.4215-21924.79139)/5891602.28837*100)</f>
        <v>0.14239980398135663</v>
      </c>
    </row>
    <row r="23" spans="1:7" s="2" customFormat="1" x14ac:dyDescent="0.3">
      <c r="A23" s="19" t="s">
        <v>48</v>
      </c>
      <c r="B23" s="20">
        <v>21231.14041</v>
      </c>
      <c r="C23" s="32">
        <f>IF(OR(18475.35282="",21231.14041=""),"-",21231.14041/18475.35282*100)</f>
        <v>114.91602145219547</v>
      </c>
      <c r="D23" s="32">
        <f>IF(18475.35282="","-",18475.35282/5891602.28837*100)</f>
        <v>0.3135879157435707</v>
      </c>
      <c r="E23" s="32">
        <f>IF(21231.14041="","-",21231.14041/5709381.88442*100)</f>
        <v>0.37186407985663777</v>
      </c>
      <c r="F23" s="32">
        <f>IF(OR(4403044.02622="",17751.41327="",18475.35282=""),"-",(18475.35282-17751.41327)/4403044.02622*100)</f>
        <v>1.6441796758991281E-2</v>
      </c>
      <c r="G23" s="32">
        <f>IF(OR(5891602.28837="",21231.14041="",18475.35282=""),"-",(21231.14041-18475.35282)/5891602.28837*100)</f>
        <v>4.6774840783803652E-2</v>
      </c>
    </row>
    <row r="24" spans="1:7" s="2" customFormat="1" x14ac:dyDescent="0.3">
      <c r="A24" s="19" t="s">
        <v>49</v>
      </c>
      <c r="B24" s="20">
        <v>20027.68275</v>
      </c>
      <c r="C24" s="32">
        <f>IF(OR(18842.6655="",20027.68275=""),"-",20027.68275/18842.6655*100)</f>
        <v>106.28901070286474</v>
      </c>
      <c r="D24" s="32">
        <f>IF(18842.6655="","-",18842.6655/5891602.28837*100)</f>
        <v>0.31982242822458246</v>
      </c>
      <c r="E24" s="32">
        <f>IF(20027.68275="","-",20027.68275/5709381.88442*100)</f>
        <v>0.35078548178135321</v>
      </c>
      <c r="F24" s="32">
        <f>IF(OR(4403044.02622="",19205.95133="",18842.6655=""),"-",(18842.6655-19205.95133)/4403044.02622*100)</f>
        <v>-8.2507880420146611E-3</v>
      </c>
      <c r="G24" s="32">
        <f>IF(OR(5891602.28837="",20027.68275="",18842.6655=""),"-",(20027.68275-18842.6655)/5891602.28837*100)</f>
        <v>2.011366674120587E-2</v>
      </c>
    </row>
    <row r="25" spans="1:7" s="2" customFormat="1" x14ac:dyDescent="0.3">
      <c r="A25" s="19" t="s">
        <v>42</v>
      </c>
      <c r="B25" s="20">
        <v>12728.95995</v>
      </c>
      <c r="C25" s="32">
        <f>IF(OR(11117.95067="",12728.95995=""),"-",12728.95995/11117.95067*100)</f>
        <v>114.49016395033169</v>
      </c>
      <c r="D25" s="32">
        <f>IF(11117.95067="","-",11117.95067/5891602.28837*100)</f>
        <v>0.18870843831306794</v>
      </c>
      <c r="E25" s="32">
        <f>IF(12728.95995="","-",12728.95995/5709381.88442*100)</f>
        <v>0.22294812656927571</v>
      </c>
      <c r="F25" s="32">
        <f>IF(OR(4403044.02622="",9701.93227="",11117.95067=""),"-",(11117.95067-9701.93227)/4403044.02622*100)</f>
        <v>3.2159987308045347E-2</v>
      </c>
      <c r="G25" s="32">
        <f>IF(OR(5891602.28837="",12728.95995="",11117.95067=""),"-",(12728.95995-11117.95067)/5891602.28837*100)</f>
        <v>2.7344162099674076E-2</v>
      </c>
    </row>
    <row r="26" spans="1:7" s="2" customFormat="1" x14ac:dyDescent="0.3">
      <c r="A26" s="19" t="s">
        <v>46</v>
      </c>
      <c r="B26" s="20">
        <v>12675.207619999999</v>
      </c>
      <c r="C26" s="32">
        <f>IF(OR(13756.8265="",12675.20762=""),"-",12675.20762/13756.8265*100)</f>
        <v>92.137584347669133</v>
      </c>
      <c r="D26" s="32">
        <f>IF(13756.8265="","-",13756.8265/5891602.28837*100)</f>
        <v>0.23349889939373406</v>
      </c>
      <c r="E26" s="32">
        <f>IF(12675.20762="","-",12675.20762/5709381.88442*100)</f>
        <v>0.22200665284956042</v>
      </c>
      <c r="F26" s="32">
        <f>IF(OR(4403044.02622="",9476.4613="",13756.8265=""),"-",(13756.8265-9476.4613)/4403044.02622*100)</f>
        <v>9.7213772438125692E-2</v>
      </c>
      <c r="G26" s="32">
        <f>IF(OR(5891602.28837="",12675.20762="",13756.8265=""),"-",(12675.20762-13756.8265)/5891602.28837*100)</f>
        <v>-1.835865401395324E-2</v>
      </c>
    </row>
    <row r="27" spans="1:7" s="2" customFormat="1" x14ac:dyDescent="0.3">
      <c r="A27" s="19" t="s">
        <v>45</v>
      </c>
      <c r="B27" s="20">
        <v>12354.99811</v>
      </c>
      <c r="C27" s="32">
        <f>IF(OR(13157.18262="",12354.99811=""),"-",12354.99811/13157.18262*100)</f>
        <v>93.903067752661485</v>
      </c>
      <c r="D27" s="32">
        <f>IF(13157.18262="","-",13157.18262/5891602.28837*100)</f>
        <v>0.22332095711844344</v>
      </c>
      <c r="E27" s="32">
        <f>IF(12354.99811="","-",12354.99811/5709381.88442*100)</f>
        <v>0.21639817339447615</v>
      </c>
      <c r="F27" s="32">
        <f>IF(OR(4403044.02622="",10500.49494="",13157.18262=""),"-",(13157.18262-10500.49494)/4403044.02622*100)</f>
        <v>6.0337522499877366E-2</v>
      </c>
      <c r="G27" s="32">
        <f>IF(OR(5891602.28837="",12354.99811="",13157.18262=""),"-",(12354.99811-13157.18262)/5891602.28837*100)</f>
        <v>-1.3615727449619407E-2</v>
      </c>
    </row>
    <row r="28" spans="1:7" s="2" customFormat="1" x14ac:dyDescent="0.3">
      <c r="A28" s="19" t="s">
        <v>40</v>
      </c>
      <c r="B28" s="20">
        <v>10482.601259999999</v>
      </c>
      <c r="C28" s="32">
        <f>IF(OR(11374.7306="",10482.60126=""),"-",10482.60126/11374.7306*100)</f>
        <v>92.156918951557401</v>
      </c>
      <c r="D28" s="32">
        <f>IF(11374.7306="","-",11374.7306/5891602.28837*100)</f>
        <v>0.19306684401378676</v>
      </c>
      <c r="E28" s="32">
        <f>IF(10482.60126="","-",10482.60126/5709381.88442*100)</f>
        <v>0.18360308475082671</v>
      </c>
      <c r="F28" s="32">
        <f>IF(OR(4403044.02622="",8404.73568="",11374.7306=""),"-",(11374.7306-8404.73568)/4403044.02622*100)</f>
        <v>6.7453218780320318E-2</v>
      </c>
      <c r="G28" s="32">
        <f>IF(OR(5891602.28837="",10482.60126="",11374.7306=""),"-",(10482.60126-11374.7306)/5891602.28837*100)</f>
        <v>-1.5142389053671547E-2</v>
      </c>
    </row>
    <row r="29" spans="1:7" s="2" customFormat="1" x14ac:dyDescent="0.3">
      <c r="A29" s="19" t="s">
        <v>50</v>
      </c>
      <c r="B29" s="20">
        <v>5016.5166300000001</v>
      </c>
      <c r="C29" s="32">
        <f>IF(OR(5865.51633="",5016.51663=""),"-",5016.51663/5865.51633*100)</f>
        <v>85.525576057854053</v>
      </c>
      <c r="D29" s="32">
        <f>IF(5865.51633="","-",5865.51633/5891602.28837*100)</f>
        <v>9.955723490668246E-2</v>
      </c>
      <c r="E29" s="32">
        <f>IF(5016.51663="","-",5016.51663/5709381.88442*100)</f>
        <v>8.7864443674529474E-2</v>
      </c>
      <c r="F29" s="32">
        <f>IF(OR(4403044.02622="",4700.38374="",5865.51633=""),"-",(5865.51633-4700.38374)/4403044.02622*100)</f>
        <v>2.6461979100405746E-2</v>
      </c>
      <c r="G29" s="32">
        <f>IF(OR(5891602.28837="",5016.51663="",5865.51633=""),"-",(5016.51663-5865.51633)/5891602.28837*100)</f>
        <v>-1.4410336245471327E-2</v>
      </c>
    </row>
    <row r="30" spans="1:7" s="2" customFormat="1" x14ac:dyDescent="0.3">
      <c r="A30" s="19" t="s">
        <v>276</v>
      </c>
      <c r="B30" s="20">
        <v>4975.2441600000002</v>
      </c>
      <c r="C30" s="32">
        <f>IF(OR(6781.29974="",4975.24416=""),"-",4975.24416/6781.29974*100)</f>
        <v>73.367117672931528</v>
      </c>
      <c r="D30" s="32">
        <f>IF(6781.29974="","-",6781.29974/5891602.28837*100)</f>
        <v>0.11510111185519531</v>
      </c>
      <c r="E30" s="32">
        <f>IF(4975.24416="","-",4975.24416/5709381.88442*100)</f>
        <v>8.7141555088067493E-2</v>
      </c>
      <c r="F30" s="32">
        <f>IF(OR(4403044.02622="",5406.03059="",6781.29974=""),"-",(6781.29974-5406.03059)/4403044.02622*100)</f>
        <v>3.1234508258611814E-2</v>
      </c>
      <c r="G30" s="32">
        <f>IF(OR(5891602.28837="",4975.24416="",6781.29974=""),"-",(4975.24416-6781.29974)/5891602.28837*100)</f>
        <v>-3.0654743677541625E-2</v>
      </c>
    </row>
    <row r="31" spans="1:7" s="2" customFormat="1" x14ac:dyDescent="0.3">
      <c r="A31" s="19" t="s">
        <v>43</v>
      </c>
      <c r="B31" s="20">
        <v>4293.6010699999997</v>
      </c>
      <c r="C31" s="32">
        <f>IF(OR(3660.28726="",4293.60107=""),"-",4293.60107/3660.28726*100)</f>
        <v>117.30229801690481</v>
      </c>
      <c r="D31" s="32">
        <f>IF(3660.28726="","-",3660.28726/5891602.28837*100)</f>
        <v>6.2127195300086577E-2</v>
      </c>
      <c r="E31" s="32">
        <f>IF(4293.60107="","-",4293.60107/5709381.88442*100)</f>
        <v>7.5202555318931427E-2</v>
      </c>
      <c r="F31" s="32">
        <f>IF(OR(4403044.02622="",3943.65531="",3660.28726=""),"-",(3660.28726-3943.65531)/4403044.02622*100)</f>
        <v>-6.4357305607791208E-3</v>
      </c>
      <c r="G31" s="32">
        <f>IF(OR(5891602.28837="",4293.60107="",3660.28726=""),"-",(4293.60107-3660.28726)/5891602.28837*100)</f>
        <v>1.0749432480365462E-2</v>
      </c>
    </row>
    <row r="32" spans="1:7" s="2" customFormat="1" x14ac:dyDescent="0.3">
      <c r="A32" s="19" t="s">
        <v>51</v>
      </c>
      <c r="B32" s="20">
        <v>1373.3774599999999</v>
      </c>
      <c r="C32" s="32">
        <f>IF(OR(1915.06732="",1373.37746=""),"-",1373.37746/1915.06732*100)</f>
        <v>71.71431759380657</v>
      </c>
      <c r="D32" s="32">
        <f>IF(1915.06732="","-",1915.06732/5891602.28837*100)</f>
        <v>3.250503388153568E-2</v>
      </c>
      <c r="E32" s="32">
        <f>IF(1373.37746="","-",1373.37746/5709381.88442*100)</f>
        <v>2.4054748619070827E-2</v>
      </c>
      <c r="F32" s="32">
        <f>IF(OR(4403044.02622="",1708.03303="",1915.06732=""),"-",(1915.06732-1708.03303)/4403044.02622*100)</f>
        <v>4.7020717659672908E-3</v>
      </c>
      <c r="G32" s="32">
        <f>IF(OR(5891602.28837="",1373.37746="",1915.06732=""),"-",(1373.37746-1915.06732)/5891602.28837*100)</f>
        <v>-9.1942706497567545E-3</v>
      </c>
    </row>
    <row r="33" spans="1:7" s="2" customFormat="1" x14ac:dyDescent="0.3">
      <c r="A33" s="19" t="s">
        <v>44</v>
      </c>
      <c r="B33" s="20">
        <v>500.50878999999998</v>
      </c>
      <c r="C33" s="32">
        <f>IF(OR(486.62146="",500.50879=""),"-",500.50879/486.62146*100)</f>
        <v>102.85382605197888</v>
      </c>
      <c r="D33" s="32">
        <f>IF(486.62146="","-",486.62146/5891602.28837*100)</f>
        <v>8.2595775509251342E-3</v>
      </c>
      <c r="E33" s="32">
        <f>IF(500.50879="","-",500.50879/5709381.88442*100)</f>
        <v>8.7664269115682973E-3</v>
      </c>
      <c r="F33" s="32">
        <f>IF(OR(4403044.02622="",782.52849="",486.62146=""),"-",(486.62146-782.52849)/4403044.02622*100)</f>
        <v>-6.7205103614200127E-3</v>
      </c>
      <c r="G33" s="32">
        <f>IF(OR(5891602.28837="",500.50879="",486.62146=""),"-",(500.50879-486.62146)/5891602.28837*100)</f>
        <v>2.3571397593170022E-4</v>
      </c>
    </row>
    <row r="34" spans="1:7" s="2" customFormat="1" x14ac:dyDescent="0.3">
      <c r="A34" s="19" t="s">
        <v>52</v>
      </c>
      <c r="B34" s="20">
        <v>24.696100000000001</v>
      </c>
      <c r="C34" s="32">
        <f>IF(OR(41.83562="",24.6961=""),"-",24.6961/41.83562*100)</f>
        <v>59.031275262563341</v>
      </c>
      <c r="D34" s="32">
        <f>IF(41.83562="","-",41.83562/5891602.28837*100)</f>
        <v>7.1008900384507195E-4</v>
      </c>
      <c r="E34" s="32">
        <f>IF(24.6961="","-",24.6961/5709381.88442*100)</f>
        <v>4.3255295406656452E-4</v>
      </c>
      <c r="F34" s="32">
        <f>IF(OR(4403044.02622="",70.23853="",41.83562=""),"-",(41.83562-70.23853)/4403044.02622*100)</f>
        <v>-6.4507440377296909E-4</v>
      </c>
      <c r="G34" s="32">
        <f>IF(OR(5891602.28837="",24.6961="",41.83562=""),"-",(24.6961-41.83562)/5891602.28837*100)</f>
        <v>-2.9091440937609354E-4</v>
      </c>
    </row>
    <row r="35" spans="1:7" s="2" customFormat="1" ht="28.5" customHeight="1" x14ac:dyDescent="0.3">
      <c r="A35" s="19" t="s">
        <v>408</v>
      </c>
      <c r="B35" s="20">
        <v>2.7730899999999998</v>
      </c>
      <c r="C35" s="32">
        <f>IF(OR(124.4514="",2.77309=""),"-",2.77309/124.4514*100)</f>
        <v>2.2282513495227851</v>
      </c>
      <c r="D35" s="32">
        <f>IF(124.4514="","-",124.4514/5891602.28837*100)</f>
        <v>2.1123523603361104E-3</v>
      </c>
      <c r="E35" s="32">
        <f>IF(2.77309="","-",2.77309/5709381.88442*100)</f>
        <v>4.8570756977516664E-5</v>
      </c>
      <c r="F35" s="32">
        <f>IF(OR(4403044.02622="",42.84089="",124.4514=""),"-",(124.4514-42.84089)/4403044.02622*100)</f>
        <v>1.8535020207386473E-3</v>
      </c>
      <c r="G35" s="32">
        <f>IF(OR(5891602.28837="",2.77309="",124.4514=""),"-",(2.77309-124.4514)/5891602.28837*100)</f>
        <v>-2.0652838403602447E-3</v>
      </c>
    </row>
    <row r="36" spans="1:7" s="2" customFormat="1" ht="13.5" customHeight="1" x14ac:dyDescent="0.3">
      <c r="A36" s="17" t="s">
        <v>188</v>
      </c>
      <c r="B36" s="18">
        <v>1075062.09775</v>
      </c>
      <c r="C36" s="31">
        <f>IF(1494220.97348="","-",1075062.09775/1494220.97348*100)</f>
        <v>71.947999447913631</v>
      </c>
      <c r="D36" s="31">
        <f>IF(1494220.97348="","-",1494220.97348/5891602.28837*100)</f>
        <v>25.361877810890022</v>
      </c>
      <c r="E36" s="31">
        <f>IF(1075062.09775="","-",1075062.09775/5709381.88442*100)</f>
        <v>18.829745837875628</v>
      </c>
      <c r="F36" s="31">
        <f>IF(4403044.02622="","-",(1494220.97348-1051158.94039)/4403044.02622*100)</f>
        <v>10.062630090718566</v>
      </c>
      <c r="G36" s="31">
        <f>IF(5891602.28837="","-",(1075062.09775-1494220.97348)/5891602.28837*100)</f>
        <v>-7.1145141035303405</v>
      </c>
    </row>
    <row r="37" spans="1:7" s="2" customFormat="1" x14ac:dyDescent="0.3">
      <c r="A37" s="19" t="s">
        <v>9</v>
      </c>
      <c r="B37" s="20">
        <v>692842.56041999999</v>
      </c>
      <c r="C37" s="32">
        <f>IF(OR(573055.15968="",692842.56042=""),"-",692842.56042/573055.15968*100)</f>
        <v>120.90329328975773</v>
      </c>
      <c r="D37" s="32">
        <f>IF(573055.15968="","-",573055.15968/5891602.28837*100)</f>
        <v>9.7266436468600173</v>
      </c>
      <c r="E37" s="32">
        <f>IF(692842.56042="","-",692842.56042/5709381.88442*100)</f>
        <v>12.135158839359788</v>
      </c>
      <c r="F37" s="32">
        <f>IF(OR(4403044.02622="",407680.05537="",573055.15968=""),"-",(573055.15968-407680.05537)/4403044.02622*100)</f>
        <v>3.7559266572215955</v>
      </c>
      <c r="G37" s="32">
        <f>IF(OR(5891602.28837="",692842.56042="",573055.15968=""),"-",(692842.56042-573055.15968)/5891602.28837*100)</f>
        <v>2.0331888487527374</v>
      </c>
    </row>
    <row r="38" spans="1:7" s="2" customFormat="1" x14ac:dyDescent="0.3">
      <c r="A38" s="19" t="s">
        <v>277</v>
      </c>
      <c r="B38" s="20">
        <v>235009.00030000001</v>
      </c>
      <c r="C38" s="32">
        <f>IF(OR(799926.22749="",235009.0003=""),"-",235009.0003/799926.22749*100)</f>
        <v>29.378834225427109</v>
      </c>
      <c r="D38" s="32">
        <f>IF(799926.22749="","-",799926.22749/5891602.28837*100)</f>
        <v>13.577396917457433</v>
      </c>
      <c r="E38" s="32">
        <f>IF(235009.0003="","-",235009.0003/5709381.88442*100)</f>
        <v>4.1161898968661106</v>
      </c>
      <c r="F38" s="32">
        <f>IF(OR(4403044.02622="",536128.98944="",799926.22749=""),"-",(799926.22749-536128.98944)/4403044.02622*100)</f>
        <v>5.9912468846346973</v>
      </c>
      <c r="G38" s="32">
        <f>IF(OR(5891602.28837="",235009.0003="",799926.22749=""),"-",(235009.0003-799926.22749)/5891602.28837*100)</f>
        <v>-9.588515984949364</v>
      </c>
    </row>
    <row r="39" spans="1:7" s="2" customFormat="1" x14ac:dyDescent="0.3">
      <c r="A39" s="19" t="s">
        <v>8</v>
      </c>
      <c r="B39" s="20">
        <v>59083.30874</v>
      </c>
      <c r="C39" s="32">
        <f>IF(OR(69662.81971="",59083.30874=""),"-",59083.30874/69662.81971*100)</f>
        <v>84.813260482361258</v>
      </c>
      <c r="D39" s="32">
        <f>IF(69662.81971="","-",69662.81971/5891602.28837*100)</f>
        <v>1.1824087285646239</v>
      </c>
      <c r="E39" s="32">
        <f>IF(59083.30874="","-",59083.30874/5709381.88442*100)</f>
        <v>1.0348459769564373</v>
      </c>
      <c r="F39" s="32">
        <f>IF(OR(4403044.02622="",82325.87557="",69662.81971=""),"-",(69662.81971-82325.87557)/4403044.02622*100)</f>
        <v>-0.28759775701973167</v>
      </c>
      <c r="G39" s="32">
        <f>IF(OR(5891602.28837="",59083.30874="",69662.81971=""),"-",(59083.30874-69662.81971)/5891602.28837*100)</f>
        <v>-0.17956933364093344</v>
      </c>
    </row>
    <row r="40" spans="1:7" s="2" customFormat="1" x14ac:dyDescent="0.3">
      <c r="A40" s="19" t="s">
        <v>10</v>
      </c>
      <c r="B40" s="20">
        <v>50567.970869999997</v>
      </c>
      <c r="C40" s="32" t="s">
        <v>295</v>
      </c>
      <c r="D40" s="32">
        <f>IF(13602.96224="","-",13602.96224/5891602.28837*100)</f>
        <v>0.23088731340287846</v>
      </c>
      <c r="E40" s="32">
        <f>IF(50567.97087="","-",50567.97087/5709381.88442*100)</f>
        <v>0.88569957122665055</v>
      </c>
      <c r="F40" s="32">
        <f>IF(OR(4403044.02622="",9508.50499="",13602.96224=""),"-",(13602.96224-9508.50499)/4403044.02622*100)</f>
        <v>9.2991512817442348E-2</v>
      </c>
      <c r="G40" s="32">
        <f>IF(OR(5891602.28837="",50567.97087="",13602.96224=""),"-",(50567.97087-13602.96224)/5891602.28837*100)</f>
        <v>0.62741860058966947</v>
      </c>
    </row>
    <row r="41" spans="1:7" s="2" customFormat="1" x14ac:dyDescent="0.3">
      <c r="A41" s="19" t="s">
        <v>11</v>
      </c>
      <c r="B41" s="20">
        <v>14459.70946</v>
      </c>
      <c r="C41" s="32">
        <f>IF(OR(9410.02601="",14459.70946=""),"-",14459.70946/9410.02601*100)</f>
        <v>153.66280013077244</v>
      </c>
      <c r="D41" s="32">
        <f>IF(9410.02601="","-",9410.02601/5891602.28837*100)</f>
        <v>0.15971930129390022</v>
      </c>
      <c r="E41" s="32">
        <f>IF(14459.70946="","-",14459.70946/5709381.88442*100)</f>
        <v>0.25326225767903632</v>
      </c>
      <c r="F41" s="32">
        <f>IF(OR(4403044.02622="",1044.99536="",9410.02601=""),"-",(9410.02601-1044.99536)/4403044.02622*100)</f>
        <v>0.18998289819921135</v>
      </c>
      <c r="G41" s="32">
        <f>IF(OR(5891602.28837="",14459.70946="",9410.02601=""),"-",(14459.70946-9410.02601)/5891602.28837*100)</f>
        <v>8.5709849423611914E-2</v>
      </c>
    </row>
    <row r="42" spans="1:7" s="2" customFormat="1" x14ac:dyDescent="0.3">
      <c r="A42" s="19" t="s">
        <v>13</v>
      </c>
      <c r="B42" s="20">
        <v>10648.79941</v>
      </c>
      <c r="C42" s="32">
        <f>IF(OR(12809.3639="",10648.79941=""),"-",10648.79941/12809.3639*100)</f>
        <v>83.132929106651417</v>
      </c>
      <c r="D42" s="32">
        <f>IF(12809.3639="","-",12809.3639/5891602.28837*100)</f>
        <v>0.21741732168998631</v>
      </c>
      <c r="E42" s="32">
        <f>IF(10648.79941="","-",10648.79941/5709381.88442*100)</f>
        <v>0.18651405047994579</v>
      </c>
      <c r="F42" s="32">
        <f>IF(OR(4403044.02622="",6283.05521="",12809.3639=""),"-",(12809.3639-6283.05521)/4403044.02622*100)</f>
        <v>0.14822265349008595</v>
      </c>
      <c r="G42" s="32">
        <f>IF(OR(5891602.28837="",10648.79941="",12809.3639=""),"-",(10648.79941-12809.3639)/5891602.28837*100)</f>
        <v>-3.6671933783869737E-2</v>
      </c>
    </row>
    <row r="43" spans="1:7" s="2" customFormat="1" x14ac:dyDescent="0.3">
      <c r="A43" s="19" t="s">
        <v>12</v>
      </c>
      <c r="B43" s="20">
        <v>6587.97804</v>
      </c>
      <c r="C43" s="32">
        <f>IF(OR(11104.23263="",6587.97804=""),"-",6587.97804/11104.23263*100)</f>
        <v>59.328530475860532</v>
      </c>
      <c r="D43" s="32">
        <f>IF(11104.23263="","-",11104.23263/5891602.28837*100)</f>
        <v>0.18847559774901493</v>
      </c>
      <c r="E43" s="32">
        <f>IF(6587.97804="","-",6587.97804/5709381.88442*100)</f>
        <v>0.11538863879428961</v>
      </c>
      <c r="F43" s="32">
        <f>IF(OR(4403044.02622="",7352.38437="",11104.23263=""),"-",(11104.23263-7352.38437)/4403044.02622*100)</f>
        <v>8.521032807434703E-2</v>
      </c>
      <c r="G43" s="32">
        <f>IF(OR(5891602.28837="",6587.97804="",11104.23263=""),"-",(6587.97804-11104.23263)/5891602.28837*100)</f>
        <v>-7.6655795298930296E-2</v>
      </c>
    </row>
    <row r="44" spans="1:7" s="2" customFormat="1" x14ac:dyDescent="0.3">
      <c r="A44" s="19" t="s">
        <v>280</v>
      </c>
      <c r="B44" s="20">
        <v>3112.0046900000002</v>
      </c>
      <c r="C44" s="32">
        <f>IF(OR(3036.95265="",3112.00469=""),"-",3112.00469/3036.95265*100)</f>
        <v>102.47129437464228</v>
      </c>
      <c r="D44" s="32">
        <f>IF(3036.95265="","-",3036.95265/5891602.28837*100)</f>
        <v>5.1547142888360487E-2</v>
      </c>
      <c r="E44" s="32">
        <f>IF(3112.00469="","-",3112.00469/5709381.88442*100)</f>
        <v>5.4506858237879804E-2</v>
      </c>
      <c r="F44" s="32">
        <f>IF(OR(4403044.02622="",345.8323="",3036.95265=""),"-",(3036.95265-345.8323)/4403044.02622*100)</f>
        <v>6.1119542161614915E-2</v>
      </c>
      <c r="G44" s="32">
        <f>IF(OR(5891602.28837="",3112.00469="",3036.95265=""),"-",(3112.00469-3036.95265)/5891602.28837*100)</f>
        <v>1.2738816424888771E-3</v>
      </c>
    </row>
    <row r="45" spans="1:7" s="2" customFormat="1" x14ac:dyDescent="0.3">
      <c r="A45" s="19" t="s">
        <v>14</v>
      </c>
      <c r="B45" s="20">
        <v>2750.7658200000001</v>
      </c>
      <c r="C45" s="32" t="s">
        <v>98</v>
      </c>
      <c r="D45" s="32">
        <f>IF(1611.61642="","-",1611.61642/5891602.28837*100)</f>
        <v>2.7354467275928055E-2</v>
      </c>
      <c r="E45" s="32">
        <f>IF(2750.76582="","-",2750.76582/5709381.88442*100)</f>
        <v>4.8179748275490292E-2</v>
      </c>
      <c r="F45" s="32">
        <f>IF(OR(4403044.02622="",475.17791="",1611.61642=""),"-",(1611.61642-475.17791)/4403044.02622*100)</f>
        <v>2.5810291771613942E-2</v>
      </c>
      <c r="G45" s="32">
        <f>IF(OR(5891602.28837="",2750.76582="",1611.61642=""),"-",(2750.76582-1611.61642)/5891602.28837*100)</f>
        <v>1.9335137442129731E-2</v>
      </c>
    </row>
    <row r="46" spans="1:7" s="2" customFormat="1" x14ac:dyDescent="0.3">
      <c r="A46" s="19" t="s">
        <v>15</v>
      </c>
      <c r="B46" s="20" t="s">
        <v>292</v>
      </c>
      <c r="C46" s="32" t="str">
        <f>IF(OR(1.61275="",""=""),"-",""/1.61275*100)</f>
        <v>-</v>
      </c>
      <c r="D46" s="32">
        <f>IF(1.61275="","-",1.61275/5891602.28837*100)</f>
        <v>2.7373707882209939E-5</v>
      </c>
      <c r="E46" s="32" t="str">
        <f>IF(""="","-",""/5709381.88442*100)</f>
        <v>-</v>
      </c>
      <c r="F46" s="32">
        <f>IF(OR(4403044.02622="",14.06987="",1.61275=""),"-",(1.61275-14.06987)/4403044.02622*100)</f>
        <v>-2.8292063231296819E-4</v>
      </c>
      <c r="G46" s="32" t="str">
        <f>IF(OR(5891602.28837="",""="",1.61275=""),"-",(""-1.61275)/5891602.28837*100)</f>
        <v>-</v>
      </c>
    </row>
    <row r="47" spans="1:7" s="2" customFormat="1" x14ac:dyDescent="0.3">
      <c r="A47" s="17" t="s">
        <v>123</v>
      </c>
      <c r="B47" s="18">
        <v>1849556.23483</v>
      </c>
      <c r="C47" s="31">
        <f>IF(1679712.106="","-",1849556.23483/1679712.106*100)</f>
        <v>110.11150233562704</v>
      </c>
      <c r="D47" s="31">
        <f>IF(1679712.106="","-",1679712.106/5891602.28837*100)</f>
        <v>28.510276556103335</v>
      </c>
      <c r="E47" s="31">
        <f>IF(1849556.23483="","-",1849556.23483/5709381.88442*100)</f>
        <v>32.395034563673988</v>
      </c>
      <c r="F47" s="31">
        <f>IF(4403044.02622="","-",(1679712.106-1302220.22178)/4403044.02622*100)</f>
        <v>8.5734296993635901</v>
      </c>
      <c r="G47" s="31">
        <f>IF(5891602.28837="","-",(1849556.23483-1679712.106)/5891602.28837*100)</f>
        <v>2.8828172798641161</v>
      </c>
    </row>
    <row r="48" spans="1:7" s="2" customFormat="1" x14ac:dyDescent="0.3">
      <c r="A48" s="19" t="s">
        <v>56</v>
      </c>
      <c r="B48" s="20">
        <v>635455.26839999994</v>
      </c>
      <c r="C48" s="32">
        <f>IF(OR(596740.90326="",635455.2684=""),"-",635455.2684/596740.90326*100)</f>
        <v>106.48763390082748</v>
      </c>
      <c r="D48" s="32">
        <f>IF(596740.90326="","-",596740.90326/5891602.28837*100)</f>
        <v>10.1286691472363</v>
      </c>
      <c r="E48" s="32">
        <f>IF(635455.2684="","-",635455.2684/5709381.88442*100)</f>
        <v>11.13001864762378</v>
      </c>
      <c r="F48" s="32">
        <f>IF(OR(4403044.02622="",513516.90948="",596740.90326=""),"-",(596740.90326-513516.90948)/4403044.02622*100)</f>
        <v>1.8901467549359852</v>
      </c>
      <c r="G48" s="32">
        <f>IF(OR(5891602.28837="",635455.2684="",596740.90326=""),"-",(635455.2684-596740.90326)/5891602.28837*100)</f>
        <v>0.65711097329875612</v>
      </c>
    </row>
    <row r="49" spans="1:7" s="2" customFormat="1" x14ac:dyDescent="0.3">
      <c r="A49" s="72" t="s">
        <v>53</v>
      </c>
      <c r="B49" s="21">
        <v>498487.92556</v>
      </c>
      <c r="C49" s="32">
        <f>IF(OR(408468.59474="",498487.92556=""),"-",498487.92556/408468.59474*100)</f>
        <v>122.03825018109397</v>
      </c>
      <c r="D49" s="32">
        <f>IF(408468.59474="","-",408468.59474/5891602.28837*100)</f>
        <v>6.9330646358515295</v>
      </c>
      <c r="E49" s="32">
        <f>IF(498487.92556="","-",498487.92556/5709381.88442*100)</f>
        <v>8.731031408501412</v>
      </c>
      <c r="F49" s="32">
        <f>IF(OR(4403044.02622="",313869.85371="",408468.59474=""),"-",(408468.59474-313869.85371)/4403044.02622*100)</f>
        <v>2.148485013246908</v>
      </c>
      <c r="G49" s="32">
        <f>IF(OR(5891602.28837="",498487.92556="",408468.59474=""),"-",(498487.92556-408468.59474)/5891602.28837*100)</f>
        <v>1.5279261296659119</v>
      </c>
    </row>
    <row r="50" spans="1:7" s="2" customFormat="1" x14ac:dyDescent="0.3">
      <c r="A50" s="19" t="s">
        <v>66</v>
      </c>
      <c r="B50" s="21">
        <v>147441.63010000001</v>
      </c>
      <c r="C50" s="32">
        <f>IF(OR(172784.35244="",147441.6301=""),"-",147441.6301/172784.35244*100)</f>
        <v>85.332744555789375</v>
      </c>
      <c r="D50" s="32">
        <f>IF(172784.35244="","-",172784.35244/5891602.28837*100)</f>
        <v>2.9327226106398192</v>
      </c>
      <c r="E50" s="32">
        <f>IF(147441.6301="","-",147441.6301/5709381.88442*100)</f>
        <v>2.5824447039064751</v>
      </c>
      <c r="F50" s="32">
        <f>IF(OR(4403044.02622="",29212.46103="",172784.35244=""),"-",(172784.35244-29212.46103)/4403044.02622*100)</f>
        <v>3.2607416722393303</v>
      </c>
      <c r="G50" s="32">
        <f>IF(OR(5891602.28837="",147441.6301="",172784.35244=""),"-",(147441.6301-172784.35244)/5891602.28837*100)</f>
        <v>-0.43014991677266495</v>
      </c>
    </row>
    <row r="51" spans="1:7" s="2" customFormat="1" x14ac:dyDescent="0.3">
      <c r="A51" s="19" t="s">
        <v>16</v>
      </c>
      <c r="B51" s="21">
        <v>79998.789390000005</v>
      </c>
      <c r="C51" s="32">
        <f>IF(OR(90655.90391="",79998.78939=""),"-",79998.78939/90655.90391*100)</f>
        <v>88.244434107038416</v>
      </c>
      <c r="D51" s="32">
        <f>IF(90655.90391="","-",90655.90391/5891602.28837*100)</f>
        <v>1.5387308829204984</v>
      </c>
      <c r="E51" s="32">
        <f>IF(79998.78939="","-",79998.78939/5709381.88442*100)</f>
        <v>1.4011812663697281</v>
      </c>
      <c r="F51" s="32">
        <f>IF(OR(4403044.02622="",69497.80279="",90655.90391=""),"-",(90655.90391-69497.80279)/4403044.02622*100)</f>
        <v>0.48053348987664235</v>
      </c>
      <c r="G51" s="32">
        <f>IF(OR(5891602.28837="",79998.78939="",90655.90391=""),"-",(79998.78939-90655.90391)/5891602.28837*100)</f>
        <v>-0.1808865228570688</v>
      </c>
    </row>
    <row r="52" spans="1:7" s="2" customFormat="1" x14ac:dyDescent="0.3">
      <c r="A52" s="19" t="s">
        <v>72</v>
      </c>
      <c r="B52" s="21">
        <v>61506.704400000002</v>
      </c>
      <c r="C52" s="32">
        <f>IF(OR(46168.6331="",61506.7044=""),"-",61506.7044/46168.6331*100)</f>
        <v>133.22184407491156</v>
      </c>
      <c r="D52" s="32">
        <f>IF(46168.6331="","-",46168.6331/5891602.28837*100)</f>
        <v>0.78363458428171062</v>
      </c>
      <c r="E52" s="32">
        <f>IF(61506.7044="","-",61506.7044/5709381.88442*100)</f>
        <v>1.0772918267709868</v>
      </c>
      <c r="F52" s="32">
        <f>IF(OR(4403044.02622="",42227.23081="",46168.6331=""),"-",(46168.6331-42227.23081)/4403044.02622*100)</f>
        <v>8.9515395860887623E-2</v>
      </c>
      <c r="G52" s="32">
        <f>IF(OR(5891602.28837="",61506.7044="",46168.6331=""),"-",(61506.7044-46168.6331)/5891602.28837*100)</f>
        <v>0.26033785970715123</v>
      </c>
    </row>
    <row r="53" spans="1:7" s="2" customFormat="1" ht="22.8" x14ac:dyDescent="0.3">
      <c r="A53" s="19" t="s">
        <v>357</v>
      </c>
      <c r="B53" s="21">
        <v>50823.524890000001</v>
      </c>
      <c r="C53" s="32">
        <f>IF(OR(47432.1274="",50823.52489=""),"-",50823.52489/47432.1274*100)</f>
        <v>107.1500008030422</v>
      </c>
      <c r="D53" s="32">
        <f>IF(47432.1274="","-",47432.1274/5891602.28837*100)</f>
        <v>0.80508026642651753</v>
      </c>
      <c r="E53" s="32">
        <f>IF(50823.52489="","-",50823.52489/5709381.88442*100)</f>
        <v>0.89017560777795157</v>
      </c>
      <c r="F53" s="32">
        <f>IF(OR(4403044.02622="",41681.3178="",47432.1274=""),"-",(47432.1274-41681.3178)/4403044.02622*100)</f>
        <v>0.13060985912823253</v>
      </c>
      <c r="G53" s="32">
        <f>IF(OR(5891602.28837="",50823.52489="",47432.1274=""),"-",(50823.52489-47432.1274)/5891602.28837*100)</f>
        <v>5.7563245514630344E-2</v>
      </c>
    </row>
    <row r="54" spans="1:7" s="2" customFormat="1" x14ac:dyDescent="0.3">
      <c r="A54" s="19" t="s">
        <v>33</v>
      </c>
      <c r="B54" s="20">
        <v>39454.384100000003</v>
      </c>
      <c r="C54" s="32">
        <f>IF(OR(40076.10504="",39454.3841=""),"-",39454.3841/40076.10504*100)</f>
        <v>98.44864929019559</v>
      </c>
      <c r="D54" s="32">
        <f>IF(40076.10504="","-",40076.10504/5891602.28837*100)</f>
        <v>0.68022420860128452</v>
      </c>
      <c r="E54" s="32">
        <f>IF(39454.3841="","-",39454.3841/5709381.88442*100)</f>
        <v>0.69104475578459335</v>
      </c>
      <c r="F54" s="32">
        <f>IF(OR(4403044.02622="",31983.04091="",40076.10504=""),"-",(40076.10504-31983.04091)/4403044.02622*100)</f>
        <v>0.1838061141747854</v>
      </c>
      <c r="G54" s="32">
        <f>IF(OR(5891602.28837="",39454.3841="",40076.10504=""),"-",(39454.3841-40076.10504)/5891602.28837*100)</f>
        <v>-1.0552663088397429E-2</v>
      </c>
    </row>
    <row r="55" spans="1:7" s="2" customFormat="1" x14ac:dyDescent="0.3">
      <c r="A55" s="72" t="s">
        <v>68</v>
      </c>
      <c r="B55" s="21">
        <v>35844.664989999997</v>
      </c>
      <c r="C55" s="32">
        <f>IF(OR(26832.84495="",35844.66499=""),"-",35844.66499/26832.84495*100)</f>
        <v>133.58503377779178</v>
      </c>
      <c r="D55" s="32">
        <f>IF(26832.84495="","-",26832.84495/5891602.28837*100)</f>
        <v>0.45544223178417742</v>
      </c>
      <c r="E55" s="32">
        <f>IF(35844.66499="","-",35844.66499/5709381.88442*100)</f>
        <v>0.62782041411197975</v>
      </c>
      <c r="F55" s="32">
        <f>IF(OR(4403044.02622="",32293.73252="",26832.84495=""),"-",(26832.84495-32293.73252)/4403044.02622*100)</f>
        <v>-0.12402527745533713</v>
      </c>
      <c r="G55" s="32">
        <f>IF(OR(5891602.28837="",35844.66499="",26832.84495=""),"-",(35844.66499-26832.84495)/5891602.28837*100)</f>
        <v>0.15296042738304477</v>
      </c>
    </row>
    <row r="56" spans="1:7" s="2" customFormat="1" x14ac:dyDescent="0.3">
      <c r="A56" s="19" t="s">
        <v>59</v>
      </c>
      <c r="B56" s="21">
        <v>26836.535019999999</v>
      </c>
      <c r="C56" s="32" t="s">
        <v>98</v>
      </c>
      <c r="D56" s="32">
        <f>IF(16018.13429="","-",16018.13429/5891602.28837*100)</f>
        <v>0.27188078057508624</v>
      </c>
      <c r="E56" s="32">
        <f>IF(26836.53502="","-",26836.53502/5709381.88442*100)</f>
        <v>0.4700427395342508</v>
      </c>
      <c r="F56" s="32">
        <f>IF(OR(4403044.02622="",8094.63241="",16018.13429=""),"-",(16018.13429-8094.63241)/4403044.02622*100)</f>
        <v>0.17995509090565015</v>
      </c>
      <c r="G56" s="32">
        <f>IF(OR(5891602.28837="",26836.53502="",16018.13429=""),"-",(26836.53502-16018.13429)/5891602.28837*100)</f>
        <v>0.18362408391611021</v>
      </c>
    </row>
    <row r="57" spans="1:7" s="2" customFormat="1" x14ac:dyDescent="0.3">
      <c r="A57" s="19" t="s">
        <v>358</v>
      </c>
      <c r="B57" s="20">
        <v>25740.902129999999</v>
      </c>
      <c r="C57" s="32">
        <f>IF(OR(23809.64838="",25740.90213=""),"-",25740.90213/23809.64838*100)</f>
        <v>108.11122331240408</v>
      </c>
      <c r="D57" s="32">
        <f>IF(23809.64838="","-",23809.64838/5891602.28837*100)</f>
        <v>0.40412857512463379</v>
      </c>
      <c r="E57" s="32">
        <f>IF(25740.90213="","-",25740.90213/5709381.88442*100)</f>
        <v>0.45085269563493113</v>
      </c>
      <c r="F57" s="32">
        <f>IF(OR(4403044.02622="",24867.70552="",23809.64838=""),"-",(23809.64838-24867.70552)/4403044.02622*100)</f>
        <v>-2.4030128558772089E-2</v>
      </c>
      <c r="G57" s="32">
        <f>IF(OR(5891602.28837="",25740.90213="",23809.64838=""),"-",(25740.90213-23809.64838)/5891602.28837*100)</f>
        <v>3.2779771197595724E-2</v>
      </c>
    </row>
    <row r="58" spans="1:7" s="2" customFormat="1" x14ac:dyDescent="0.3">
      <c r="A58" s="19" t="s">
        <v>63</v>
      </c>
      <c r="B58" s="21">
        <v>25410.324970000001</v>
      </c>
      <c r="C58" s="32">
        <f>IF(OR(25689.32883="",25410.32497=""),"-",25410.32497/25689.32883*100)</f>
        <v>98.913930909420344</v>
      </c>
      <c r="D58" s="32">
        <f>IF(25689.32883="","-",25689.32883/5891602.28837*100)</f>
        <v>0.43603297664390261</v>
      </c>
      <c r="E58" s="32">
        <f>IF(25410.32497="","-",25410.32497/5709381.88442*100)</f>
        <v>0.44506262646996442</v>
      </c>
      <c r="F58" s="32">
        <f>IF(OR(4403044.02622="",19202.91603="",25689.32883=""),"-",(25689.32883-19202.91603)/4403044.02622*100)</f>
        <v>0.1473165555777684</v>
      </c>
      <c r="G58" s="32">
        <f>IF(OR(5891602.28837="",25410.32497="",25689.32883=""),"-",(25410.32497-25689.32883)/5891602.28837*100)</f>
        <v>-4.7356193840638163E-3</v>
      </c>
    </row>
    <row r="59" spans="1:7" s="2" customFormat="1" x14ac:dyDescent="0.3">
      <c r="A59" s="19" t="s">
        <v>75</v>
      </c>
      <c r="B59" s="20">
        <v>21204.767599999999</v>
      </c>
      <c r="C59" s="32">
        <f>IF(OR(13698.74826="",21204.7676=""),"-",21204.7676/13698.74826*100)</f>
        <v>154.79346869901528</v>
      </c>
      <c r="D59" s="32">
        <f>IF(13698.74826="","-",13698.74826/5891602.28837*100)</f>
        <v>0.23251311934346408</v>
      </c>
      <c r="E59" s="32">
        <f>IF(21204.7676="","-",21204.7676/5709381.88442*100)</f>
        <v>0.37140215927514775</v>
      </c>
      <c r="F59" s="32">
        <f>IF(OR(4403044.02622="",15210.18336="",13698.74826=""),"-",(13698.74826-15210.18336)/4403044.02622*100)</f>
        <v>-3.4327049445779967E-2</v>
      </c>
      <c r="G59" s="32">
        <f>IF(OR(5891602.28837="",21204.7676="",13698.74826=""),"-",(21204.7676-13698.74826)/5891602.28837*100)</f>
        <v>0.12740200326856502</v>
      </c>
    </row>
    <row r="60" spans="1:7" s="2" customFormat="1" x14ac:dyDescent="0.3">
      <c r="A60" s="19" t="s">
        <v>281</v>
      </c>
      <c r="B60" s="21">
        <v>14872.37744</v>
      </c>
      <c r="C60" s="32">
        <f>IF(OR(14783.38646="",14872.37744=""),"-",14872.37744/14783.38646*100)</f>
        <v>100.60196613435485</v>
      </c>
      <c r="D60" s="32">
        <f>IF(14783.38646="","-",14783.38646/5891602.28837*100)</f>
        <v>0.25092302121584731</v>
      </c>
      <c r="E60" s="32">
        <f>IF(14872.37744="","-",14872.37744/5709381.88442*100)</f>
        <v>0.26049015009110471</v>
      </c>
      <c r="F60" s="32">
        <f>IF(OR(4403044.02622="",14407.26607="",14783.38646=""),"-",(14783.38646-14407.26607)/4403044.02622*100)</f>
        <v>8.5422809256553867E-3</v>
      </c>
      <c r="G60" s="32">
        <f>IF(OR(5891602.28837="",14872.37744="",14783.38646=""),"-",(14872.37744-14783.38646)/5891602.28837*100)</f>
        <v>1.5104716110194392E-3</v>
      </c>
    </row>
    <row r="61" spans="1:7" s="2" customFormat="1" x14ac:dyDescent="0.3">
      <c r="A61" s="19" t="s">
        <v>67</v>
      </c>
      <c r="B61" s="20">
        <v>11988.547640000001</v>
      </c>
      <c r="C61" s="32">
        <f>IF(OR(8805.60844="",11988.54764=""),"-",11988.54764/8805.60844*100)</f>
        <v>136.14672650604481</v>
      </c>
      <c r="D61" s="32">
        <f>IF(8805.60844="","-",8805.60844/5891602.28837*100)</f>
        <v>0.14946033369194381</v>
      </c>
      <c r="E61" s="32">
        <f>IF(11988.54764="","-",11988.54764/5709381.88442*100)</f>
        <v>0.20997978209716275</v>
      </c>
      <c r="F61" s="32">
        <f>IF(OR(4403044.02622="",8037.37322="",8805.60844=""),"-",(8805.60844-8037.37322)/4403044.02622*100)</f>
        <v>1.7447820540180407E-2</v>
      </c>
      <c r="G61" s="32">
        <f>IF(OR(5891602.28837="",11988.54764="",8805.60844=""),"-",(11988.54764-8805.60844)/5891602.28837*100)</f>
        <v>5.4025018054648904E-2</v>
      </c>
    </row>
    <row r="62" spans="1:7" s="2" customFormat="1" x14ac:dyDescent="0.3">
      <c r="A62" s="19" t="s">
        <v>60</v>
      </c>
      <c r="B62" s="20">
        <v>11676.88435</v>
      </c>
      <c r="C62" s="32" t="s">
        <v>287</v>
      </c>
      <c r="D62" s="32">
        <f>IF(4423.98316="","-",4423.98316/5891602.28837*100)</f>
        <v>7.5089643588687666E-2</v>
      </c>
      <c r="E62" s="32">
        <f>IF(11676.88435="","-",11676.88435/5709381.88442*100)</f>
        <v>0.20452098994926879</v>
      </c>
      <c r="F62" s="32">
        <f>IF(OR(4403044.02622="",5635.65272="",4423.98316=""),"-",(4423.98316-5635.65272)/4403044.02622*100)</f>
        <v>-2.7518906301743591E-2</v>
      </c>
      <c r="G62" s="32">
        <f>IF(OR(5891602.28837="",11676.88435="",4423.98316=""),"-",(11676.88435-4423.98316)/5891602.28837*100)</f>
        <v>0.12310575009988707</v>
      </c>
    </row>
    <row r="63" spans="1:7" s="2" customFormat="1" x14ac:dyDescent="0.3">
      <c r="A63" s="19" t="s">
        <v>74</v>
      </c>
      <c r="B63" s="21">
        <v>10911.280839999999</v>
      </c>
      <c r="C63" s="32">
        <f>IF(OR(10298.89549="",10911.28084=""),"-",10911.28084/10298.89549*100)</f>
        <v>105.94612646176098</v>
      </c>
      <c r="D63" s="32">
        <f>IF(10298.89549="","-",10298.89549/5891602.28837*100)</f>
        <v>0.1748063597288293</v>
      </c>
      <c r="E63" s="32">
        <f>IF(10911.28084="","-",10911.28084/5709381.88442*100)</f>
        <v>0.19111142083130153</v>
      </c>
      <c r="F63" s="32">
        <f>IF(OR(4403044.02622="",7927.78062="",10298.89549=""),"-",(10298.89549-7927.78062)/4403044.02622*100)</f>
        <v>5.3851718399363702E-2</v>
      </c>
      <c r="G63" s="32">
        <f>IF(OR(5891602.28837="",10911.28084="",10298.89549=""),"-",(10911.28084-10298.89549)/5891602.28837*100)</f>
        <v>1.0394207212677014E-2</v>
      </c>
    </row>
    <row r="64" spans="1:7" s="2" customFormat="1" x14ac:dyDescent="0.3">
      <c r="A64" s="19" t="s">
        <v>78</v>
      </c>
      <c r="B64" s="21">
        <v>8840.5324199999995</v>
      </c>
      <c r="C64" s="32">
        <f>IF(OR(9516.62939="",8840.53242=""),"-",8840.53242/9516.62939*100)</f>
        <v>92.895625727419443</v>
      </c>
      <c r="D64" s="32">
        <f>IF(9516.62939="","-",9516.62939/5891602.28837*100)</f>
        <v>0.16152871365376764</v>
      </c>
      <c r="E64" s="32">
        <f>IF(8840.53242="","-",8840.53242/5709381.88442*100)</f>
        <v>0.15484219831439922</v>
      </c>
      <c r="F64" s="32">
        <f>IF(OR(4403044.02622="",8874.23773="",9516.62939=""),"-",(9516.62939-8874.23773)/4403044.02622*100)</f>
        <v>1.4589716936159973E-2</v>
      </c>
      <c r="G64" s="32">
        <f>IF(OR(5891602.28837="",8840.53242="",9516.62939=""),"-",(8840.53242-9516.62939)/5891602.28837*100)</f>
        <v>-1.1475604375648596E-2</v>
      </c>
    </row>
    <row r="65" spans="1:7" s="2" customFormat="1" x14ac:dyDescent="0.3">
      <c r="A65" s="19" t="s">
        <v>79</v>
      </c>
      <c r="B65" s="20">
        <v>8699.2589000000007</v>
      </c>
      <c r="C65" s="32">
        <f>IF(OR(7346.1532="",8699.2589=""),"-",8699.2589/7346.1532*100)</f>
        <v>118.41924151540975</v>
      </c>
      <c r="D65" s="32">
        <f>IF(7346.1532="","-",7346.1532/5891602.28837*100)</f>
        <v>0.12468854549977477</v>
      </c>
      <c r="E65" s="32">
        <f>IF(8699.2589="","-",8699.2589/5709381.88442*100)</f>
        <v>0.15236778824935326</v>
      </c>
      <c r="F65" s="32">
        <f>IF(OR(4403044.02622="",6795.19948="",7346.1532=""),"-",(7346.1532-6795.19948)/4403044.02622*100)</f>
        <v>1.2513018646170377E-2</v>
      </c>
      <c r="G65" s="32">
        <f>IF(OR(5891602.28837="",8699.2589="",7346.1532=""),"-",(8699.2589-7346.1532)/5891602.28837*100)</f>
        <v>2.2966684337655079E-2</v>
      </c>
    </row>
    <row r="66" spans="1:7" s="2" customFormat="1" x14ac:dyDescent="0.3">
      <c r="A66" s="19" t="s">
        <v>70</v>
      </c>
      <c r="B66" s="21">
        <v>8220.5168099999992</v>
      </c>
      <c r="C66" s="32">
        <f>IF(OR(11661.07172="",8220.51681=""),"-",8220.51681/11661.07172*100)</f>
        <v>70.495379904926949</v>
      </c>
      <c r="D66" s="32">
        <f>IF(11661.07172="","-",11661.07172/5891602.28837*100)</f>
        <v>0.19792700099629787</v>
      </c>
      <c r="E66" s="32">
        <f>IF(8220.51681="","-",8220.51681/5709381.88442*100)</f>
        <v>0.14398260576039745</v>
      </c>
      <c r="F66" s="32">
        <f>IF(OR(4403044.02622="",7580.63395="",11661.07172=""),"-",(11661.07172-7580.63395)/4403044.02622*100)</f>
        <v>9.2673108551745348E-2</v>
      </c>
      <c r="G66" s="32">
        <f>IF(OR(5891602.28837="",8220.51681="",11661.07172=""),"-",(8220.51681-11661.07172)/5891602.28837*100)</f>
        <v>-5.8397609709529147E-2</v>
      </c>
    </row>
    <row r="67" spans="1:7" s="2" customFormat="1" x14ac:dyDescent="0.3">
      <c r="A67" s="19" t="s">
        <v>80</v>
      </c>
      <c r="B67" s="21">
        <v>7975.0900499999998</v>
      </c>
      <c r="C67" s="32">
        <f>IF(OR(7092.18524="",7975.09005=""),"-",7975.09005/7092.18524*100)</f>
        <v>112.44898123952555</v>
      </c>
      <c r="D67" s="32">
        <f>IF(7092.18524="","-",7092.18524/5891602.28837*100)</f>
        <v>0.12037786824137715</v>
      </c>
      <c r="E67" s="32">
        <f>IF(7975.09005="","-",7975.09005/5709381.88442*100)</f>
        <v>0.13968394848070609</v>
      </c>
      <c r="F67" s="32">
        <f>IF(OR(4403044.02622="",5228.8752="",7092.18524=""),"-",(7092.18524-5228.8752)/4403044.02622*100)</f>
        <v>4.2318678371236845E-2</v>
      </c>
      <c r="G67" s="32">
        <f>IF(OR(5891602.28837="",7975.09005="",7092.18524=""),"-",(7975.09005-7092.18524)/5891602.28837*100)</f>
        <v>1.4985818233909825E-2</v>
      </c>
    </row>
    <row r="68" spans="1:7" s="2" customFormat="1" x14ac:dyDescent="0.3">
      <c r="A68" s="19" t="s">
        <v>62</v>
      </c>
      <c r="B68" s="21">
        <v>7901.8250900000003</v>
      </c>
      <c r="C68" s="32">
        <f>IF(OR(6967.42817="",7901.82509=""),"-",7901.82509/6967.42817*100)</f>
        <v>113.41093007636991</v>
      </c>
      <c r="D68" s="32">
        <f>IF(6967.42817="","-",6967.42817/5891602.28837*100)</f>
        <v>0.11826032764896022</v>
      </c>
      <c r="E68" s="32">
        <f>IF(7901.82509="","-",7901.82509/5709381.88442*100)</f>
        <v>0.13840071044402952</v>
      </c>
      <c r="F68" s="32">
        <f>IF(OR(4403044.02622="",5503.57387="",6967.42817=""),"-",(6967.42817-5503.57387)/4403044.02622*100)</f>
        <v>3.3246415236431653E-2</v>
      </c>
      <c r="G68" s="32">
        <f>IF(OR(5891602.28837="",7901.82509="",6967.42817=""),"-",(7901.82509-6967.42817)/5891602.28837*100)</f>
        <v>1.5859809849088014E-2</v>
      </c>
    </row>
    <row r="69" spans="1:7" s="2" customFormat="1" x14ac:dyDescent="0.3">
      <c r="A69" s="19" t="s">
        <v>55</v>
      </c>
      <c r="B69" s="20">
        <v>7407.3458700000001</v>
      </c>
      <c r="C69" s="32" t="s">
        <v>321</v>
      </c>
      <c r="D69" s="32">
        <f>IF(1851.11295="","-",1851.11295/5891602.28837*100)</f>
        <v>3.1419516447233543E-2</v>
      </c>
      <c r="E69" s="32">
        <f>IF(7407.34587="","-",7407.34587/5709381.88442*100)</f>
        <v>0.12973989163719238</v>
      </c>
      <c r="F69" s="32">
        <f>IF(OR(4403044.02622="",2524.76352="",1851.11295=""),"-",(1851.11295-2524.76352)/4403044.02622*100)</f>
        <v>-1.5299655556211345E-2</v>
      </c>
      <c r="G69" s="32">
        <f>IF(OR(5891602.28837="",7407.34587="",1851.11295=""),"-",(7407.34587-1851.11295)/5891602.28837*100)</f>
        <v>9.430767129288381E-2</v>
      </c>
    </row>
    <row r="70" spans="1:7" s="2" customFormat="1" x14ac:dyDescent="0.3">
      <c r="A70" s="19" t="s">
        <v>81</v>
      </c>
      <c r="B70" s="21">
        <v>7035.0299000000005</v>
      </c>
      <c r="C70" s="32" t="s">
        <v>98</v>
      </c>
      <c r="D70" s="32">
        <f>IF(4045.52624="","-",4045.52624/5891602.28837*100)</f>
        <v>6.8665976452379568E-2</v>
      </c>
      <c r="E70" s="32">
        <f>IF(7035.0299="","-",7035.0299/5709381.88442*100)</f>
        <v>0.12321876592626399</v>
      </c>
      <c r="F70" s="32">
        <f>IF(OR(4403044.02622="",4714.58471="",4045.52624=""),"-",(4045.52624-4714.58471)/4403044.02622*100)</f>
        <v>-1.5195361800058687E-2</v>
      </c>
      <c r="G70" s="32">
        <f>IF(OR(5891602.28837="",7035.0299="",4045.52624=""),"-",(7035.0299-4045.52624)/5891602.28837*100)</f>
        <v>5.074177640777397E-2</v>
      </c>
    </row>
    <row r="71" spans="1:7" s="2" customFormat="1" x14ac:dyDescent="0.3">
      <c r="A71" s="19" t="s">
        <v>116</v>
      </c>
      <c r="B71" s="21">
        <v>7033.10923</v>
      </c>
      <c r="C71" s="32" t="s">
        <v>288</v>
      </c>
      <c r="D71" s="32">
        <f>IF(3028.37012="","-",3028.37012/5891602.28837*100)</f>
        <v>5.1401468934486473E-2</v>
      </c>
      <c r="E71" s="32">
        <f>IF(7033.10923="","-",7033.10923/5709381.88442*100)</f>
        <v>0.12318512533190751</v>
      </c>
      <c r="F71" s="32">
        <f>IF(OR(4403044.02622="",3760.89042="",3028.37012=""),"-",(3028.37012-3760.89042)/4403044.02622*100)</f>
        <v>-1.6636678980220566E-2</v>
      </c>
      <c r="G71" s="32">
        <f>IF(OR(5891602.28837="",7033.10923="",3028.37012=""),"-",(7033.10923-3028.37012)/5891602.28837*100)</f>
        <v>6.797368379575347E-2</v>
      </c>
    </row>
    <row r="72" spans="1:7" s="2" customFormat="1" x14ac:dyDescent="0.3">
      <c r="A72" s="19" t="s">
        <v>71</v>
      </c>
      <c r="B72" s="20">
        <v>6792.0989499999996</v>
      </c>
      <c r="C72" s="32">
        <f>IF(OR(4706.04702="",6792.09895=""),"-",6792.09895/4706.04702*100)</f>
        <v>144.32705243136309</v>
      </c>
      <c r="D72" s="32">
        <f>IF(4706.04702="","-",4706.04702/5891602.28837*100)</f>
        <v>7.9877201305487269E-2</v>
      </c>
      <c r="E72" s="32">
        <f>IF(6792.09895="","-",6792.09895/5709381.88442*100)</f>
        <v>0.1189638228357883</v>
      </c>
      <c r="F72" s="32">
        <f>IF(OR(4403044.02622="",3076.77583="",4706.04702=""),"-",(4706.04702-3076.77583)/4403044.02622*100)</f>
        <v>3.7003290911872266E-2</v>
      </c>
      <c r="G72" s="32">
        <f>IF(OR(5891602.28837="",6792.09895="",4706.04702=""),"-",(6792.09895-4706.04702)/5891602.28837*100)</f>
        <v>3.5407208903388776E-2</v>
      </c>
    </row>
    <row r="73" spans="1:7" s="2" customFormat="1" x14ac:dyDescent="0.3">
      <c r="A73" s="19" t="s">
        <v>58</v>
      </c>
      <c r="B73" s="21">
        <v>6452.61535</v>
      </c>
      <c r="C73" s="32">
        <f>IF(OR(8647.1495="",6452.61535=""),"-",6452.61535/8647.1495*100)</f>
        <v>74.621299770519755</v>
      </c>
      <c r="D73" s="32">
        <f>IF(8647.1495="","-",8647.1495/5891602.28837*100)</f>
        <v>0.14677076076688747</v>
      </c>
      <c r="E73" s="32">
        <f>IF(6452.61535="","-",6452.61535/5709381.88442*100)</f>
        <v>0.11301775709920835</v>
      </c>
      <c r="F73" s="32">
        <f>IF(OR(4403044.02622="",10364.43314="",8647.1495=""),"-",(8647.1495-10364.43314)/4403044.02622*100)</f>
        <v>-3.9002190979095942E-2</v>
      </c>
      <c r="G73" s="32">
        <f>IF(OR(5891602.28837="",6452.61535="",8647.1495=""),"-",(6452.61535-8647.1495)/5891602.28837*100)</f>
        <v>-3.7248511399555963E-2</v>
      </c>
    </row>
    <row r="74" spans="1:7" s="2" customFormat="1" x14ac:dyDescent="0.3">
      <c r="A74" s="19" t="s">
        <v>36</v>
      </c>
      <c r="B74" s="20">
        <v>6164.3567599999997</v>
      </c>
      <c r="C74" s="32">
        <f>IF(OR(4173.9916="",6164.35676=""),"-",6164.35676/4173.9916*100)</f>
        <v>147.68493448812882</v>
      </c>
      <c r="D74" s="32">
        <f>IF(4173.9916="","-",4173.9916/5891602.28837*100)</f>
        <v>7.084645900554834E-2</v>
      </c>
      <c r="E74" s="32">
        <f>IF(6164.35676="","-",6164.35676/5709381.88442*100)</f>
        <v>0.10796889899450507</v>
      </c>
      <c r="F74" s="32">
        <f>IF(OR(4403044.02622="",3293.11813="",4173.9916=""),"-",(4173.9916-3293.11813)/4403044.02622*100)</f>
        <v>2.0006010949570895E-2</v>
      </c>
      <c r="G74" s="32">
        <f>IF(OR(5891602.28837="",6164.35676="",4173.9916=""),"-",(6164.35676-4173.9916)/5891602.28837*100)</f>
        <v>3.3783087563954761E-2</v>
      </c>
    </row>
    <row r="75" spans="1:7" s="2" customFormat="1" x14ac:dyDescent="0.3">
      <c r="A75" s="19" t="s">
        <v>77</v>
      </c>
      <c r="B75" s="20">
        <v>5564.9674599999998</v>
      </c>
      <c r="C75" s="32">
        <f>IF(OR(5233.87093="",5564.96746=""),"-",5564.96746/5233.87093*100)</f>
        <v>106.32603544161148</v>
      </c>
      <c r="D75" s="32">
        <f>IF(5233.87093="","-",5233.87093/5891602.28837*100)</f>
        <v>8.8836120868709026E-2</v>
      </c>
      <c r="E75" s="32">
        <f>IF(5564.96746="","-",5564.96746/5709381.88442*100)</f>
        <v>9.7470576897052824E-2</v>
      </c>
      <c r="F75" s="32">
        <f>IF(OR(4403044.02622="",14154.52277="",5233.87093=""),"-",(5233.87093-14154.52277)/4403044.02622*100)</f>
        <v>-0.2026019223718358</v>
      </c>
      <c r="G75" s="32">
        <f>IF(OR(5891602.28837="",5564.96746="",5233.87093=""),"-",(5564.96746-5233.87093)/5891602.28837*100)</f>
        <v>5.6198044911073353E-3</v>
      </c>
    </row>
    <row r="76" spans="1:7" s="2" customFormat="1" x14ac:dyDescent="0.3">
      <c r="A76" s="19" t="s">
        <v>378</v>
      </c>
      <c r="B76" s="20">
        <v>4310.1526700000004</v>
      </c>
      <c r="C76" s="32" t="s">
        <v>17</v>
      </c>
      <c r="D76" s="32">
        <f>IF(2155.39508="","-",2155.39508/5891602.28837*100)</f>
        <v>3.6584191778435915E-2</v>
      </c>
      <c r="E76" s="32">
        <f>IF(4310.15267="","-",4310.15267/5709381.88442*100)</f>
        <v>7.5492457104011992E-2</v>
      </c>
      <c r="F76" s="32">
        <f>IF(OR(4403044.02622="",1308.79687="",2155.39508=""),"-",(2155.39508-1308.79687)/4403044.02622*100)</f>
        <v>1.9227566314543573E-2</v>
      </c>
      <c r="G76" s="32">
        <f>IF(OR(5891602.28837="",4310.15267="",2155.39508=""),"-",(4310.15267-2155.39508)/5891602.28837*100)</f>
        <v>3.6573371462182432E-2</v>
      </c>
    </row>
    <row r="77" spans="1:7" s="2" customFormat="1" x14ac:dyDescent="0.3">
      <c r="A77" s="72" t="s">
        <v>86</v>
      </c>
      <c r="B77" s="21">
        <v>4002.33403</v>
      </c>
      <c r="C77" s="32">
        <f>IF(OR(3232.49168="",4002.33403=""),"-",4002.33403/3232.49168*100)</f>
        <v>123.81575658069444</v>
      </c>
      <c r="D77" s="32">
        <f>IF(3232.49168="","-",3232.49168/5891602.28837*100)</f>
        <v>5.4866087725930282E-2</v>
      </c>
      <c r="E77" s="32">
        <f>IF(4002.33403="","-",4002.33403/5709381.88442*100)</f>
        <v>7.0101004119583171E-2</v>
      </c>
      <c r="F77" s="32">
        <f>IF(OR(4403044.02622="",2369.88887="",3232.49168=""),"-",(3232.49168-2369.88887)/4403044.02622*100)</f>
        <v>1.9591055752866085E-2</v>
      </c>
      <c r="G77" s="32">
        <f>IF(OR(5891602.28837="",4002.33403="",3232.49168=""),"-",(4002.33403-3232.49168)/5891602.28837*100)</f>
        <v>1.3066773898157819E-2</v>
      </c>
    </row>
    <row r="78" spans="1:7" s="2" customFormat="1" x14ac:dyDescent="0.3">
      <c r="A78" s="19" t="s">
        <v>76</v>
      </c>
      <c r="B78" s="21">
        <v>3944.9622100000001</v>
      </c>
      <c r="C78" s="32">
        <f>IF(OR(3206.17364="",3944.96221=""),"-",3944.96221/3206.17364*100)</f>
        <v>123.04268741976183</v>
      </c>
      <c r="D78" s="32">
        <f>IF(3206.17364="","-",3206.17364/5891602.28837*100)</f>
        <v>5.4419383438847765E-2</v>
      </c>
      <c r="E78" s="32">
        <f>IF(3944.96221="","-",3944.96221/5709381.88442*100)</f>
        <v>6.9096134920755226E-2</v>
      </c>
      <c r="F78" s="32">
        <f>IF(OR(4403044.02622="",2272.43015="",3206.17364=""),"-",(3206.17364-2272.43015)/4403044.02622*100)</f>
        <v>2.1206771598003205E-2</v>
      </c>
      <c r="G78" s="32">
        <f>IF(OR(5891602.28837="",3944.96221="",3206.17364=""),"-",(3944.96221-3206.17364)/5891602.28837*100)</f>
        <v>1.253968842157533E-2</v>
      </c>
    </row>
    <row r="79" spans="1:7" s="2" customFormat="1" x14ac:dyDescent="0.3">
      <c r="A79" s="19" t="s">
        <v>34</v>
      </c>
      <c r="B79" s="20">
        <v>3622.6907000000001</v>
      </c>
      <c r="C79" s="32" t="s">
        <v>17</v>
      </c>
      <c r="D79" s="32">
        <f>IF(1792.36764="","-",1792.36764/5891602.28837*100)</f>
        <v>3.0422414010160301E-2</v>
      </c>
      <c r="E79" s="32">
        <f>IF(3622.6907="","-",3622.6907/5709381.88442*100)</f>
        <v>6.3451539472000468E-2</v>
      </c>
      <c r="F79" s="32">
        <f>IF(OR(4403044.02622="",1972.98424="",1792.36764=""),"-",(1792.36764-1972.98424)/4403044.02622*100)</f>
        <v>-4.1020848059758978E-3</v>
      </c>
      <c r="G79" s="32">
        <f>IF(OR(5891602.28837="",3622.6907="",1792.36764=""),"-",(3622.6907-1792.36764)/5891602.28837*100)</f>
        <v>3.1066643171299101E-2</v>
      </c>
    </row>
    <row r="80" spans="1:7" s="2" customFormat="1" x14ac:dyDescent="0.3">
      <c r="A80" s="19" t="s">
        <v>65</v>
      </c>
      <c r="B80" s="20">
        <v>3434.5533500000001</v>
      </c>
      <c r="C80" s="32">
        <f>IF(OR(6132.17288="",3434.55335=""),"-",3434.55335/6132.17288*100)</f>
        <v>56.008749544582315</v>
      </c>
      <c r="D80" s="32">
        <f>IF(6132.17288="","-",6132.17288/5891602.28837*100)</f>
        <v>0.10408327955376223</v>
      </c>
      <c r="E80" s="32">
        <f>IF(3434.55335="","-",3434.55335/5709381.88442*100)</f>
        <v>6.0156307977442411E-2</v>
      </c>
      <c r="F80" s="32">
        <f>IF(OR(4403044.02622="",4711.73911="",6132.17288=""),"-",(6132.17288-4711.73911)/4403044.02622*100)</f>
        <v>3.2260267250142347E-2</v>
      </c>
      <c r="G80" s="32">
        <f>IF(OR(5891602.28837="",3434.55335="",6132.17288=""),"-",(3434.55335-6132.17288)/5891602.28837*100)</f>
        <v>-4.5787536190708092E-2</v>
      </c>
    </row>
    <row r="81" spans="1:7" s="2" customFormat="1" x14ac:dyDescent="0.3">
      <c r="A81" s="19" t="s">
        <v>84</v>
      </c>
      <c r="B81" s="20">
        <v>3127.5477700000001</v>
      </c>
      <c r="C81" s="32">
        <f>IF(OR(2580.07081="",3127.54777=""),"-",3127.54777/2580.07081*100)</f>
        <v>121.2194548257379</v>
      </c>
      <c r="D81" s="32">
        <f>IF(2580.07081="","-",2580.07081/5891602.28837*100)</f>
        <v>4.3792345167172092E-2</v>
      </c>
      <c r="E81" s="32">
        <f>IF(3127.54777="","-",3127.54777/5709381.88442*100)</f>
        <v>5.4779095764019278E-2</v>
      </c>
      <c r="F81" s="32">
        <f>IF(OR(4403044.02622="",3444.1627="",2580.07081=""),"-",(2580.07081-3444.1627)/4403044.02622*100)</f>
        <v>-1.9624875083109717E-2</v>
      </c>
      <c r="G81" s="32">
        <f>IF(OR(5891602.28837="",3127.54777="",2580.07081=""),"-",(3127.54777-2580.07081)/5891602.28837*100)</f>
        <v>9.2924968998792969E-3</v>
      </c>
    </row>
    <row r="82" spans="1:7" x14ac:dyDescent="0.3">
      <c r="A82" s="19" t="s">
        <v>35</v>
      </c>
      <c r="B82" s="21">
        <v>2583.5400800000002</v>
      </c>
      <c r="C82" s="32">
        <f>IF(OR(2005.59922="",2583.54008=""),"-",2583.54008/2005.59922*100)</f>
        <v>128.8163684068445</v>
      </c>
      <c r="D82" s="32">
        <f>IF(2005.59922="","-",2005.59922/5891602.28837*100)</f>
        <v>3.4041660007482939E-2</v>
      </c>
      <c r="E82" s="32">
        <f>IF(2583.54008="","-",2583.54008/5709381.88442*100)</f>
        <v>4.525078427579126E-2</v>
      </c>
      <c r="F82" s="32">
        <f>IF(OR(4403044.02622="",1524.75438="",2005.59922=""),"-",(2005.59922-1524.75438)/4403044.02622*100)</f>
        <v>1.0920736588973055E-2</v>
      </c>
      <c r="G82" s="32">
        <f>IF(OR(5891602.28837="",2583.54008="",2005.59922=""),"-",(2583.54008-2005.59922)/5891602.28837*100)</f>
        <v>9.8095701595617407E-3</v>
      </c>
    </row>
    <row r="83" spans="1:7" x14ac:dyDescent="0.3">
      <c r="A83" s="19" t="s">
        <v>92</v>
      </c>
      <c r="B83" s="21">
        <v>2467.0675200000001</v>
      </c>
      <c r="C83" s="32">
        <f>IF(OR(1765.04965="",2467.06752=""),"-",2467.06752/1765.04965*100)</f>
        <v>139.77326473507418</v>
      </c>
      <c r="D83" s="32">
        <f>IF(1765.04965="","-",1765.04965/5891602.28837*100)</f>
        <v>2.9958737260391811E-2</v>
      </c>
      <c r="E83" s="32">
        <f>IF(2467.06752="","-",2467.06752/5709381.88442*100)</f>
        <v>4.3210763790949722E-2</v>
      </c>
      <c r="F83" s="32">
        <f>IF(OR(4403044.02622="",1291.41538="",1765.04965=""),"-",(1765.04965-1291.41538)/4403044.02622*100)</f>
        <v>1.0756973293465193E-2</v>
      </c>
      <c r="G83" s="32">
        <f>IF(OR(5891602.28837="",2467.06752="",1765.04965=""),"-",(2467.06752-1765.04965)/5891602.28837*100)</f>
        <v>1.1915567881860944E-2</v>
      </c>
    </row>
    <row r="84" spans="1:7" x14ac:dyDescent="0.3">
      <c r="A84" s="19" t="s">
        <v>69</v>
      </c>
      <c r="B84" s="21">
        <v>2319.6560899999999</v>
      </c>
      <c r="C84" s="32">
        <f>IF(OR(3545.66609="",2319.65609=""),"-",2319.65609/3545.66609*100)</f>
        <v>65.422293896828847</v>
      </c>
      <c r="D84" s="32">
        <f>IF(3545.66609="","-",3545.66609/5891602.28837*100)</f>
        <v>6.0181694494197802E-2</v>
      </c>
      <c r="E84" s="32">
        <f>IF(2319.65609="","-",2319.65609/5709381.88442*100)</f>
        <v>4.0628848042727261E-2</v>
      </c>
      <c r="F84" s="32">
        <f>IF(OR(4403044.02622="",3078.44953="",3545.66609=""),"-",(3545.66609-3078.44953)/4403044.02622*100)</f>
        <v>1.0611217085673891E-2</v>
      </c>
      <c r="G84" s="32">
        <f>IF(OR(5891602.28837="",2319.65609="",3545.66609=""),"-",(2319.65609-3545.66609)/5891602.28837*100)</f>
        <v>-2.0809449450112056E-2</v>
      </c>
    </row>
    <row r="85" spans="1:7" x14ac:dyDescent="0.3">
      <c r="A85" s="19" t="s">
        <v>83</v>
      </c>
      <c r="B85" s="20">
        <v>2268.11024</v>
      </c>
      <c r="C85" s="32">
        <f>IF(OR(2291.835="",2268.11024=""),"-",2268.11024/2291.835*100)</f>
        <v>98.964813784587463</v>
      </c>
      <c r="D85" s="32">
        <f>IF(2291.835="","-",2291.835/5891602.28837*100)</f>
        <v>3.8900029021376299E-2</v>
      </c>
      <c r="E85" s="32">
        <f>IF(2268.11024="","-",2268.11024/5709381.88442*100)</f>
        <v>3.9726020888343691E-2</v>
      </c>
      <c r="F85" s="32">
        <f>IF(OR(4403044.02622="",2231.17136="",2291.835=""),"-",(2291.835-2231.17136)/4403044.02622*100)</f>
        <v>1.3777659191856813E-3</v>
      </c>
      <c r="G85" s="32">
        <f>IF(OR(5891602.28837="",2268.11024="",2291.835=""),"-",(2268.11024-2291.835)/5891602.28837*100)</f>
        <v>-4.0268773822076624E-4</v>
      </c>
    </row>
    <row r="86" spans="1:7" x14ac:dyDescent="0.3">
      <c r="A86" s="19" t="s">
        <v>85</v>
      </c>
      <c r="B86" s="20">
        <v>1985.4957300000001</v>
      </c>
      <c r="C86" s="32">
        <f>IF(OR(1540.32316="",1985.49573=""),"-",1985.49573/1540.32316*100)</f>
        <v>128.90124498290348</v>
      </c>
      <c r="D86" s="32">
        <f>IF(1540.32316="","-",1540.32316/5891602.28837*100)</f>
        <v>2.614438457668115E-2</v>
      </c>
      <c r="E86" s="32">
        <f>IF(1985.49573="","-",1985.49573/5709381.88442*100)</f>
        <v>3.4776019019118407E-2</v>
      </c>
      <c r="F86" s="32">
        <f>IF(OR(4403044.02622="",2050.27031="",1540.32316=""),"-",(1540.32316-2050.27031)/4403044.02622*100)</f>
        <v>-1.1581695458034927E-2</v>
      </c>
      <c r="G86" s="32">
        <f>IF(OR(5891602.28837="",1985.49573="",1540.32316=""),"-",(1985.49573-1540.32316)/5891602.28837*100)</f>
        <v>7.5560526357790498E-3</v>
      </c>
    </row>
    <row r="87" spans="1:7" x14ac:dyDescent="0.3">
      <c r="A87" s="19" t="s">
        <v>97</v>
      </c>
      <c r="B87" s="20">
        <v>1970.4948099999999</v>
      </c>
      <c r="C87" s="32">
        <f>IF(OR(1414.67341="",1970.49481=""),"-",1970.49481/1414.67341*100)</f>
        <v>139.28973260337168</v>
      </c>
      <c r="D87" s="32">
        <f>IF(1414.67341="","-",1414.67341/5891602.28837*100)</f>
        <v>2.4011692248686912E-2</v>
      </c>
      <c r="E87" s="32">
        <f>IF(1970.49481="","-",1970.49481/5709381.88442*100)</f>
        <v>3.4513277442119759E-2</v>
      </c>
      <c r="F87" s="32">
        <f>IF(OR(4403044.02622="",546.29123="",1414.67341=""),"-",(1414.67341-546.29123)/4403044.02622*100)</f>
        <v>1.9722314263241732E-2</v>
      </c>
      <c r="G87" s="32">
        <f>IF(OR(5891602.28837="",1970.49481="",1414.67341=""),"-",(1970.49481-1414.67341)/5891602.28837*100)</f>
        <v>9.4341296780536092E-3</v>
      </c>
    </row>
    <row r="88" spans="1:7" x14ac:dyDescent="0.3">
      <c r="A88" s="19" t="s">
        <v>64</v>
      </c>
      <c r="B88" s="21">
        <v>1966.5125399999999</v>
      </c>
      <c r="C88" s="32">
        <f>IF(OR(1252.92534="",1966.51254=""),"-",1966.51254/1252.92534*100)</f>
        <v>156.95368887662531</v>
      </c>
      <c r="D88" s="32">
        <f>IF(1252.92534="","-",1252.92534/5891602.28837*100)</f>
        <v>2.126629189606484E-2</v>
      </c>
      <c r="E88" s="32">
        <f>IF(1966.51254="","-",1966.51254/5709381.88442*100)</f>
        <v>3.4443527860105169E-2</v>
      </c>
      <c r="F88" s="32">
        <f>IF(OR(4403044.02622="",1035.94789="",1252.92534=""),"-",(1252.92534-1035.94789)/4403044.02622*100)</f>
        <v>4.9278964440942589E-3</v>
      </c>
      <c r="G88" s="32">
        <f>IF(OR(5891602.28837="",1966.51254="",1252.92534=""),"-",(1966.51254-1252.92534)/5891602.28837*100)</f>
        <v>1.2111937722079752E-2</v>
      </c>
    </row>
    <row r="89" spans="1:7" x14ac:dyDescent="0.3">
      <c r="A89" s="19" t="s">
        <v>61</v>
      </c>
      <c r="B89" s="21">
        <v>1870.8663200000001</v>
      </c>
      <c r="C89" s="32" t="s">
        <v>187</v>
      </c>
      <c r="D89" s="32">
        <f>IF(1014.52884="","-",1014.52884/5891602.28837*100)</f>
        <v>1.7219913876445392E-2</v>
      </c>
      <c r="E89" s="32">
        <f>IF(1870.86632="","-",1870.86632/5709381.88442*100)</f>
        <v>3.2768281363439684E-2</v>
      </c>
      <c r="F89" s="32">
        <f>IF(OR(4403044.02622="",679.44018="",1014.52884=""),"-",(1014.52884-679.44018)/4403044.02622*100)</f>
        <v>7.6103863146622331E-3</v>
      </c>
      <c r="G89" s="32">
        <f>IF(OR(5891602.28837="",1870.86632="",1014.52884=""),"-",(1870.86632-1014.52884)/5891602.28837*100)</f>
        <v>1.4534882670040491E-2</v>
      </c>
    </row>
    <row r="90" spans="1:7" x14ac:dyDescent="0.3">
      <c r="A90" s="19" t="s">
        <v>82</v>
      </c>
      <c r="B90" s="21">
        <v>1615.0276200000001</v>
      </c>
      <c r="C90" s="32">
        <f>IF(OR(1513.69601="",1615.02762=""),"-",1615.02762/1513.69601*100)</f>
        <v>106.6943170445432</v>
      </c>
      <c r="D90" s="32">
        <f>IF(1513.69601="","-",1513.69601/5891602.28837*100)</f>
        <v>2.5692433669326761E-2</v>
      </c>
      <c r="E90" s="32">
        <f>IF(1615.02762="","-",1615.02762/5709381.88442*100)</f>
        <v>2.8287258633148276E-2</v>
      </c>
      <c r="F90" s="32">
        <f>IF(OR(4403044.02622="",1609.88839="",1513.69601=""),"-",(1513.69601-1609.88839)/4403044.02622*100)</f>
        <v>-2.1846790408448641E-3</v>
      </c>
      <c r="G90" s="32">
        <f>IF(OR(5891602.28837="",1615.02762="",1513.69601=""),"-",(1615.02762-1513.69601)/5891602.28837*100)</f>
        <v>1.7199329662836947E-3</v>
      </c>
    </row>
    <row r="91" spans="1:7" x14ac:dyDescent="0.3">
      <c r="A91" s="19" t="s">
        <v>127</v>
      </c>
      <c r="B91" s="20">
        <v>1541.3112599999999</v>
      </c>
      <c r="C91" s="32">
        <f>IF(OR(1080.42067="",1541.31126=""),"-",1541.31126/1080.42067*100)</f>
        <v>142.6584387727421</v>
      </c>
      <c r="D91" s="32">
        <f>IF(1080.42067="","-",1080.42067/5891602.28837*100)</f>
        <v>1.83383164225587E-2</v>
      </c>
      <c r="E91" s="32">
        <f>IF(1541.31126="","-",1541.31126/5709381.88442*100)</f>
        <v>2.6996114311533349E-2</v>
      </c>
      <c r="F91" s="32">
        <f>IF(OR(4403044.02622="",938.38108="",1080.42067=""),"-",(1080.42067-938.38108)/4403044.02622*100)</f>
        <v>3.2259407163352971E-3</v>
      </c>
      <c r="G91" s="32">
        <f>IF(OR(5891602.28837="",1541.31126="",1080.42067=""),"-",(1541.31126-1080.42067)/5891602.28837*100)</f>
        <v>7.8228394830689128E-3</v>
      </c>
    </row>
    <row r="92" spans="1:7" x14ac:dyDescent="0.3">
      <c r="A92" s="19" t="s">
        <v>302</v>
      </c>
      <c r="B92" s="20">
        <v>1304.1236899999999</v>
      </c>
      <c r="C92" s="32">
        <f>IF(OR(1158.03219="",1304.12369=""),"-",1304.12369/1158.03219*100)</f>
        <v>112.61549560206959</v>
      </c>
      <c r="D92" s="32">
        <f>IF(1158.03219="","-",1158.03219/5891602.28837*100)</f>
        <v>1.9655640915985637E-2</v>
      </c>
      <c r="E92" s="32">
        <f>IF(1304.12369="","-",1304.12369/5709381.88442*100)</f>
        <v>2.2841766699101825E-2</v>
      </c>
      <c r="F92" s="32">
        <f>IF(OR(4403044.02622="",133.82289="",1158.03219=""),"-",(1158.03219-133.82289)/4403044.02622*100)</f>
        <v>2.3261391298857407E-2</v>
      </c>
      <c r="G92" s="32">
        <f>IF(OR(5891602.28837="",1304.12369="",1158.03219=""),"-",(1304.12369-1158.03219)/5891602.28837*100)</f>
        <v>2.4796565153147564E-3</v>
      </c>
    </row>
    <row r="93" spans="1:7" x14ac:dyDescent="0.3">
      <c r="A93" s="19" t="s">
        <v>282</v>
      </c>
      <c r="B93" s="21">
        <v>1180.4361799999999</v>
      </c>
      <c r="C93" s="32">
        <f>IF(OR(904.22769="",1180.43618=""),"-",1180.43618/904.22769*100)</f>
        <v>130.54634281327969</v>
      </c>
      <c r="D93" s="32">
        <f>IF(904.22769="","-",904.22769/5891602.28837*100)</f>
        <v>1.5347738115061533E-2</v>
      </c>
      <c r="E93" s="32">
        <f>IF(1180.43618="","-",1180.43618/5709381.88442*100)</f>
        <v>2.0675376142226944E-2</v>
      </c>
      <c r="F93" s="32">
        <f>IF(OR(4403044.02622="",1723.42926="",904.22769=""),"-",(904.22769-1723.42926)/4403044.02622*100)</f>
        <v>-1.8605345872575389E-2</v>
      </c>
      <c r="G93" s="32">
        <f>IF(OR(5891602.28837="",1180.43618="",904.22769=""),"-",(1180.43618-904.22769)/5891602.28837*100)</f>
        <v>4.6881726987110855E-3</v>
      </c>
    </row>
    <row r="94" spans="1:7" x14ac:dyDescent="0.3">
      <c r="A94" s="19" t="s">
        <v>88</v>
      </c>
      <c r="B94" s="20">
        <v>1070.95048</v>
      </c>
      <c r="C94" s="32">
        <f>IF(OR(1016.94754="",1070.95048=""),"-",1070.95048/1016.94754*100)</f>
        <v>105.31029752036176</v>
      </c>
      <c r="D94" s="32">
        <f>IF(1016.94754="","-",1016.94754/5891602.28837*100)</f>
        <v>1.7260967224611384E-2</v>
      </c>
      <c r="E94" s="32">
        <f>IF(1070.95048="","-",1070.95048/5709381.88442*100)</f>
        <v>1.8757730726025778E-2</v>
      </c>
      <c r="F94" s="32">
        <f>IF(OR(4403044.02622="",1506.90789="",1016.94754=""),"-",(1016.94754-1506.90789)/4403044.02622*100)</f>
        <v>-1.112776404419988E-2</v>
      </c>
      <c r="G94" s="32">
        <f>IF(OR(5891602.28837="",1070.95048="",1016.94754=""),"-",(1070.95048-1016.94754)/5891602.28837*100)</f>
        <v>9.1660871451899526E-4</v>
      </c>
    </row>
    <row r="95" spans="1:7" x14ac:dyDescent="0.3">
      <c r="A95" s="19" t="s">
        <v>89</v>
      </c>
      <c r="B95" s="21">
        <v>927.64164000000005</v>
      </c>
      <c r="C95" s="32" t="s">
        <v>98</v>
      </c>
      <c r="D95" s="32">
        <f>IF(533.96875="","-",533.96875/5891602.28837*100)</f>
        <v>9.0632178457471946E-3</v>
      </c>
      <c r="E95" s="32">
        <f>IF(927.64164="","-",927.64164/5709381.88442*100)</f>
        <v>1.6247671968333165E-2</v>
      </c>
      <c r="F95" s="32">
        <f>IF(OR(4403044.02622="",358.87911="",533.96875=""),"-",(533.96875-358.87911)/4403044.02622*100)</f>
        <v>3.9765589205410217E-3</v>
      </c>
      <c r="G95" s="32">
        <f>IF(OR(5891602.28837="",927.64164="",533.96875=""),"-",(927.64164-533.96875)/5891602.28837*100)</f>
        <v>6.6819325326339281E-3</v>
      </c>
    </row>
    <row r="96" spans="1:7" x14ac:dyDescent="0.3">
      <c r="A96" s="19" t="s">
        <v>87</v>
      </c>
      <c r="B96" s="20">
        <v>920.43260999999995</v>
      </c>
      <c r="C96" s="32">
        <f>IF(OR(1296.87713="",920.43261=""),"-",920.43261/1296.87713*100)</f>
        <v>70.973000348922781</v>
      </c>
      <c r="D96" s="32">
        <f>IF(1296.87713="","-",1296.87713/5891602.28837*100)</f>
        <v>2.2012299312192719E-2</v>
      </c>
      <c r="E96" s="32">
        <f>IF(920.43261="","-",920.43261/5709381.88442*100)</f>
        <v>1.6121405585282619E-2</v>
      </c>
      <c r="F96" s="32">
        <f>IF(OR(4403044.02622="",390.93981="",1296.87713=""),"-",(1296.87713-390.93981)/4403044.02622*100)</f>
        <v>2.0575250090736529E-2</v>
      </c>
      <c r="G96" s="32">
        <f>IF(OR(5891602.28837="",920.43261="",1296.87713=""),"-",(920.43261-1296.87713)/5891602.28837*100)</f>
        <v>-6.3895100445442513E-3</v>
      </c>
    </row>
    <row r="97" spans="1:7" x14ac:dyDescent="0.3">
      <c r="A97" s="19" t="s">
        <v>332</v>
      </c>
      <c r="B97" s="21">
        <v>883.32987000000003</v>
      </c>
      <c r="C97" s="32" t="s">
        <v>295</v>
      </c>
      <c r="D97" s="32">
        <f>IF(240.19341="","-",240.19341/5891602.28837*100)</f>
        <v>4.0768775325201578E-3</v>
      </c>
      <c r="E97" s="32">
        <f>IF(883.32987="","-",883.32987/5709381.88442*100)</f>
        <v>1.5471549948523631E-2</v>
      </c>
      <c r="F97" s="32">
        <f>IF(OR(4403044.02622="",434.84738="",240.19341=""),"-",(240.19341-434.84738)/4403044.02622*100)</f>
        <v>-4.4208953814870167E-3</v>
      </c>
      <c r="G97" s="32">
        <f>IF(OR(5891602.28837="",883.32987="",240.19341=""),"-",(883.32987-240.19341)/5891602.28837*100)</f>
        <v>1.0916155377112758E-2</v>
      </c>
    </row>
    <row r="98" spans="1:7" x14ac:dyDescent="0.3">
      <c r="A98" s="19" t="s">
        <v>117</v>
      </c>
      <c r="B98" s="20">
        <v>822.16265999999996</v>
      </c>
      <c r="C98" s="32" t="s">
        <v>356</v>
      </c>
      <c r="D98" s="32">
        <f>IF(180.58696="","-",180.58696/5891602.28837*100)</f>
        <v>3.0651586981096462E-3</v>
      </c>
      <c r="E98" s="32">
        <f>IF(822.16266="","-",822.16266/5709381.88442*100)</f>
        <v>1.4400204376651557E-2</v>
      </c>
      <c r="F98" s="32">
        <f>IF(OR(4403044.02622="",389.76796="",180.58696=""),"-",(180.58696-389.76796)/4403044.02622*100)</f>
        <v>-4.7508268996251952E-3</v>
      </c>
      <c r="G98" s="32">
        <f>IF(OR(5891602.28837="",822.16266="",180.58696=""),"-",(822.16266-180.58696)/5891602.28837*100)</f>
        <v>1.0889664111687713E-2</v>
      </c>
    </row>
    <row r="99" spans="1:7" x14ac:dyDescent="0.3">
      <c r="A99" s="19" t="s">
        <v>93</v>
      </c>
      <c r="B99" s="21">
        <v>804.44308999999998</v>
      </c>
      <c r="C99" s="32" t="s">
        <v>186</v>
      </c>
      <c r="D99" s="32">
        <f>IF(368.86605="","-",368.86605/5891602.28837*100)</f>
        <v>6.260878313665879E-3</v>
      </c>
      <c r="E99" s="32">
        <f>IF(804.44309="","-",804.44309/5709381.88442*100)</f>
        <v>1.4089845560956394E-2</v>
      </c>
      <c r="F99" s="32">
        <f>IF(OR(4403044.02622="",556.82523="",368.86605=""),"-",(368.86605-556.82523)/4403044.02622*100)</f>
        <v>-4.2688462545618115E-3</v>
      </c>
      <c r="G99" s="32">
        <f>IF(OR(5891602.28837="",804.44309="",368.86605=""),"-",(804.44309-368.86605)/5891602.28837*100)</f>
        <v>7.3931847175059207E-3</v>
      </c>
    </row>
    <row r="100" spans="1:7" x14ac:dyDescent="0.3">
      <c r="A100" s="19" t="s">
        <v>359</v>
      </c>
      <c r="B100" s="21">
        <v>755.17007999999998</v>
      </c>
      <c r="C100" s="32">
        <f>IF(OR(1122.52164="",755.17008=""),"-",755.17008/1122.52164*100)</f>
        <v>67.274434014474764</v>
      </c>
      <c r="D100" s="32">
        <f>IF(1122.52164="","-",1122.52164/5891602.28837*100)</f>
        <v>1.9052909294570906E-2</v>
      </c>
      <c r="E100" s="32">
        <f>IF(755.17008="","-",755.17008/5709381.88442*100)</f>
        <v>1.3226827269353618E-2</v>
      </c>
      <c r="F100" s="32">
        <f>IF(OR(4403044.02622="",953.28329="",1122.52164=""),"-",(1122.52164-953.28329)/4403044.02622*100)</f>
        <v>3.8436669947470537E-3</v>
      </c>
      <c r="G100" s="32">
        <f>IF(OR(5891602.28837="",755.17008="",1122.52164=""),"-",(755.17008-1122.52164)/5891602.28837*100)</f>
        <v>-6.2351724033570715E-3</v>
      </c>
    </row>
    <row r="101" spans="1:7" x14ac:dyDescent="0.3">
      <c r="A101" s="19" t="s">
        <v>73</v>
      </c>
      <c r="B101" s="21">
        <v>592.66714000000002</v>
      </c>
      <c r="C101" s="32" t="s">
        <v>391</v>
      </c>
      <c r="D101" s="32">
        <f>IF(17.28333="","-",17.28333/5891602.28837*100)</f>
        <v>2.9335534128155973E-4</v>
      </c>
      <c r="E101" s="32">
        <f>IF(592.66714="","-",592.66714/5709381.88442*100)</f>
        <v>1.0380583257485278E-2</v>
      </c>
      <c r="F101" s="32">
        <f>IF(OR(4403044.02622="",30.51005="",17.28333=""),"-",(17.28333-30.51005)/4403044.02622*100)</f>
        <v>-3.0039944913644431E-4</v>
      </c>
      <c r="G101" s="32">
        <f>IF(OR(5891602.28837="",592.66714="",17.28333=""),"-",(592.66714-17.28333)/5891602.28837*100)</f>
        <v>9.766168553770261E-3</v>
      </c>
    </row>
    <row r="102" spans="1:7" x14ac:dyDescent="0.3">
      <c r="A102" s="19" t="s">
        <v>331</v>
      </c>
      <c r="B102" s="21">
        <v>555.75567000000001</v>
      </c>
      <c r="C102" s="32" t="s">
        <v>392</v>
      </c>
      <c r="D102" s="32">
        <f>IF(19.85616="","-",19.85616/5891602.28837*100)</f>
        <v>3.3702478592616448E-4</v>
      </c>
      <c r="E102" s="32">
        <f>IF(555.75567="","-",555.75567/5709381.88442*100)</f>
        <v>9.734077720682327E-3</v>
      </c>
      <c r="F102" s="32">
        <f>IF(OR(4403044.02622="",980.87133="",19.85616=""),"-",(19.85616-980.87133)/4403044.02622*100)</f>
        <v>-2.1826154003393612E-2</v>
      </c>
      <c r="G102" s="32">
        <f>IF(OR(5891602.28837="",555.75567="",19.85616=""),"-",(555.75567-19.85616)/5891602.28837*100)</f>
        <v>9.0959892363723111E-3</v>
      </c>
    </row>
    <row r="103" spans="1:7" x14ac:dyDescent="0.3">
      <c r="A103" s="19" t="s">
        <v>96</v>
      </c>
      <c r="B103" s="21">
        <v>497.97</v>
      </c>
      <c r="C103" s="32">
        <f>IF(OR(706.43139="",497.97=""),"-",497.97/706.43139*100)</f>
        <v>70.490921984653042</v>
      </c>
      <c r="D103" s="32">
        <f>IF(706.43139="","-",706.43139/5891602.28837*100)</f>
        <v>1.1990479930977228E-2</v>
      </c>
      <c r="E103" s="32">
        <f>IF(497.97="","-",497.97/5709381.88442*100)</f>
        <v>8.7219599263254986E-3</v>
      </c>
      <c r="F103" s="32">
        <f>IF(OR(4403044.02622="",589.03108="",706.43139=""),"-",(706.43139-589.03108)/4403044.02622*100)</f>
        <v>2.6663442223353782E-3</v>
      </c>
      <c r="G103" s="32">
        <f>IF(OR(5891602.28837="",497.97="",706.43139=""),"-",(497.97-706.43139)/5891602.28837*100)</f>
        <v>-3.5382800772465902E-3</v>
      </c>
    </row>
    <row r="104" spans="1:7" x14ac:dyDescent="0.3">
      <c r="A104" s="19" t="s">
        <v>387</v>
      </c>
      <c r="B104" s="21">
        <v>462.39697999999999</v>
      </c>
      <c r="C104" s="32" t="s">
        <v>393</v>
      </c>
      <c r="D104" s="32">
        <f>IF(0.75723="","-",0.75723/5891602.28837*100)</f>
        <v>1.2852700554733115E-5</v>
      </c>
      <c r="E104" s="32">
        <f>IF(462.39698="","-",462.39698/5709381.88442*100)</f>
        <v>8.0988973826012257E-3</v>
      </c>
      <c r="F104" s="32">
        <f>IF(OR(4403044.02622="",21.4717="",0.75723=""),"-",(0.75723-21.4717)/4403044.02622*100)</f>
        <v>-4.7045793493423927E-4</v>
      </c>
      <c r="G104" s="32">
        <f>IF(OR(5891602.28837="",462.39698="",0.75723=""),"-",(462.39698-0.75723)/5891602.28837*100)</f>
        <v>7.8355552090010397E-3</v>
      </c>
    </row>
    <row r="105" spans="1:7" x14ac:dyDescent="0.3">
      <c r="A105" s="19" t="s">
        <v>112</v>
      </c>
      <c r="B105" s="20">
        <v>408.26361000000003</v>
      </c>
      <c r="C105" s="32">
        <f>IF(OR(260.07384="",408.26361=""),"-",408.26361/260.07384*100)</f>
        <v>156.97988309781562</v>
      </c>
      <c r="D105" s="32">
        <f>IF(260.07384="","-",260.07384/5891602.28837*100)</f>
        <v>4.4143142607128245E-3</v>
      </c>
      <c r="E105" s="32">
        <f>IF(408.26361="","-",408.26361/5709381.88442*100)</f>
        <v>7.1507497355201757E-3</v>
      </c>
      <c r="F105" s="32">
        <f>IF(OR(4403044.02622="",413.57628="",260.07384=""),"-",(260.07384-413.57628)/4403044.02622*100)</f>
        <v>-3.4862799255673429E-3</v>
      </c>
      <c r="G105" s="32">
        <f>IF(OR(5891602.28837="",408.26361="",260.07384=""),"-",(408.26361-260.07384)/5891602.28837*100)</f>
        <v>2.5152711053243707E-3</v>
      </c>
    </row>
    <row r="106" spans="1:7" x14ac:dyDescent="0.3">
      <c r="A106" s="19" t="s">
        <v>306</v>
      </c>
      <c r="B106" s="20">
        <v>374.98701999999997</v>
      </c>
      <c r="C106" s="32">
        <f>IF(OR(576.28272="",374.98702=""),"-",374.98702/576.28272*100)</f>
        <v>65.069974681871415</v>
      </c>
      <c r="D106" s="32">
        <f>IF(576.28272="","-",576.28272/5891602.28837*100)</f>
        <v>9.7814260330772815E-3</v>
      </c>
      <c r="E106" s="32">
        <f>IF(374.98702="","-",374.98702/5709381.88442*100)</f>
        <v>6.5679092341551061E-3</v>
      </c>
      <c r="F106" s="32">
        <f>IF(OR(4403044.02622="",34.95091="",576.28272=""),"-",(576.28272-34.95091)/4403044.02622*100)</f>
        <v>1.2294490056796722E-2</v>
      </c>
      <c r="G106" s="32">
        <f>IF(OR(5891602.28837="",374.98702="",576.28272=""),"-",(374.98702-576.28272)/5891602.28837*100)</f>
        <v>-3.4166545898279147E-3</v>
      </c>
    </row>
    <row r="107" spans="1:7" x14ac:dyDescent="0.3">
      <c r="A107" s="19" t="s">
        <v>101</v>
      </c>
      <c r="B107" s="21">
        <v>333.48415999999997</v>
      </c>
      <c r="C107" s="32">
        <f>IF(OR(524.07389="",333.48416=""),"-",333.48416/524.07389*100)</f>
        <v>63.633042279591521</v>
      </c>
      <c r="D107" s="32">
        <f>IF(524.07389="","-",524.07389/5891602.28837*100)</f>
        <v>8.8952693061872118E-3</v>
      </c>
      <c r="E107" s="32">
        <f>IF(333.48416="","-",333.48416/5709381.88442*100)</f>
        <v>5.8409853597291422E-3</v>
      </c>
      <c r="F107" s="32">
        <f>IF(OR(4403044.02622="",271.15621="",524.07389=""),"-",(524.07389-271.15621)/4403044.02622*100)</f>
        <v>5.7441551457101617E-3</v>
      </c>
      <c r="G107" s="32">
        <f>IF(OR(5891602.28837="",333.48416="",524.07389=""),"-",(333.48416-524.07389)/5891602.28837*100)</f>
        <v>-3.2349388276975755E-3</v>
      </c>
    </row>
    <row r="108" spans="1:7" x14ac:dyDescent="0.3">
      <c r="A108" s="19" t="s">
        <v>289</v>
      </c>
      <c r="B108" s="21">
        <v>311.51218999999998</v>
      </c>
      <c r="C108" s="32" t="s">
        <v>295</v>
      </c>
      <c r="D108" s="32">
        <f>IF(84.04232="","-",84.04232/5891602.28837*100)</f>
        <v>1.4264764640664767E-3</v>
      </c>
      <c r="E108" s="32">
        <f>IF(311.51219="","-",311.51219/5709381.88442*100)</f>
        <v>5.4561456267283055E-3</v>
      </c>
      <c r="F108" s="32">
        <f>IF(OR(4403044.02622="",77.09161="",84.04232=""),"-",(84.04232-77.09161)/4403044.02622*100)</f>
        <v>1.5786146944270197E-4</v>
      </c>
      <c r="G108" s="32">
        <f>IF(OR(5891602.28837="",311.51219="",84.04232=""),"-",(311.51219-84.04232)/5891602.28837*100)</f>
        <v>3.8609169266062742E-3</v>
      </c>
    </row>
    <row r="109" spans="1:7" x14ac:dyDescent="0.3">
      <c r="A109" s="19" t="s">
        <v>192</v>
      </c>
      <c r="B109" s="20">
        <v>287.89039000000002</v>
      </c>
      <c r="C109" s="32">
        <f>IF(OR(185.34322="",287.89039=""),"-",287.89039/185.34322*100)</f>
        <v>155.32825533083974</v>
      </c>
      <c r="D109" s="32">
        <f>IF(185.34322="","-",185.34322/5891602.28837*100)</f>
        <v>3.1458881799585623E-3</v>
      </c>
      <c r="E109" s="32">
        <f>IF(287.89039="","-",287.89039/5709381.88442*100)</f>
        <v>5.0424090703339941E-3</v>
      </c>
      <c r="F109" s="32">
        <f>IF(OR(4403044.02622="",42.34941="",185.34322=""),"-",(185.34322-42.34941)/4403044.02622*100)</f>
        <v>3.2476125414253403E-3</v>
      </c>
      <c r="G109" s="32">
        <f>IF(OR(5891602.28837="",287.89039="",185.34322=""),"-",(287.89039-185.34322)/5891602.28837*100)</f>
        <v>1.7405650446301803E-3</v>
      </c>
    </row>
    <row r="110" spans="1:7" x14ac:dyDescent="0.3">
      <c r="A110" s="72" t="s">
        <v>118</v>
      </c>
      <c r="B110" s="21">
        <v>227.33794</v>
      </c>
      <c r="C110" s="32">
        <f>IF(OR(219.05904="",227.33794=""),"-",227.33794/219.05904*100)</f>
        <v>103.77930077663081</v>
      </c>
      <c r="D110" s="32">
        <f>IF(219.05904="","-",219.05904/5891602.28837*100)</f>
        <v>3.7181572902913302E-3</v>
      </c>
      <c r="E110" s="32">
        <f>IF(227.33794="","-",227.33794/5709381.88442*100)</f>
        <v>3.98183103884449E-3</v>
      </c>
      <c r="F110" s="32">
        <f>IF(OR(4403044.02622="",139.65822="",219.05904=""),"-",(219.05904-139.65822)/4403044.02622*100)</f>
        <v>1.8033165130116895E-3</v>
      </c>
      <c r="G110" s="32">
        <f>IF(OR(5891602.28837="",227.33794="",219.05904=""),"-",(227.33794-219.05904)/5891602.28837*100)</f>
        <v>1.4052034734833528E-4</v>
      </c>
    </row>
    <row r="111" spans="1:7" x14ac:dyDescent="0.3">
      <c r="A111" s="19" t="s">
        <v>309</v>
      </c>
      <c r="B111" s="21">
        <v>216.01930999999999</v>
      </c>
      <c r="C111" s="32" t="s">
        <v>187</v>
      </c>
      <c r="D111" s="32">
        <f>IF(121.95017="","-",121.95017/5891602.28837*100)</f>
        <v>2.0698982047842765E-3</v>
      </c>
      <c r="E111" s="32">
        <f>IF(216.01931="","-",216.01931/5709381.88442*100)</f>
        <v>3.7835848848976543E-3</v>
      </c>
      <c r="F111" s="32">
        <f>IF(OR(4403044.02622="",122.35749="",121.95017=""),"-",(121.95017-122.35749)/4403044.02622*100)</f>
        <v>-9.2508727501796407E-6</v>
      </c>
      <c r="G111" s="32">
        <f>IF(OR(5891602.28837="",216.01931="",121.95017=""),"-",(216.01931-121.95017)/5891602.28837*100)</f>
        <v>1.5966648017924107E-3</v>
      </c>
    </row>
    <row r="112" spans="1:7" x14ac:dyDescent="0.3">
      <c r="A112" s="72" t="s">
        <v>315</v>
      </c>
      <c r="B112" s="21">
        <v>208.85740000000001</v>
      </c>
      <c r="C112" s="32" t="s">
        <v>187</v>
      </c>
      <c r="D112" s="32">
        <f>IF(117.90542="","-",117.90542/5891602.28837*100)</f>
        <v>2.0012454036951008E-3</v>
      </c>
      <c r="E112" s="32">
        <f>IF(208.8574="","-",208.8574/5709381.88442*100)</f>
        <v>3.6581438101020848E-3</v>
      </c>
      <c r="F112" s="32">
        <f>IF(OR(4403044.02622="",3.59997="",117.90542=""),"-",(117.90542-3.59997)/4403044.02622*100)</f>
        <v>2.5960551227585814E-3</v>
      </c>
      <c r="G112" s="32">
        <f>IF(OR(5891602.28837="",208.8574="",117.90542=""),"-",(208.8574-117.90542)/5891602.28837*100)</f>
        <v>1.5437562745798177E-3</v>
      </c>
    </row>
    <row r="113" spans="1:7" x14ac:dyDescent="0.3">
      <c r="A113" s="19" t="s">
        <v>119</v>
      </c>
      <c r="B113" s="20">
        <v>169.99852999999999</v>
      </c>
      <c r="C113" s="32" t="s">
        <v>17</v>
      </c>
      <c r="D113" s="32">
        <f>IF(85.40305="","-",85.40305/5891602.28837*100)</f>
        <v>1.449572558021869E-3</v>
      </c>
      <c r="E113" s="32">
        <f>IF(169.99853="","-",169.99853/5709381.88442*100)</f>
        <v>2.9775295021672852E-3</v>
      </c>
      <c r="F113" s="32">
        <f>IF(OR(4403044.02622="",207.35017="",85.40305=""),"-",(85.40305-207.35017)/4403044.02622*100)</f>
        <v>-2.7696093719210713E-3</v>
      </c>
      <c r="G113" s="32">
        <f>IF(OR(5891602.28837="",169.99853="",85.40305=""),"-",(169.99853-85.40305)/5891602.28837*100)</f>
        <v>1.4358654209736992E-3</v>
      </c>
    </row>
    <row r="114" spans="1:7" x14ac:dyDescent="0.3">
      <c r="A114" s="19" t="s">
        <v>317</v>
      </c>
      <c r="B114" s="21">
        <v>166.29349999999999</v>
      </c>
      <c r="C114" s="32">
        <f>IF(OR(155.52522="",166.2935=""),"-",166.2935/155.52522*100)</f>
        <v>106.92381595730905</v>
      </c>
      <c r="D114" s="32">
        <f>IF(155.52522="","-",155.52522/5891602.28837*100)</f>
        <v>2.6397779820780871E-3</v>
      </c>
      <c r="E114" s="32">
        <f>IF(166.2935="","-",166.2935/5709381.88442*100)</f>
        <v>2.9126357873133107E-3</v>
      </c>
      <c r="F114" s="32">
        <f>IF(OR(4403044.02622="",104.00191="",155.52522=""),"-",(155.52522-104.00191)/4403044.02622*100)</f>
        <v>1.1701747630316701E-3</v>
      </c>
      <c r="G114" s="32">
        <f>IF(OR(5891602.28837="",166.2935="",155.52522=""),"-",(166.2935-155.52522)/5891602.28837*100)</f>
        <v>1.8277336916065341E-4</v>
      </c>
    </row>
    <row r="115" spans="1:7" x14ac:dyDescent="0.3">
      <c r="A115" s="19" t="s">
        <v>290</v>
      </c>
      <c r="B115" s="21">
        <v>161.40224000000001</v>
      </c>
      <c r="C115" s="32" t="s">
        <v>394</v>
      </c>
      <c r="D115" s="32">
        <f>IF(0.12815="","-",0.12815/5891602.28837*100)</f>
        <v>2.175129849700948E-6</v>
      </c>
      <c r="E115" s="32">
        <f>IF(161.40224="","-",161.40224/5709381.88442*100)</f>
        <v>2.8269652173809074E-3</v>
      </c>
      <c r="F115" s="32">
        <f>IF(OR(4403044.02622="",6.94972="",0.12815=""),"-",(0.12815-6.94972)/4403044.02622*100)</f>
        <v>-1.5492849854277513E-4</v>
      </c>
      <c r="G115" s="32">
        <f>IF(OR(5891602.28837="",161.40224="",0.12815=""),"-",(161.40224-0.12815)/5891602.28837*100)</f>
        <v>2.7373553425076645E-3</v>
      </c>
    </row>
    <row r="116" spans="1:7" x14ac:dyDescent="0.3">
      <c r="A116" s="19" t="s">
        <v>57</v>
      </c>
      <c r="B116" s="21">
        <v>159.41177999999999</v>
      </c>
      <c r="C116" s="32">
        <f>IF(OR(340.68847="",159.41178=""),"-",159.41178/340.68847*100)</f>
        <v>46.791069859217714</v>
      </c>
      <c r="D116" s="32">
        <f>IF(340.68847="","-",340.68847/5891602.28837*100)</f>
        <v>5.7826114751927107E-3</v>
      </c>
      <c r="E116" s="32">
        <f>IF(159.41178="","-",159.41178/5709381.88442*100)</f>
        <v>2.7921022490194521E-3</v>
      </c>
      <c r="F116" s="32">
        <f>IF(OR(4403044.02622="",206.57146="",340.68847=""),"-",(340.68847-206.57146)/4403044.02622*100)</f>
        <v>3.0460065627628766E-3</v>
      </c>
      <c r="G116" s="32">
        <f>IF(OR(5891602.28837="",159.41178="",340.68847=""),"-",(159.41178-340.68847)/5891602.28837*100)</f>
        <v>-3.0768657001481493E-3</v>
      </c>
    </row>
    <row r="117" spans="1:7" x14ac:dyDescent="0.3">
      <c r="A117" s="19" t="s">
        <v>307</v>
      </c>
      <c r="B117" s="21">
        <v>138.32748000000001</v>
      </c>
      <c r="C117" s="32" t="s">
        <v>395</v>
      </c>
      <c r="D117" s="32">
        <f>IF(2.48489="","-",2.48489/5891602.28837*100)</f>
        <v>4.2176811644349499E-5</v>
      </c>
      <c r="E117" s="32">
        <f>IF(138.32748="","-",138.32748/5709381.88442*100)</f>
        <v>2.4228100834781047E-3</v>
      </c>
      <c r="F117" s="32">
        <f>IF(OR(4403044.02622="",22.95137="",2.48489=""),"-",(2.48489-22.95137)/4403044.02622*100)</f>
        <v>-4.6482569509009457E-4</v>
      </c>
      <c r="G117" s="32">
        <f>IF(OR(5891602.28837="",138.32748="",2.48489=""),"-",(138.32748-2.48489)/5891602.28837*100)</f>
        <v>2.305698574870757E-3</v>
      </c>
    </row>
    <row r="118" spans="1:7" x14ac:dyDescent="0.3">
      <c r="A118" s="19" t="s">
        <v>274</v>
      </c>
      <c r="B118" s="21">
        <v>119.82762</v>
      </c>
      <c r="C118" s="32">
        <f>IF(OR(76.85624="",119.82762=""),"-",119.82762/76.85624*100)</f>
        <v>155.91137427487996</v>
      </c>
      <c r="D118" s="32">
        <f>IF(76.85624="","-",76.85624/5891602.28837*100)</f>
        <v>1.3045048908293406E-3</v>
      </c>
      <c r="E118" s="32">
        <f>IF(119.82762="","-",119.82762/5709381.88442*100)</f>
        <v>2.0987844643391364E-3</v>
      </c>
      <c r="F118" s="32">
        <f>IF(OR(4403044.02622="",77.92519="",76.85624=""),"-",(76.85624-77.92519)/4403044.02622*100)</f>
        <v>-2.4277522405736452E-5</v>
      </c>
      <c r="G118" s="32">
        <f>IF(OR(5891602.28837="",119.82762="",76.85624=""),"-",(119.82762-76.85624)/5891602.28837*100)</f>
        <v>7.2936661194570674E-4</v>
      </c>
    </row>
    <row r="119" spans="1:7" x14ac:dyDescent="0.3">
      <c r="A119" s="19" t="s">
        <v>313</v>
      </c>
      <c r="B119" s="21">
        <v>99.153270000000006</v>
      </c>
      <c r="C119" s="32" t="s">
        <v>353</v>
      </c>
      <c r="D119" s="32">
        <f>IF(0.96429="","-",0.96429/5891602.28837*100)</f>
        <v>1.6367194403184761E-5</v>
      </c>
      <c r="E119" s="32">
        <f>IF(99.15327="","-",99.15327/5709381.88442*100)</f>
        <v>1.7366725857062319E-3</v>
      </c>
      <c r="F119" s="32">
        <f>IF(OR(4403044.02622="",1.29828="",0.96429=""),"-",(0.96429-1.29828)/4403044.02622*100)</f>
        <v>-7.5854340317993481E-6</v>
      </c>
      <c r="G119" s="32">
        <f>IF(OR(5891602.28837="",99.15327="",0.96429=""),"-",(99.15327-0.96429)/5891602.28837*100)</f>
        <v>1.6665921288309747E-3</v>
      </c>
    </row>
    <row r="120" spans="1:7" x14ac:dyDescent="0.3">
      <c r="A120" s="19" t="s">
        <v>329</v>
      </c>
      <c r="B120" s="21">
        <v>92.90352</v>
      </c>
      <c r="C120" s="32">
        <f>IF(OR(85.65993="",92.90352=""),"-",92.90352/85.65993*100)</f>
        <v>108.45621751033418</v>
      </c>
      <c r="D120" s="32">
        <f>IF(85.65993="","-",85.65993/5891602.28837*100)</f>
        <v>1.4539326622418551E-3</v>
      </c>
      <c r="E120" s="32">
        <f>IF(92.90352="","-",92.90352/5709381.88442*100)</f>
        <v>1.6272080214763528E-3</v>
      </c>
      <c r="F120" s="32">
        <f>IF(OR(4403044.02622="",30.81172="",85.65993=""),"-",(85.65993-30.81172)/4403044.02622*100)</f>
        <v>1.2456884299448402E-3</v>
      </c>
      <c r="G120" s="32">
        <f>IF(OR(5891602.28837="",92.90352="",85.65993=""),"-",(92.90352-85.65993)/5891602.28837*100)</f>
        <v>1.229477083729636E-4</v>
      </c>
    </row>
    <row r="121" spans="1:7" x14ac:dyDescent="0.3">
      <c r="A121" s="19" t="s">
        <v>328</v>
      </c>
      <c r="B121" s="20">
        <v>91.324010000000001</v>
      </c>
      <c r="C121" s="32">
        <f>IF(OR(64.02734="",91.32401=""),"-",91.32401/64.02734*100)</f>
        <v>142.6328346609433</v>
      </c>
      <c r="D121" s="32">
        <f>IF(64.02734="","-",64.02734/5891602.28837*100)</f>
        <v>1.086755976831459E-3</v>
      </c>
      <c r="E121" s="32">
        <f>IF(91.32401="","-",91.32401/5709381.88442*100)</f>
        <v>1.5995428550542182E-3</v>
      </c>
      <c r="F121" s="32">
        <f>IF(OR(4403044.02622="",112.33361="",64.02734=""),"-",(64.02734-112.33361)/4403044.02622*100)</f>
        <v>-1.097110765014784E-3</v>
      </c>
      <c r="G121" s="32">
        <f>IF(OR(5891602.28837="",91.32401="",64.02734=""),"-",(91.32401-64.02734)/5891602.28837*100)</f>
        <v>4.6331487877047516E-4</v>
      </c>
    </row>
    <row r="122" spans="1:7" x14ac:dyDescent="0.3">
      <c r="A122" s="19" t="s">
        <v>318</v>
      </c>
      <c r="B122" s="21">
        <v>88.230140000000006</v>
      </c>
      <c r="C122" s="32">
        <f>IF(OR(107.34052="",88.23014=""),"-",88.23014/107.34052*100)</f>
        <v>82.196490197737077</v>
      </c>
      <c r="D122" s="32">
        <f>IF(107.34052="","-",107.34052/5891602.28837*100)</f>
        <v>1.8219240665971251E-3</v>
      </c>
      <c r="E122" s="32">
        <f>IF(88.23014="","-",88.23014/5709381.88442*100)</f>
        <v>1.5453536264716519E-3</v>
      </c>
      <c r="F122" s="32">
        <f>IF(OR(4403044.02622="",67.45043="",107.34052=""),"-",(107.34052-67.45043)/4403044.02622*100)</f>
        <v>9.0596618526763892E-4</v>
      </c>
      <c r="G122" s="32">
        <f>IF(OR(5891602.28837="",88.23014="",107.34052=""),"-",(88.23014-107.34052)/5891602.28837*100)</f>
        <v>-3.2436642978640647E-4</v>
      </c>
    </row>
    <row r="123" spans="1:7" x14ac:dyDescent="0.3">
      <c r="A123" s="19" t="s">
        <v>314</v>
      </c>
      <c r="B123" s="20">
        <v>82.438310000000001</v>
      </c>
      <c r="C123" s="32" t="s">
        <v>396</v>
      </c>
      <c r="D123" s="32">
        <f>IF(0.07316="","-",0.07316/5891602.28837*100)</f>
        <v>1.2417674584792928E-6</v>
      </c>
      <c r="E123" s="32">
        <f>IF(82.43831="","-",82.43831/5709381.88442*100)</f>
        <v>1.4439095451814338E-3</v>
      </c>
      <c r="F123" s="32">
        <f>IF(OR(4403044.02622="",113.63933="",0.07316=""),"-",(0.07316-113.63933)/4403044.02622*100)</f>
        <v>-2.5792649204440547E-3</v>
      </c>
      <c r="G123" s="32">
        <f>IF(OR(5891602.28837="",82.43831="",0.07316=""),"-",(82.43831-0.07316)/5891602.28837*100)</f>
        <v>1.3980093354669999E-3</v>
      </c>
    </row>
    <row r="124" spans="1:7" s="28" customFormat="1" ht="11.4" x14ac:dyDescent="0.2">
      <c r="A124" s="19" t="s">
        <v>308</v>
      </c>
      <c r="B124" s="21">
        <v>78.210819999999998</v>
      </c>
      <c r="C124" s="32" t="s">
        <v>336</v>
      </c>
      <c r="D124" s="32">
        <f>IF(22.61655="","-",22.61655/5891602.28837*100)</f>
        <v>3.8387774484786559E-4</v>
      </c>
      <c r="E124" s="32">
        <f>IF(78.21082="","-",78.21082/5709381.88442*100)</f>
        <v>1.3698649272949311E-3</v>
      </c>
      <c r="F124" s="32">
        <f>IF(OR(4403044.02622="",107.49492="",22.61655=""),"-",(22.61655-107.49492)/4403044.02622*100)</f>
        <v>-1.9277202202510749E-3</v>
      </c>
      <c r="G124" s="32">
        <f>IF(OR(5891602.28837="",78.21082="",22.61655=""),"-",(78.21082-22.61655)/5891602.28837*100)</f>
        <v>9.436188540720555E-4</v>
      </c>
    </row>
    <row r="125" spans="1:7" s="28" customFormat="1" ht="14.25" customHeight="1" x14ac:dyDescent="0.2">
      <c r="A125" s="19" t="s">
        <v>319</v>
      </c>
      <c r="B125" s="20">
        <v>68.484409999999997</v>
      </c>
      <c r="C125" s="32">
        <f>IF(OR(90.16376="",68.48441=""),"-",68.48441/90.16376*100)</f>
        <v>75.955583484983322</v>
      </c>
      <c r="D125" s="32">
        <f>IF(90.16376="","-",90.16376/5891602.28837*100)</f>
        <v>1.5303775711062999E-3</v>
      </c>
      <c r="E125" s="32">
        <f>IF(68.48441="","-",68.48441/5709381.88442*100)</f>
        <v>1.1995065558126898E-3</v>
      </c>
      <c r="F125" s="32">
        <f>IF(OR(4403044.02622="",45.98317="",90.16376=""),"-",(90.16376-45.98317)/4403044.02622*100)</f>
        <v>1.0034101348273116E-3</v>
      </c>
      <c r="G125" s="32">
        <f>IF(OR(5891602.28837="",68.48441="",90.16376=""),"-",(68.48441-90.16376)/5891602.28837*100)</f>
        <v>-3.6797035744919428E-4</v>
      </c>
    </row>
    <row r="126" spans="1:7" s="28" customFormat="1" ht="15" customHeight="1" x14ac:dyDescent="0.2">
      <c r="A126" s="19" t="s">
        <v>388</v>
      </c>
      <c r="B126" s="20">
        <v>66.847470000000001</v>
      </c>
      <c r="C126" s="32">
        <f>IF(OR(57.57262="",66.84747=""),"-",66.84747/57.57262*100)</f>
        <v>116.10982790083202</v>
      </c>
      <c r="D126" s="32">
        <f>IF(57.57262="","-",57.57262/5891602.28837*100)</f>
        <v>9.7719800458439176E-4</v>
      </c>
      <c r="E126" s="32">
        <f>IF(66.84747="","-",66.84747/5709381.88442*100)</f>
        <v>1.1708355011672308E-3</v>
      </c>
      <c r="F126" s="32">
        <f>IF(OR(4403044.02622="",47.27788="",57.57262=""),"-",(57.57262-47.27788)/4403044.02622*100)</f>
        <v>2.338096085048234E-4</v>
      </c>
      <c r="G126" s="32">
        <f>IF(OR(5891602.28837="",66.84747="",57.57262=""),"-",(66.84747-57.57262)/5891602.28837*100)</f>
        <v>1.5742491678891017E-4</v>
      </c>
    </row>
    <row r="127" spans="1:7" x14ac:dyDescent="0.3">
      <c r="A127" s="72" t="s">
        <v>390</v>
      </c>
      <c r="B127" s="21">
        <v>62.427610000000001</v>
      </c>
      <c r="C127" s="32">
        <f>IF(OR(73.38681="",62.42761=""),"-",62.42761/73.38681*100)</f>
        <v>85.066526259964164</v>
      </c>
      <c r="D127" s="32">
        <f>IF(73.38681="","-",73.38681/5891602.28837*100)</f>
        <v>1.2456171752269372E-3</v>
      </c>
      <c r="E127" s="32">
        <f>IF(62.42761="","-",62.42761/5709381.88442*100)</f>
        <v>1.0934215167907244E-3</v>
      </c>
      <c r="F127" s="32">
        <f>IF(OR(4403044.02622="",70.02609="",73.38681=""),"-",(73.38681-70.02609)/4403044.02622*100)</f>
        <v>7.6327195003888433E-5</v>
      </c>
      <c r="G127" s="32">
        <f>IF(OR(5891602.28837="",62.42761="",73.38681=""),"-",(62.42761-73.38681)/5891602.28837*100)</f>
        <v>-1.860139137638909E-4</v>
      </c>
    </row>
    <row r="128" spans="1:7" x14ac:dyDescent="0.3">
      <c r="A128" s="19" t="s">
        <v>389</v>
      </c>
      <c r="B128" s="20">
        <v>61.726300000000002</v>
      </c>
      <c r="C128" s="32" t="s">
        <v>379</v>
      </c>
      <c r="D128" s="32">
        <f>IF(19.8657="","-",19.8657/5891602.28837*100)</f>
        <v>3.3718671131645827E-4</v>
      </c>
      <c r="E128" s="32">
        <f>IF(61.7263="","-",61.7263/5709381.88442*100)</f>
        <v>1.0811380504856631E-3</v>
      </c>
      <c r="F128" s="32">
        <f>IF(OR(4403044.02622="",9.59009="",19.8657=""),"-",(19.8657-9.59009)/4403044.02622*100)</f>
        <v>2.3337513635587198E-4</v>
      </c>
      <c r="G128" s="32">
        <f>IF(OR(5891602.28837="",61.7263="",19.8657=""),"-",(61.7263-19.8657)/5891602.28837*100)</f>
        <v>7.1051299716263366E-4</v>
      </c>
    </row>
    <row r="129" spans="1:7" x14ac:dyDescent="0.3">
      <c r="A129" s="19" t="s">
        <v>320</v>
      </c>
      <c r="B129" s="21">
        <v>60.163849999999996</v>
      </c>
      <c r="C129" s="32">
        <f>IF(OR(41.62558="",60.16385=""),"-",60.16385/41.62558*100)</f>
        <v>144.53576382599354</v>
      </c>
      <c r="D129" s="32">
        <f>IF(41.62558="","-",41.62558/5891602.28837*100)</f>
        <v>7.0652392952879272E-4</v>
      </c>
      <c r="E129" s="32">
        <f>IF(60.16385="","-",60.16385/5709381.88442*100)</f>
        <v>1.0537716904903073E-3</v>
      </c>
      <c r="F129" s="32">
        <f>IF(OR(4403044.02622="",97.04406="",41.62558=""),"-",(41.62558-97.04406)/4403044.02622*100)</f>
        <v>-1.2586401514494189E-3</v>
      </c>
      <c r="G129" s="32">
        <f>IF(OR(5891602.28837="",60.16385="",41.62558=""),"-",(60.16385-41.62558)/5891602.28837*100)</f>
        <v>3.146558286290721E-4</v>
      </c>
    </row>
    <row r="130" spans="1:7" x14ac:dyDescent="0.3">
      <c r="A130" s="73" t="s">
        <v>297</v>
      </c>
      <c r="B130" s="34">
        <v>46.318330000000003</v>
      </c>
      <c r="C130" s="35" t="s">
        <v>98</v>
      </c>
      <c r="D130" s="35">
        <f>IF(26.62365="","-",26.62365/5891602.28837*100)</f>
        <v>4.5189150076465587E-4</v>
      </c>
      <c r="E130" s="35">
        <f>IF(46.31833="","-",46.31833/5709381.88442*100)</f>
        <v>8.1126698016812293E-4</v>
      </c>
      <c r="F130" s="35">
        <f>IF(OR(4403044.02622="",88.01636="",26.62365=""),"-",(26.62365-88.01636)/4403044.02622*100)</f>
        <v>-1.3943242364693196E-3</v>
      </c>
      <c r="G130" s="35">
        <f>IF(OR(5891602.28837="",46.31833="",26.62365=""),"-",(46.31833-26.62365)/5891602.28837*100)</f>
        <v>3.3428393560911644E-4</v>
      </c>
    </row>
    <row r="131" spans="1:7" s="28" customFormat="1" ht="14.25" customHeight="1" x14ac:dyDescent="0.2">
      <c r="A131" s="10" t="s">
        <v>268</v>
      </c>
      <c r="B131" s="11"/>
      <c r="C131" s="12"/>
      <c r="D131" s="11"/>
      <c r="E131" s="11"/>
      <c r="F131" s="27"/>
      <c r="G131" s="27"/>
    </row>
    <row r="132" spans="1:7" s="28" customFormat="1" ht="15" customHeight="1" x14ac:dyDescent="0.2">
      <c r="A132" s="81" t="s">
        <v>325</v>
      </c>
      <c r="B132" s="81"/>
      <c r="C132" s="81"/>
      <c r="D132" s="81"/>
      <c r="E132" s="81"/>
      <c r="F132" s="27"/>
      <c r="G132" s="27"/>
    </row>
  </sheetData>
  <mergeCells count="7">
    <mergeCell ref="A132:E132"/>
    <mergeCell ref="A1:G1"/>
    <mergeCell ref="A3:A4"/>
    <mergeCell ref="B3:C3"/>
    <mergeCell ref="D3:E3"/>
    <mergeCell ref="F3:G3"/>
    <mergeCell ref="A2:G2"/>
  </mergeCells>
  <phoneticPr fontId="3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149"/>
  <sheetViews>
    <sheetView workbookViewId="0">
      <selection sqref="A1:D1"/>
    </sheetView>
  </sheetViews>
  <sheetFormatPr defaultRowHeight="15.6" x14ac:dyDescent="0.3"/>
  <cols>
    <col min="1" max="1" width="48.19921875" style="42" customWidth="1"/>
    <col min="2" max="2" width="14.09765625" style="42" customWidth="1"/>
    <col min="3" max="3" width="14" style="42" customWidth="1"/>
    <col min="4" max="4" width="13.09765625" style="42" customWidth="1"/>
  </cols>
  <sheetData>
    <row r="1" spans="1:4" x14ac:dyDescent="0.3">
      <c r="A1" s="92" t="s">
        <v>337</v>
      </c>
      <c r="B1" s="92"/>
      <c r="C1" s="92"/>
      <c r="D1" s="92"/>
    </row>
    <row r="2" spans="1:4" x14ac:dyDescent="0.3">
      <c r="A2" s="93"/>
      <c r="B2" s="93"/>
      <c r="C2" s="93"/>
      <c r="D2" s="93"/>
    </row>
    <row r="3" spans="1:4" ht="66" customHeight="1" x14ac:dyDescent="0.3">
      <c r="A3" s="38"/>
      <c r="B3" s="38" t="s">
        <v>363</v>
      </c>
      <c r="C3" s="39" t="s">
        <v>364</v>
      </c>
      <c r="D3" s="39" t="s">
        <v>371</v>
      </c>
    </row>
    <row r="4" spans="1:4" s="26" customFormat="1" ht="15.75" customHeight="1" x14ac:dyDescent="0.25">
      <c r="A4" s="9" t="s">
        <v>299</v>
      </c>
      <c r="B4" s="43">
        <v>-2932572.68725</v>
      </c>
      <c r="C4" s="43">
        <v>-3041392.0320600001</v>
      </c>
      <c r="D4" s="43">
        <f>IF(-2932572.68725="","-",-3041392.03206/-2932572.68725*100)</f>
        <v>103.71071262046176</v>
      </c>
    </row>
    <row r="5" spans="1:4" x14ac:dyDescent="0.3">
      <c r="A5" s="30" t="s">
        <v>114</v>
      </c>
      <c r="B5" s="40"/>
      <c r="C5" s="40"/>
      <c r="D5" s="40"/>
    </row>
    <row r="6" spans="1:4" x14ac:dyDescent="0.3">
      <c r="A6" s="17" t="s">
        <v>285</v>
      </c>
      <c r="B6" s="31">
        <v>-958452.17399000004</v>
      </c>
      <c r="C6" s="31">
        <v>-1101826.5777700001</v>
      </c>
      <c r="D6" s="31">
        <f>IF(-958452.17399="","-",-1101826.57777/-958452.17399*100)</f>
        <v>114.95895232655562</v>
      </c>
    </row>
    <row r="7" spans="1:4" x14ac:dyDescent="0.3">
      <c r="A7" s="19" t="s">
        <v>3</v>
      </c>
      <c r="B7" s="32">
        <v>-223241.6519</v>
      </c>
      <c r="C7" s="32">
        <v>-261436.01376</v>
      </c>
      <c r="D7" s="32">
        <f>IF(OR(-223241.6519="",-261436.01376="",-223241.6519=0),"-",-261436.01376/-223241.6519*100)</f>
        <v>117.10897654399591</v>
      </c>
    </row>
    <row r="8" spans="1:4" x14ac:dyDescent="0.3">
      <c r="A8" s="19" t="s">
        <v>2</v>
      </c>
      <c r="B8" s="32">
        <v>-55809.505100000002</v>
      </c>
      <c r="C8" s="32">
        <v>-132322.01384999999</v>
      </c>
      <c r="D8" s="32" t="s">
        <v>311</v>
      </c>
    </row>
    <row r="9" spans="1:4" x14ac:dyDescent="0.3">
      <c r="A9" s="19" t="s">
        <v>4</v>
      </c>
      <c r="B9" s="32">
        <v>-114743.35447000001</v>
      </c>
      <c r="C9" s="32">
        <v>-129300.83331</v>
      </c>
      <c r="D9" s="32">
        <f>IF(OR(-114743.35447="",-129300.83331="",-114743.35447=0),"-",-129300.83331/-114743.35447*100)</f>
        <v>112.68699081288067</v>
      </c>
    </row>
    <row r="10" spans="1:4" x14ac:dyDescent="0.3">
      <c r="A10" s="19" t="s">
        <v>275</v>
      </c>
      <c r="B10" s="32">
        <v>-100025.20262</v>
      </c>
      <c r="C10" s="32">
        <v>-114437.84097</v>
      </c>
      <c r="D10" s="32">
        <f>IF(OR(-100025.20262="",-114437.84097="",-100025.20262=0),"-",-114437.84097/-100025.20262*100)</f>
        <v>114.40900690274454</v>
      </c>
    </row>
    <row r="11" spans="1:4" x14ac:dyDescent="0.3">
      <c r="A11" s="19" t="s">
        <v>39</v>
      </c>
      <c r="B11" s="32">
        <v>-83533.299549999996</v>
      </c>
      <c r="C11" s="32">
        <v>-90212.939700000003</v>
      </c>
      <c r="D11" s="32">
        <f>IF(OR(-83533.29955="",-90212.9397="",-83533.29955=0),"-",-90212.9397/-83533.29955*100)</f>
        <v>107.99638010946977</v>
      </c>
    </row>
    <row r="12" spans="1:4" x14ac:dyDescent="0.3">
      <c r="A12" s="19" t="s">
        <v>7</v>
      </c>
      <c r="B12" s="32">
        <v>-21095.026999999998</v>
      </c>
      <c r="C12" s="32">
        <v>-62564.246019999999</v>
      </c>
      <c r="D12" s="32" t="s">
        <v>397</v>
      </c>
    </row>
    <row r="13" spans="1:4" x14ac:dyDescent="0.3">
      <c r="A13" s="19" t="s">
        <v>5</v>
      </c>
      <c r="B13" s="32">
        <v>37107.998590000003</v>
      </c>
      <c r="C13" s="32">
        <v>-51642.770470000003</v>
      </c>
      <c r="D13" s="32" t="s">
        <v>19</v>
      </c>
    </row>
    <row r="14" spans="1:4" x14ac:dyDescent="0.3">
      <c r="A14" s="19" t="s">
        <v>6</v>
      </c>
      <c r="B14" s="32">
        <v>-40623.025759999997</v>
      </c>
      <c r="C14" s="32">
        <v>-48649.771000000001</v>
      </c>
      <c r="D14" s="32">
        <f>IF(OR(-40623.02576="",-48649.771="",-40623.02576=0),"-",-48649.771/-40623.02576*100)</f>
        <v>119.75910235594426</v>
      </c>
    </row>
    <row r="15" spans="1:4" x14ac:dyDescent="0.3">
      <c r="A15" s="19" t="s">
        <v>41</v>
      </c>
      <c r="B15" s="32">
        <v>-25732.884109999999</v>
      </c>
      <c r="C15" s="32">
        <v>-45631.117830000003</v>
      </c>
      <c r="D15" s="32" t="s">
        <v>187</v>
      </c>
    </row>
    <row r="16" spans="1:4" x14ac:dyDescent="0.3">
      <c r="A16" s="19" t="s">
        <v>37</v>
      </c>
      <c r="B16" s="32">
        <v>-46421.747230000001</v>
      </c>
      <c r="C16" s="32">
        <v>-37309.746469999998</v>
      </c>
      <c r="D16" s="32">
        <f>IF(OR(-46421.74723="",-37309.74647="",-46421.74723=0),"-",-37309.74647/-46421.74723*100)</f>
        <v>80.37126712432017</v>
      </c>
    </row>
    <row r="17" spans="1:4" x14ac:dyDescent="0.3">
      <c r="A17" s="19" t="s">
        <v>47</v>
      </c>
      <c r="B17" s="32">
        <v>-20830.73559</v>
      </c>
      <c r="C17" s="32">
        <v>-29870.80171</v>
      </c>
      <c r="D17" s="32">
        <f>IF(OR(-20830.73559="",-29870.80171="",-20830.73559=0),"-",-29870.80171/-20830.73559*100)</f>
        <v>143.39772871170123</v>
      </c>
    </row>
    <row r="18" spans="1:4" x14ac:dyDescent="0.3">
      <c r="A18" s="19" t="s">
        <v>38</v>
      </c>
      <c r="B18" s="32">
        <v>-21505.37556</v>
      </c>
      <c r="C18" s="32">
        <v>-26569.128430000001</v>
      </c>
      <c r="D18" s="32">
        <f>IF(OR(-21505.37556="",-26569.12843="",-21505.37556=0),"-",-26569.12843/-21505.37556*100)</f>
        <v>123.54645170400363</v>
      </c>
    </row>
    <row r="19" spans="1:4" x14ac:dyDescent="0.3">
      <c r="A19" s="19" t="s">
        <v>284</v>
      </c>
      <c r="B19" s="32">
        <v>-8093.5107699999999</v>
      </c>
      <c r="C19" s="32">
        <v>-24359.72061</v>
      </c>
      <c r="D19" s="32" t="s">
        <v>397</v>
      </c>
    </row>
    <row r="20" spans="1:4" x14ac:dyDescent="0.3">
      <c r="A20" s="19" t="s">
        <v>49</v>
      </c>
      <c r="B20" s="32">
        <v>-18793.520680000001</v>
      </c>
      <c r="C20" s="32">
        <v>-19825.500199999999</v>
      </c>
      <c r="D20" s="32">
        <f>IF(OR(-18793.52068="",-19825.5002="",-18793.52068=0),"-",-19825.5002/-18793.52068*100)</f>
        <v>105.49114525996306</v>
      </c>
    </row>
    <row r="21" spans="1:4" x14ac:dyDescent="0.3">
      <c r="A21" s="19" t="s">
        <v>48</v>
      </c>
      <c r="B21" s="32">
        <v>-3623.15452</v>
      </c>
      <c r="C21" s="32">
        <v>-18696.097310000001</v>
      </c>
      <c r="D21" s="32" t="s">
        <v>398</v>
      </c>
    </row>
    <row r="22" spans="1:4" x14ac:dyDescent="0.3">
      <c r="A22" s="19" t="s">
        <v>46</v>
      </c>
      <c r="B22" s="32">
        <v>-13533.66079</v>
      </c>
      <c r="C22" s="32">
        <v>-12476.86414</v>
      </c>
      <c r="D22" s="32">
        <f>IF(OR(-13533.66079="",-12476.86414="",-13533.66079=0),"-",-12476.86414/-13533.66079*100)</f>
        <v>92.191346699180869</v>
      </c>
    </row>
    <row r="23" spans="1:4" x14ac:dyDescent="0.3">
      <c r="A23" s="19" t="s">
        <v>45</v>
      </c>
      <c r="B23" s="32">
        <v>-12044.81092</v>
      </c>
      <c r="C23" s="32">
        <v>-10880.86608</v>
      </c>
      <c r="D23" s="32">
        <f>IF(OR(-12044.81092="",-10880.86608="",-12044.81092=0),"-",-10880.86608/-12044.81092*100)</f>
        <v>90.3365453577415</v>
      </c>
    </row>
    <row r="24" spans="1:4" x14ac:dyDescent="0.3">
      <c r="A24" s="19" t="s">
        <v>42</v>
      </c>
      <c r="B24" s="32">
        <v>-7281.6293400000004</v>
      </c>
      <c r="C24" s="32">
        <v>-6048.48639</v>
      </c>
      <c r="D24" s="32">
        <f>IF(OR(-7281.62934="",-6048.48639="",-7281.62934=0),"-",-6048.48639/-7281.62934*100)</f>
        <v>83.065013441071414</v>
      </c>
    </row>
    <row r="25" spans="1:4" x14ac:dyDescent="0.3">
      <c r="A25" s="19" t="s">
        <v>50</v>
      </c>
      <c r="B25" s="32">
        <v>-5204.3876399999999</v>
      </c>
      <c r="C25" s="32">
        <v>-4508.9699199999995</v>
      </c>
      <c r="D25" s="32">
        <f>IF(OR(-5204.38764="",-4508.96992="",-5204.38764=0),"-",-4508.96992/-5204.38764*100)</f>
        <v>86.637856975619115</v>
      </c>
    </row>
    <row r="26" spans="1:4" x14ac:dyDescent="0.3">
      <c r="A26" s="19" t="s">
        <v>43</v>
      </c>
      <c r="B26" s="32">
        <v>-1504.0009299999999</v>
      </c>
      <c r="C26" s="32">
        <v>-1907.51432</v>
      </c>
      <c r="D26" s="32">
        <f>IF(OR(-1504.00093="",-1907.51432="",-1504.00093=0),"-",-1907.51432/-1504.00093*100)</f>
        <v>126.82933114941626</v>
      </c>
    </row>
    <row r="27" spans="1:4" x14ac:dyDescent="0.3">
      <c r="A27" s="19" t="s">
        <v>51</v>
      </c>
      <c r="B27" s="32">
        <v>-1825.4575199999999</v>
      </c>
      <c r="C27" s="32">
        <v>-1368.8453999999999</v>
      </c>
      <c r="D27" s="32">
        <f>IF(OR(-1825.45752="",-1368.8454="",-1825.45752=0),"-",-1368.8454/-1825.45752*100)</f>
        <v>74.9864286077717</v>
      </c>
    </row>
    <row r="28" spans="1:4" x14ac:dyDescent="0.3">
      <c r="A28" s="19" t="s">
        <v>1</v>
      </c>
      <c r="B28" s="32">
        <v>-152541.17632999999</v>
      </c>
      <c r="C28" s="32">
        <v>-925.02389000000005</v>
      </c>
      <c r="D28" s="32">
        <f>IF(OR(-152541.17633="",-925.02389="",-152541.17633=0),"-",-925.02389/-152541.17633*100)</f>
        <v>0.60640930682142469</v>
      </c>
    </row>
    <row r="29" spans="1:4" x14ac:dyDescent="0.3">
      <c r="A29" s="19" t="s">
        <v>52</v>
      </c>
      <c r="B29" s="32">
        <v>-31.98649</v>
      </c>
      <c r="C29" s="32">
        <v>-22.978480000000001</v>
      </c>
      <c r="D29" s="32">
        <f>IF(OR(-31.98649="",-22.97848="",-31.98649=0),"-",-22.97848/-31.98649*100)</f>
        <v>71.838079139036509</v>
      </c>
    </row>
    <row r="30" spans="1:4" x14ac:dyDescent="0.3">
      <c r="A30" s="19" t="s">
        <v>276</v>
      </c>
      <c r="B30" s="32">
        <v>-4401.35077</v>
      </c>
      <c r="C30" s="32">
        <v>1182.82745</v>
      </c>
      <c r="D30" s="32" t="s">
        <v>19</v>
      </c>
    </row>
    <row r="31" spans="1:4" ht="16.5" customHeight="1" x14ac:dyDescent="0.3">
      <c r="A31" s="19" t="s">
        <v>279</v>
      </c>
      <c r="B31" s="32">
        <v>-22063.20291</v>
      </c>
      <c r="C31" s="32">
        <v>1667.72379</v>
      </c>
      <c r="D31" s="32" t="s">
        <v>19</v>
      </c>
    </row>
    <row r="32" spans="1:4" x14ac:dyDescent="0.3">
      <c r="A32" s="19" t="s">
        <v>40</v>
      </c>
      <c r="B32" s="32">
        <v>-2407.5151900000001</v>
      </c>
      <c r="C32" s="32">
        <v>3506.82953</v>
      </c>
      <c r="D32" s="32" t="s">
        <v>19</v>
      </c>
    </row>
    <row r="33" spans="1:4" x14ac:dyDescent="0.3">
      <c r="A33" s="19" t="s">
        <v>44</v>
      </c>
      <c r="B33" s="32">
        <v>11475.452509999999</v>
      </c>
      <c r="C33" s="32">
        <v>22786.90481</v>
      </c>
      <c r="D33" s="32" t="s">
        <v>17</v>
      </c>
    </row>
    <row r="34" spans="1:4" ht="15" customHeight="1" x14ac:dyDescent="0.3">
      <c r="A34" s="19" t="s">
        <v>408</v>
      </c>
      <c r="B34" s="32">
        <v>-124.45140000000001</v>
      </c>
      <c r="C34" s="32">
        <v>-2.7730899999999998</v>
      </c>
      <c r="D34" s="32">
        <f>IF(OR(-124.4514="",-2.77309="",-124.4514=0),"-",-2.77309/-124.4514*100)</f>
        <v>2.2282513495227851</v>
      </c>
    </row>
    <row r="35" spans="1:4" x14ac:dyDescent="0.3">
      <c r="A35" s="17" t="s">
        <v>188</v>
      </c>
      <c r="B35" s="31">
        <v>-871717.82137000002</v>
      </c>
      <c r="C35" s="31">
        <v>-423057.21163999999</v>
      </c>
      <c r="D35" s="31">
        <f>IF(-871717.82137="","-",-423057.21164/-871717.82137*100)</f>
        <v>48.531440022084126</v>
      </c>
    </row>
    <row r="36" spans="1:4" x14ac:dyDescent="0.3">
      <c r="A36" s="19" t="s">
        <v>9</v>
      </c>
      <c r="B36" s="32">
        <v>-162660.49355000001</v>
      </c>
      <c r="C36" s="32">
        <v>-250712.12074000001</v>
      </c>
      <c r="D36" s="32">
        <f>IF(OR(-162660.49355="",-250712.12074="",-162660.49355=0),"-",-250712.12074/-162660.49355*100)</f>
        <v>154.13215296985061</v>
      </c>
    </row>
    <row r="37" spans="1:4" x14ac:dyDescent="0.3">
      <c r="A37" s="19" t="s">
        <v>277</v>
      </c>
      <c r="B37" s="32">
        <v>-653279.14142</v>
      </c>
      <c r="C37" s="32">
        <v>-134875.31203999999</v>
      </c>
      <c r="D37" s="32">
        <f>IF(OR(-653279.14142="",-134875.31204="",-653279.14142=0),"-",-134875.31204/-653279.14142*100)</f>
        <v>20.645892925163402</v>
      </c>
    </row>
    <row r="38" spans="1:4" x14ac:dyDescent="0.3">
      <c r="A38" s="19" t="s">
        <v>10</v>
      </c>
      <c r="B38" s="32">
        <v>-3980.84186</v>
      </c>
      <c r="C38" s="32">
        <v>-20693.507590000001</v>
      </c>
      <c r="D38" s="32" t="s">
        <v>398</v>
      </c>
    </row>
    <row r="39" spans="1:4" x14ac:dyDescent="0.3">
      <c r="A39" s="19" t="s">
        <v>11</v>
      </c>
      <c r="B39" s="32">
        <v>-7514.1879900000004</v>
      </c>
      <c r="C39" s="32">
        <v>-10859.71106</v>
      </c>
      <c r="D39" s="32">
        <f>IF(OR(-7514.18799="",-10859.71106="",-7514.18799=0),"-",-10859.71106/-7514.18799*100)</f>
        <v>144.52274915735771</v>
      </c>
    </row>
    <row r="40" spans="1:4" x14ac:dyDescent="0.3">
      <c r="A40" s="19" t="s">
        <v>13</v>
      </c>
      <c r="B40" s="32">
        <v>-11714.35714</v>
      </c>
      <c r="C40" s="32">
        <v>-9388.4726800000008</v>
      </c>
      <c r="D40" s="32">
        <f>IF(OR(-11714.35714="",-9388.47268="",-11714.35714=0),"-",-9388.47268/-11714.35714*100)</f>
        <v>80.145009818268193</v>
      </c>
    </row>
    <row r="41" spans="1:4" x14ac:dyDescent="0.3">
      <c r="A41" s="19" t="s">
        <v>12</v>
      </c>
      <c r="B41" s="32">
        <v>-5749.4864100000004</v>
      </c>
      <c r="C41" s="32">
        <v>-876.10077000000001</v>
      </c>
      <c r="D41" s="32">
        <f>IF(OR(-5749.48641="",-876.10077="",-5749.48641=0),"-",-876.10077/-5749.48641*100)</f>
        <v>15.23789617932152</v>
      </c>
    </row>
    <row r="42" spans="1:4" x14ac:dyDescent="0.3">
      <c r="A42" s="19" t="s">
        <v>15</v>
      </c>
      <c r="B42" s="32">
        <v>59.345880000000001</v>
      </c>
      <c r="C42" s="32">
        <v>112.27042</v>
      </c>
      <c r="D42" s="32" t="s">
        <v>100</v>
      </c>
    </row>
    <row r="43" spans="1:4" x14ac:dyDescent="0.3">
      <c r="A43" s="19" t="s">
        <v>8</v>
      </c>
      <c r="B43" s="32">
        <v>-24939.068800000001</v>
      </c>
      <c r="C43" s="32">
        <v>399.47435999999999</v>
      </c>
      <c r="D43" s="32" t="s">
        <v>19</v>
      </c>
    </row>
    <row r="44" spans="1:4" x14ac:dyDescent="0.3">
      <c r="A44" s="19" t="s">
        <v>14</v>
      </c>
      <c r="B44" s="32">
        <v>104.74572000000001</v>
      </c>
      <c r="C44" s="32">
        <v>591.06182000000001</v>
      </c>
      <c r="D44" s="32" t="s">
        <v>399</v>
      </c>
    </row>
    <row r="45" spans="1:4" x14ac:dyDescent="0.3">
      <c r="A45" s="19" t="s">
        <v>280</v>
      </c>
      <c r="B45" s="32">
        <v>-2044.3358000000001</v>
      </c>
      <c r="C45" s="32">
        <v>3245.2066399999999</v>
      </c>
      <c r="D45" s="32" t="s">
        <v>19</v>
      </c>
    </row>
    <row r="46" spans="1:4" x14ac:dyDescent="0.3">
      <c r="A46" s="17" t="s">
        <v>123</v>
      </c>
      <c r="B46" s="31">
        <v>-1102402.6918899999</v>
      </c>
      <c r="C46" s="31">
        <v>-1516508.2426499999</v>
      </c>
      <c r="D46" s="31">
        <f>IF(-1102402.69189="","-",-1516508.24265/-1102402.69189*100)</f>
        <v>137.56390961364963</v>
      </c>
    </row>
    <row r="47" spans="1:4" x14ac:dyDescent="0.3">
      <c r="A47" s="19" t="s">
        <v>56</v>
      </c>
      <c r="B47" s="32">
        <v>-591500.85371000005</v>
      </c>
      <c r="C47" s="32">
        <v>-631133.98676999996</v>
      </c>
      <c r="D47" s="32">
        <f>IF(OR(-591500.85371="",-631133.98677="",-591500.85371=0),"-",-631133.98677/-591500.85371*100)</f>
        <v>106.70043547890316</v>
      </c>
    </row>
    <row r="48" spans="1:4" x14ac:dyDescent="0.3">
      <c r="A48" s="72" t="s">
        <v>53</v>
      </c>
      <c r="B48" s="41">
        <v>-152232.05184999999</v>
      </c>
      <c r="C48" s="41">
        <v>-403146.37735000002</v>
      </c>
      <c r="D48" s="32" t="s">
        <v>287</v>
      </c>
    </row>
    <row r="49" spans="1:4" x14ac:dyDescent="0.3">
      <c r="A49" s="19" t="s">
        <v>66</v>
      </c>
      <c r="B49" s="41">
        <v>-172727.03276999999</v>
      </c>
      <c r="C49" s="32">
        <v>-147189.50401999999</v>
      </c>
      <c r="D49" s="32">
        <f>IF(OR(-172727.03277="",-147189.50402="",-172727.03277=0),"-",-147189.50402/-172727.03277*100)</f>
        <v>85.215094394630583</v>
      </c>
    </row>
    <row r="50" spans="1:4" x14ac:dyDescent="0.3">
      <c r="A50" s="19" t="s">
        <v>72</v>
      </c>
      <c r="B50" s="32">
        <v>-43716.31796</v>
      </c>
      <c r="C50" s="32">
        <v>-59359.191749999998</v>
      </c>
      <c r="D50" s="32">
        <f>IF(OR(-43716.31796="",-59359.19175="",-43716.31796=0),"-",-59359.19175/-43716.31796*100)</f>
        <v>135.78268829573679</v>
      </c>
    </row>
    <row r="51" spans="1:4" x14ac:dyDescent="0.3">
      <c r="A51" s="19" t="s">
        <v>16</v>
      </c>
      <c r="B51" s="32">
        <v>-64991.565470000001</v>
      </c>
      <c r="C51" s="32">
        <v>-46271.582179999998</v>
      </c>
      <c r="D51" s="32">
        <f>IF(OR(-64991.56547="",-46271.58218="",-64991.56547=0),"-",-46271.58218/-64991.56547*100)</f>
        <v>71.1962880804262</v>
      </c>
    </row>
    <row r="52" spans="1:4" x14ac:dyDescent="0.3">
      <c r="A52" s="19" t="s">
        <v>33</v>
      </c>
      <c r="B52" s="32">
        <v>-38060.336199999998</v>
      </c>
      <c r="C52" s="32">
        <v>-38936.570520000001</v>
      </c>
      <c r="D52" s="32">
        <f>IF(OR(-38060.3362="",-38936.57052="",-38060.3362=0),"-",-38936.57052/-38060.3362*100)</f>
        <v>102.30222432979981</v>
      </c>
    </row>
    <row r="53" spans="1:4" x14ac:dyDescent="0.3">
      <c r="A53" s="72" t="s">
        <v>68</v>
      </c>
      <c r="B53" s="41">
        <v>-25726.237239999999</v>
      </c>
      <c r="C53" s="41">
        <v>-34231.196759999999</v>
      </c>
      <c r="D53" s="32">
        <f>IF(OR(-25726.23724="",-34231.19676="",-25726.23724=0),"-",-34231.19676/-25726.23724*100)</f>
        <v>133.05947714256561</v>
      </c>
    </row>
    <row r="54" spans="1:4" x14ac:dyDescent="0.3">
      <c r="A54" s="19" t="s">
        <v>357</v>
      </c>
      <c r="B54" s="32">
        <v>134.69896</v>
      </c>
      <c r="C54" s="32">
        <v>-23689.103439999999</v>
      </c>
      <c r="D54" s="32" t="s">
        <v>19</v>
      </c>
    </row>
    <row r="55" spans="1:4" x14ac:dyDescent="0.3">
      <c r="A55" s="19" t="s">
        <v>75</v>
      </c>
      <c r="B55" s="32">
        <v>-13698.74826</v>
      </c>
      <c r="C55" s="32">
        <v>-21200.29047</v>
      </c>
      <c r="D55" s="32">
        <f>IF(OR(-13698.74826="",-21200.29047="",-13698.74826=0),"-",-21200.29047/-13698.74826*100)</f>
        <v>154.76078593183814</v>
      </c>
    </row>
    <row r="56" spans="1:4" x14ac:dyDescent="0.3">
      <c r="A56" s="19" t="s">
        <v>59</v>
      </c>
      <c r="B56" s="32">
        <v>-10622.281129999999</v>
      </c>
      <c r="C56" s="32">
        <v>-20114.434529999999</v>
      </c>
      <c r="D56" s="32" t="s">
        <v>100</v>
      </c>
    </row>
    <row r="57" spans="1:4" x14ac:dyDescent="0.3">
      <c r="A57" s="19" t="s">
        <v>63</v>
      </c>
      <c r="B57" s="32">
        <v>-14605.580019999999</v>
      </c>
      <c r="C57" s="32">
        <v>-15665.54126</v>
      </c>
      <c r="D57" s="32">
        <f>IF(OR(-14605.58002="",-15665.54126="",-14605.58002=0),"-",-15665.54126/-14605.58002*100)</f>
        <v>107.25723482770664</v>
      </c>
    </row>
    <row r="58" spans="1:4" x14ac:dyDescent="0.3">
      <c r="A58" s="19" t="s">
        <v>281</v>
      </c>
      <c r="B58" s="41">
        <v>-14548.11318</v>
      </c>
      <c r="C58" s="32">
        <v>-14639.65417</v>
      </c>
      <c r="D58" s="32">
        <f>IF(OR(-14548.11318="",-14639.65417="",-14548.11318=0),"-",-14639.65417/-14548.11318*100)</f>
        <v>100.62922929501157</v>
      </c>
    </row>
    <row r="59" spans="1:4" x14ac:dyDescent="0.3">
      <c r="A59" s="19" t="s">
        <v>67</v>
      </c>
      <c r="B59" s="32">
        <v>-8745.7668799999992</v>
      </c>
      <c r="C59" s="32">
        <v>-11588.34403</v>
      </c>
      <c r="D59" s="32">
        <f>IF(OR(-8745.76688="",-11588.34403="",-8745.76688=0),"-",-11588.34403/-8745.76688*100)</f>
        <v>132.50232013959194</v>
      </c>
    </row>
    <row r="60" spans="1:4" x14ac:dyDescent="0.3">
      <c r="A60" s="19" t="s">
        <v>74</v>
      </c>
      <c r="B60" s="32">
        <v>-8997.2438999999995</v>
      </c>
      <c r="C60" s="32">
        <v>-10017.778130000001</v>
      </c>
      <c r="D60" s="32">
        <f>IF(OR(-8997.2439="",-10017.77813="",-8997.2439=0),"-",-10017.77813/-8997.2439*100)</f>
        <v>111.34274274814314</v>
      </c>
    </row>
    <row r="61" spans="1:4" x14ac:dyDescent="0.3">
      <c r="A61" s="19" t="s">
        <v>78</v>
      </c>
      <c r="B61" s="41">
        <v>-9299.7351299999991</v>
      </c>
      <c r="C61" s="32">
        <v>-8820.5790400000005</v>
      </c>
      <c r="D61" s="32">
        <f>IF(OR(-9299.73513="",-8820.57904="",-9299.73513=0),"-",-8820.57904/-9299.73513*100)</f>
        <v>94.847637235879006</v>
      </c>
    </row>
    <row r="62" spans="1:4" x14ac:dyDescent="0.3">
      <c r="A62" s="19" t="s">
        <v>79</v>
      </c>
      <c r="B62" s="32">
        <v>-7039.7985200000003</v>
      </c>
      <c r="C62" s="32">
        <v>-8342.7658900000006</v>
      </c>
      <c r="D62" s="32">
        <f>IF(OR(-7039.79852="",-8342.76589="",-7039.79852=0),"-",-8342.76589/-7039.79852*100)</f>
        <v>118.50858893615042</v>
      </c>
    </row>
    <row r="63" spans="1:4" x14ac:dyDescent="0.3">
      <c r="A63" s="19" t="s">
        <v>70</v>
      </c>
      <c r="B63" s="32">
        <v>-11605.14199</v>
      </c>
      <c r="C63" s="32">
        <v>-8220.5168099999992</v>
      </c>
      <c r="D63" s="32">
        <f>IF(OR(-11605.14199="",-8220.51681="",-11605.14199=0),"-",-8220.51681/-11605.14199*100)</f>
        <v>70.835124784199209</v>
      </c>
    </row>
    <row r="64" spans="1:4" x14ac:dyDescent="0.3">
      <c r="A64" s="19" t="s">
        <v>80</v>
      </c>
      <c r="B64" s="32">
        <v>-5327.5238499999996</v>
      </c>
      <c r="C64" s="32">
        <v>-7900.2316600000004</v>
      </c>
      <c r="D64" s="32">
        <f>IF(OR(-5327.52385="",-7900.23166="",-5327.52385=0),"-",-7900.23166/-5327.52385*100)</f>
        <v>148.29087362978208</v>
      </c>
    </row>
    <row r="65" spans="1:4" x14ac:dyDescent="0.3">
      <c r="A65" s="19" t="s">
        <v>36</v>
      </c>
      <c r="B65" s="32">
        <v>-3144.4924500000002</v>
      </c>
      <c r="C65" s="32">
        <v>-5872.4196400000001</v>
      </c>
      <c r="D65" s="32" t="s">
        <v>100</v>
      </c>
    </row>
    <row r="66" spans="1:4" x14ac:dyDescent="0.3">
      <c r="A66" s="19" t="s">
        <v>77</v>
      </c>
      <c r="B66" s="32">
        <v>-4144.0736699999998</v>
      </c>
      <c r="C66" s="32">
        <v>-5518.1947499999997</v>
      </c>
      <c r="D66" s="32">
        <f>IF(OR(-4144.07367="",-5518.19475="",-4144.07367=0),"-",-5518.19475/-4144.07367*100)</f>
        <v>133.15870299187998</v>
      </c>
    </row>
    <row r="67" spans="1:4" x14ac:dyDescent="0.3">
      <c r="A67" s="19" t="s">
        <v>358</v>
      </c>
      <c r="B67" s="32">
        <v>34113.525269999998</v>
      </c>
      <c r="C67" s="32">
        <v>-5415.8746199999996</v>
      </c>
      <c r="D67" s="32" t="s">
        <v>19</v>
      </c>
    </row>
    <row r="68" spans="1:4" x14ac:dyDescent="0.3">
      <c r="A68" s="19" t="s">
        <v>81</v>
      </c>
      <c r="B68" s="32">
        <v>-3735.3783899999999</v>
      </c>
      <c r="C68" s="32">
        <v>-5017.2174299999997</v>
      </c>
      <c r="D68" s="32">
        <f>IF(OR(-3735.37839="",-5017.21743="",-3735.37839=0),"-",-5017.21743/-3735.37839*100)</f>
        <v>134.31617646639543</v>
      </c>
    </row>
    <row r="69" spans="1:4" x14ac:dyDescent="0.3">
      <c r="A69" s="19" t="s">
        <v>62</v>
      </c>
      <c r="B69" s="32">
        <v>-6663.2153699999999</v>
      </c>
      <c r="C69" s="32">
        <v>-4729.5867500000004</v>
      </c>
      <c r="D69" s="32">
        <f>IF(OR(-6663.21537="",-4729.58675="",-6663.21537=0),"-",-4729.58675/-6663.21537*100)</f>
        <v>70.980547489042081</v>
      </c>
    </row>
    <row r="70" spans="1:4" x14ac:dyDescent="0.3">
      <c r="A70" s="19" t="s">
        <v>58</v>
      </c>
      <c r="B70" s="32">
        <v>-8500.5925299999999</v>
      </c>
      <c r="C70" s="32">
        <v>-4628.2369099999996</v>
      </c>
      <c r="D70" s="32">
        <f>IF(OR(-8500.59253="",-4628.23691="",-8500.59253=0),"-",-4628.23691/-8500.59253*100)</f>
        <v>54.446050597839914</v>
      </c>
    </row>
    <row r="71" spans="1:4" x14ac:dyDescent="0.3">
      <c r="A71" s="19" t="s">
        <v>116</v>
      </c>
      <c r="B71" s="32">
        <v>-1086.1306400000001</v>
      </c>
      <c r="C71" s="32">
        <v>-4546.8909899999999</v>
      </c>
      <c r="D71" s="32" t="s">
        <v>296</v>
      </c>
    </row>
    <row r="72" spans="1:4" x14ac:dyDescent="0.3">
      <c r="A72" s="19" t="s">
        <v>76</v>
      </c>
      <c r="B72" s="32">
        <v>-3198.7025699999999</v>
      </c>
      <c r="C72" s="32">
        <v>-3939.6907700000002</v>
      </c>
      <c r="D72" s="32">
        <f>IF(OR(-3198.70257="",-3939.69077="",-3198.70257=0),"-",-3939.69077/-3198.70257*100)</f>
        <v>123.16527353776441</v>
      </c>
    </row>
    <row r="73" spans="1:4" x14ac:dyDescent="0.3">
      <c r="A73" s="19" t="s">
        <v>86</v>
      </c>
      <c r="B73" s="41">
        <v>-1637.2697000000001</v>
      </c>
      <c r="C73" s="32">
        <v>-3234.8874799999999</v>
      </c>
      <c r="D73" s="32" t="s">
        <v>17</v>
      </c>
    </row>
    <row r="74" spans="1:4" x14ac:dyDescent="0.3">
      <c r="A74" s="19" t="s">
        <v>84</v>
      </c>
      <c r="B74" s="32">
        <v>-2331.6765099999998</v>
      </c>
      <c r="C74" s="32">
        <v>-3127.5477700000001</v>
      </c>
      <c r="D74" s="32">
        <f>IF(OR(-2331.67651="",-3127.54777="",-2331.67651=0),"-",-3127.54777/-2331.67651*100)</f>
        <v>134.13300501105962</v>
      </c>
    </row>
    <row r="75" spans="1:4" x14ac:dyDescent="0.3">
      <c r="A75" s="19" t="s">
        <v>378</v>
      </c>
      <c r="B75" s="32">
        <v>-1174.0862999999999</v>
      </c>
      <c r="C75" s="32">
        <v>-2751.8888900000002</v>
      </c>
      <c r="D75" s="32" t="s">
        <v>288</v>
      </c>
    </row>
    <row r="76" spans="1:4" x14ac:dyDescent="0.3">
      <c r="A76" s="19" t="s">
        <v>69</v>
      </c>
      <c r="B76" s="32">
        <v>48302.842799999999</v>
      </c>
      <c r="C76" s="32">
        <v>-2319.6560899999999</v>
      </c>
      <c r="D76" s="32" t="s">
        <v>19</v>
      </c>
    </row>
    <row r="77" spans="1:4" x14ac:dyDescent="0.3">
      <c r="A77" s="19" t="s">
        <v>92</v>
      </c>
      <c r="B77" s="32">
        <v>-1690.33986</v>
      </c>
      <c r="C77" s="32">
        <v>-2004.55556</v>
      </c>
      <c r="D77" s="32">
        <f>IF(OR(-1690.33986="",-2004.55556="",-1690.33986=0),"-",-2004.55556/-1690.33986*100)</f>
        <v>118.58890673027138</v>
      </c>
    </row>
    <row r="78" spans="1:4" x14ac:dyDescent="0.3">
      <c r="A78" s="19" t="s">
        <v>85</v>
      </c>
      <c r="B78" s="32">
        <v>-1540.3231599999999</v>
      </c>
      <c r="C78" s="32">
        <v>-1976.55971</v>
      </c>
      <c r="D78" s="32">
        <f>IF(OR(-1540.32316="",-1976.55971="",-1540.32316=0),"-",-1976.55971/-1540.32316*100)</f>
        <v>128.32110568278412</v>
      </c>
    </row>
    <row r="79" spans="1:4" x14ac:dyDescent="0.3">
      <c r="A79" s="19" t="s">
        <v>61</v>
      </c>
      <c r="B79" s="32">
        <v>-1014.5288399999999</v>
      </c>
      <c r="C79" s="32">
        <v>-1860.31132</v>
      </c>
      <c r="D79" s="32" t="s">
        <v>187</v>
      </c>
    </row>
    <row r="80" spans="1:4" x14ac:dyDescent="0.3">
      <c r="A80" s="19" t="s">
        <v>83</v>
      </c>
      <c r="B80" s="32">
        <v>-1690.3053600000001</v>
      </c>
      <c r="C80" s="32">
        <v>-1616.3157699999999</v>
      </c>
      <c r="D80" s="32">
        <f>IF(OR(-1690.30536="",-1616.31577="",-1690.30536=0),"-",-1616.31577/-1690.30536*100)</f>
        <v>95.622708668450286</v>
      </c>
    </row>
    <row r="81" spans="1:4" x14ac:dyDescent="0.3">
      <c r="A81" s="19" t="s">
        <v>97</v>
      </c>
      <c r="B81" s="32">
        <v>125.69226</v>
      </c>
      <c r="C81" s="32">
        <v>-1572.4901299999999</v>
      </c>
      <c r="D81" s="32" t="s">
        <v>19</v>
      </c>
    </row>
    <row r="82" spans="1:4" x14ac:dyDescent="0.3">
      <c r="A82" s="19" t="s">
        <v>127</v>
      </c>
      <c r="B82" s="32">
        <v>-1080.42067</v>
      </c>
      <c r="C82" s="32">
        <v>-1541.3112599999999</v>
      </c>
      <c r="D82" s="32">
        <f>IF(OR(-1080.42067="",-1541.31126="",-1080.42067=0),"-",-1541.31126/-1080.42067*100)</f>
        <v>142.6584387727421</v>
      </c>
    </row>
    <row r="83" spans="1:4" x14ac:dyDescent="0.3">
      <c r="A83" s="19" t="s">
        <v>64</v>
      </c>
      <c r="B83" s="32">
        <v>2412.8199599999998</v>
      </c>
      <c r="C83" s="32">
        <v>-1456.31007</v>
      </c>
      <c r="D83" s="32" t="s">
        <v>19</v>
      </c>
    </row>
    <row r="84" spans="1:4" x14ac:dyDescent="0.3">
      <c r="A84" s="19" t="s">
        <v>302</v>
      </c>
      <c r="B84" s="32">
        <v>-1157.43219</v>
      </c>
      <c r="C84" s="32">
        <v>-1224.8997899999999</v>
      </c>
      <c r="D84" s="32">
        <f>IF(OR(-1157.43219="",-1224.89979="",-1157.43219=0),"-",-1224.89979/-1157.43219*100)</f>
        <v>105.82907582689573</v>
      </c>
    </row>
    <row r="85" spans="1:4" x14ac:dyDescent="0.3">
      <c r="A85" s="19" t="s">
        <v>282</v>
      </c>
      <c r="B85" s="32">
        <v>-904.22769000000005</v>
      </c>
      <c r="C85" s="32">
        <v>-1180.4361799999999</v>
      </c>
      <c r="D85" s="32">
        <f>IF(OR(-904.22769="",-1180.43618="",-904.22769=0),"-",-1180.43618/-904.22769*100)</f>
        <v>130.54634281327969</v>
      </c>
    </row>
    <row r="86" spans="1:4" x14ac:dyDescent="0.3">
      <c r="A86" s="19" t="s">
        <v>89</v>
      </c>
      <c r="B86" s="32">
        <v>-499.54446000000002</v>
      </c>
      <c r="C86" s="32">
        <v>-917.69275000000005</v>
      </c>
      <c r="D86" s="32" t="s">
        <v>187</v>
      </c>
    </row>
    <row r="87" spans="1:4" x14ac:dyDescent="0.3">
      <c r="A87" s="19" t="s">
        <v>332</v>
      </c>
      <c r="B87" s="32">
        <v>-237.13995</v>
      </c>
      <c r="C87" s="32">
        <v>-883.32987000000003</v>
      </c>
      <c r="D87" s="32" t="s">
        <v>295</v>
      </c>
    </row>
    <row r="88" spans="1:4" x14ac:dyDescent="0.3">
      <c r="A88" s="19" t="s">
        <v>35</v>
      </c>
      <c r="B88" s="32">
        <v>-1560.2429199999999</v>
      </c>
      <c r="C88" s="32">
        <v>-703.88166000000001</v>
      </c>
      <c r="D88" s="32">
        <f>IF(OR(-1560.24292="",-703.88166="",-1560.24292=0),"-",-703.88166/-1560.24292*100)</f>
        <v>45.113594234415757</v>
      </c>
    </row>
    <row r="89" spans="1:4" x14ac:dyDescent="0.3">
      <c r="A89" s="19" t="s">
        <v>359</v>
      </c>
      <c r="B89" s="32">
        <v>-1087.17164</v>
      </c>
      <c r="C89" s="32">
        <v>-690.78927999999996</v>
      </c>
      <c r="D89" s="32">
        <f>IF(OR(-1087.17164="",-690.78928="",-1087.17164=0),"-",-690.78928/-1087.17164*100)</f>
        <v>63.54003862720333</v>
      </c>
    </row>
    <row r="90" spans="1:4" x14ac:dyDescent="0.3">
      <c r="A90" s="19" t="s">
        <v>87</v>
      </c>
      <c r="B90" s="32">
        <v>-1287.1412800000001</v>
      </c>
      <c r="C90" s="32">
        <v>-676.88367000000005</v>
      </c>
      <c r="D90" s="32">
        <f>IF(OR(-1287.14128="",-676.88367="",-1287.14128=0),"-",-676.88367/-1287.14128*100)</f>
        <v>52.588140907111615</v>
      </c>
    </row>
    <row r="91" spans="1:4" x14ac:dyDescent="0.3">
      <c r="A91" s="19" t="s">
        <v>93</v>
      </c>
      <c r="B91" s="32">
        <v>-251.64196000000001</v>
      </c>
      <c r="C91" s="32">
        <v>-617.20708000000002</v>
      </c>
      <c r="D91" s="32" t="s">
        <v>354</v>
      </c>
    </row>
    <row r="92" spans="1:4" x14ac:dyDescent="0.3">
      <c r="A92" s="19" t="s">
        <v>331</v>
      </c>
      <c r="B92" s="32">
        <v>4063.1534999999999</v>
      </c>
      <c r="C92" s="32">
        <v>-515.97950000000003</v>
      </c>
      <c r="D92" s="32" t="s">
        <v>19</v>
      </c>
    </row>
    <row r="93" spans="1:4" x14ac:dyDescent="0.3">
      <c r="A93" s="19" t="s">
        <v>387</v>
      </c>
      <c r="B93" s="32">
        <v>98.515810000000002</v>
      </c>
      <c r="C93" s="32">
        <v>-462.39697999999999</v>
      </c>
      <c r="D93" s="32" t="s">
        <v>19</v>
      </c>
    </row>
    <row r="94" spans="1:4" x14ac:dyDescent="0.3">
      <c r="A94" s="19" t="s">
        <v>112</v>
      </c>
      <c r="B94" s="32">
        <v>-260.07384000000002</v>
      </c>
      <c r="C94" s="32">
        <v>-408.26361000000003</v>
      </c>
      <c r="D94" s="32">
        <f>IF(OR(-260.07384="",-408.26361="",-260.07384=0),"-",-408.26361/-260.07384*100)</f>
        <v>156.97988309781562</v>
      </c>
    </row>
    <row r="95" spans="1:4" x14ac:dyDescent="0.3">
      <c r="A95" s="19" t="s">
        <v>306</v>
      </c>
      <c r="B95" s="32">
        <v>-576.28272000000004</v>
      </c>
      <c r="C95" s="32">
        <v>-374.98701999999997</v>
      </c>
      <c r="D95" s="32">
        <f>IF(OR(-576.28272="",-374.98702="",-576.28272=0),"-",-374.98702/-576.28272*100)</f>
        <v>65.069974681871415</v>
      </c>
    </row>
    <row r="96" spans="1:4" x14ac:dyDescent="0.3">
      <c r="A96" s="19" t="s">
        <v>82</v>
      </c>
      <c r="B96" s="32">
        <v>-1210.8249499999999</v>
      </c>
      <c r="C96" s="32">
        <v>-362.12455999999997</v>
      </c>
      <c r="D96" s="32">
        <f>IF(OR(-1210.82495="",-362.12456="",-1210.82495=0),"-",-362.12456/-1210.82495*100)</f>
        <v>29.907259509312222</v>
      </c>
    </row>
    <row r="97" spans="1:4" x14ac:dyDescent="0.3">
      <c r="A97" s="19" t="s">
        <v>88</v>
      </c>
      <c r="B97" s="32">
        <v>-554.99593000000004</v>
      </c>
      <c r="C97" s="32">
        <v>-350.22215</v>
      </c>
      <c r="D97" s="32">
        <f>IF(OR(-554.99593="",-350.22215="",-554.99593=0),"-",-350.22215/-554.99593*100)</f>
        <v>63.103552849477651</v>
      </c>
    </row>
    <row r="98" spans="1:4" x14ac:dyDescent="0.3">
      <c r="A98" s="19" t="s">
        <v>96</v>
      </c>
      <c r="B98" s="32">
        <v>-608.48819000000003</v>
      </c>
      <c r="C98" s="32">
        <v>-293.63337000000001</v>
      </c>
      <c r="D98" s="32">
        <f>IF(OR(-608.48819="",-293.63337="",-608.48819=0),"-",-293.63337/-608.48819*100)</f>
        <v>48.25621512884252</v>
      </c>
    </row>
    <row r="99" spans="1:4" x14ac:dyDescent="0.3">
      <c r="A99" s="19" t="s">
        <v>289</v>
      </c>
      <c r="B99" s="32">
        <v>-45.341169999999998</v>
      </c>
      <c r="C99" s="32">
        <v>-265.09719000000001</v>
      </c>
      <c r="D99" s="32" t="s">
        <v>400</v>
      </c>
    </row>
    <row r="100" spans="1:4" x14ac:dyDescent="0.3">
      <c r="A100" s="72" t="s">
        <v>118</v>
      </c>
      <c r="B100" s="41">
        <v>-219.05904000000001</v>
      </c>
      <c r="C100" s="41">
        <v>-227.33794</v>
      </c>
      <c r="D100" s="32">
        <f>IF(OR(-219.05904="",-227.33794="",-219.05904=0),"-",-227.33794/-219.05904*100)</f>
        <v>103.77930077663081</v>
      </c>
    </row>
    <row r="101" spans="1:4" x14ac:dyDescent="0.3">
      <c r="A101" s="19" t="s">
        <v>309</v>
      </c>
      <c r="B101" s="32">
        <v>-121.95017</v>
      </c>
      <c r="C101" s="32">
        <v>-216.01930999999999</v>
      </c>
      <c r="D101" s="32" t="s">
        <v>187</v>
      </c>
    </row>
    <row r="102" spans="1:4" x14ac:dyDescent="0.3">
      <c r="A102" s="72" t="s">
        <v>315</v>
      </c>
      <c r="B102" s="41">
        <v>-117.90542000000001</v>
      </c>
      <c r="C102" s="41">
        <v>-208.85740000000001</v>
      </c>
      <c r="D102" s="32" t="s">
        <v>187</v>
      </c>
    </row>
    <row r="103" spans="1:4" x14ac:dyDescent="0.3">
      <c r="A103" s="19" t="s">
        <v>119</v>
      </c>
      <c r="B103" s="32">
        <v>77.254469999999998</v>
      </c>
      <c r="C103" s="32">
        <v>-169.93253000000001</v>
      </c>
      <c r="D103" s="32" t="s">
        <v>19</v>
      </c>
    </row>
    <row r="104" spans="1:4" x14ac:dyDescent="0.3">
      <c r="A104" s="19" t="s">
        <v>317</v>
      </c>
      <c r="B104" s="32">
        <v>-155.52521999999999</v>
      </c>
      <c r="C104" s="32">
        <v>-166.29349999999999</v>
      </c>
      <c r="D104" s="32">
        <f>IF(OR(-155.52522="",-166.2935="",-155.52522=0),"-",-166.2935/-155.52522*100)</f>
        <v>106.92381595730905</v>
      </c>
    </row>
    <row r="105" spans="1:4" x14ac:dyDescent="0.3">
      <c r="A105" s="19" t="s">
        <v>101</v>
      </c>
      <c r="B105" s="32">
        <v>-134.08432999999999</v>
      </c>
      <c r="C105" s="32">
        <v>-161.88045</v>
      </c>
      <c r="D105" s="32">
        <f>IF(OR(-134.08433="",-161.88045="",-134.08433=0),"-",-161.88045/-134.08433*100)</f>
        <v>120.73032695170272</v>
      </c>
    </row>
    <row r="106" spans="1:4" x14ac:dyDescent="0.3">
      <c r="A106" s="19" t="s">
        <v>307</v>
      </c>
      <c r="B106" s="32">
        <v>-2.48489</v>
      </c>
      <c r="C106" s="32">
        <v>-138.32748000000001</v>
      </c>
      <c r="D106" s="32" t="s">
        <v>395</v>
      </c>
    </row>
    <row r="107" spans="1:4" x14ac:dyDescent="0.3">
      <c r="A107" s="19" t="s">
        <v>117</v>
      </c>
      <c r="B107" s="32">
        <v>114.71735</v>
      </c>
      <c r="C107" s="32">
        <v>-133.20061999999999</v>
      </c>
      <c r="D107" s="32" t="s">
        <v>19</v>
      </c>
    </row>
    <row r="108" spans="1:4" x14ac:dyDescent="0.3">
      <c r="A108" s="19" t="s">
        <v>274</v>
      </c>
      <c r="B108" s="32">
        <v>-76.85624</v>
      </c>
      <c r="C108" s="32">
        <v>-119.82762</v>
      </c>
      <c r="D108" s="32">
        <f>IF(OR(-76.85624="",-119.82762="",-76.85624=0),"-",-119.82762/-76.85624*100)</f>
        <v>155.91137427487996</v>
      </c>
    </row>
    <row r="109" spans="1:4" x14ac:dyDescent="0.3">
      <c r="A109" s="19" t="s">
        <v>329</v>
      </c>
      <c r="B109" s="32">
        <v>93.039159999999995</v>
      </c>
      <c r="C109" s="32">
        <v>-92.097589999999997</v>
      </c>
      <c r="D109" s="32" t="s">
        <v>19</v>
      </c>
    </row>
    <row r="110" spans="1:4" x14ac:dyDescent="0.3">
      <c r="A110" s="19" t="s">
        <v>318</v>
      </c>
      <c r="B110" s="32">
        <v>-107.02754</v>
      </c>
      <c r="C110" s="32">
        <v>-88.230140000000006</v>
      </c>
      <c r="D110" s="32">
        <f>IF(OR(-107.02754="",-88.23014="",-107.02754=0),"-",-88.23014/-107.02754*100)</f>
        <v>82.436856906175734</v>
      </c>
    </row>
    <row r="111" spans="1:4" x14ac:dyDescent="0.3">
      <c r="A111" s="19" t="s">
        <v>314</v>
      </c>
      <c r="B111" s="32">
        <v>-7.3160000000000003E-2</v>
      </c>
      <c r="C111" s="32">
        <v>-82.438310000000001</v>
      </c>
      <c r="D111" s="32" t="s">
        <v>396</v>
      </c>
    </row>
    <row r="112" spans="1:4" x14ac:dyDescent="0.3">
      <c r="A112" s="19" t="s">
        <v>308</v>
      </c>
      <c r="B112" s="32">
        <v>-22.61655</v>
      </c>
      <c r="C112" s="32">
        <v>-78.210819999999998</v>
      </c>
      <c r="D112" s="32" t="s">
        <v>336</v>
      </c>
    </row>
    <row r="113" spans="1:4" x14ac:dyDescent="0.3">
      <c r="A113" s="19" t="s">
        <v>328</v>
      </c>
      <c r="B113" s="32">
        <v>-33.719529999999999</v>
      </c>
      <c r="C113" s="32">
        <v>-68.90258</v>
      </c>
      <c r="D113" s="32" t="s">
        <v>17</v>
      </c>
    </row>
    <row r="114" spans="1:4" x14ac:dyDescent="0.3">
      <c r="A114" s="19" t="s">
        <v>319</v>
      </c>
      <c r="B114" s="41">
        <v>-90.163759999999996</v>
      </c>
      <c r="C114" s="32">
        <v>-68.484409999999997</v>
      </c>
      <c r="D114" s="32">
        <f>IF(OR(-90.16376="",-68.48441="",-90.16376=0),"-",-68.48441/-90.16376*100)</f>
        <v>75.955583484983322</v>
      </c>
    </row>
    <row r="115" spans="1:4" x14ac:dyDescent="0.3">
      <c r="A115" s="19" t="s">
        <v>388</v>
      </c>
      <c r="B115" s="32">
        <v>-57.572620000000001</v>
      </c>
      <c r="C115" s="32">
        <v>-66.847470000000001</v>
      </c>
      <c r="D115" s="32">
        <f>IF(OR(-57.57262="",-66.84747="",-57.57262=0),"-",-66.84747/-57.57262*100)</f>
        <v>116.10982790083202</v>
      </c>
    </row>
    <row r="116" spans="1:4" x14ac:dyDescent="0.3">
      <c r="A116" s="19" t="s">
        <v>390</v>
      </c>
      <c r="B116" s="41">
        <v>-73.386809999999997</v>
      </c>
      <c r="C116" s="32">
        <v>-62.427610000000001</v>
      </c>
      <c r="D116" s="32">
        <f>IF(OR(-73.38681="",-62.42761="",-73.38681=0),"-",-62.42761/-73.38681*100)</f>
        <v>85.066526259964164</v>
      </c>
    </row>
    <row r="117" spans="1:4" x14ac:dyDescent="0.3">
      <c r="A117" s="19" t="s">
        <v>389</v>
      </c>
      <c r="B117" s="32">
        <v>-19.8657</v>
      </c>
      <c r="C117" s="32">
        <v>-61.726300000000002</v>
      </c>
      <c r="D117" s="32" t="s">
        <v>379</v>
      </c>
    </row>
    <row r="118" spans="1:4" x14ac:dyDescent="0.3">
      <c r="A118" s="19" t="s">
        <v>320</v>
      </c>
      <c r="B118" s="32">
        <v>-41.625579999999999</v>
      </c>
      <c r="C118" s="32">
        <v>-60.163849999999996</v>
      </c>
      <c r="D118" s="32">
        <f>IF(OR(-41.62558="",-60.16385="",-41.62558=0),"-",-60.16385/-41.62558*100)</f>
        <v>144.53576382599354</v>
      </c>
    </row>
    <row r="119" spans="1:4" x14ac:dyDescent="0.3">
      <c r="A119" s="19" t="s">
        <v>305</v>
      </c>
      <c r="B119" s="32">
        <v>-175.30394999999999</v>
      </c>
      <c r="C119" s="32">
        <v>50.55</v>
      </c>
      <c r="D119" s="32" t="s">
        <v>19</v>
      </c>
    </row>
    <row r="120" spans="1:4" x14ac:dyDescent="0.3">
      <c r="A120" s="19" t="s">
        <v>290</v>
      </c>
      <c r="B120" s="32">
        <v>103.10848</v>
      </c>
      <c r="C120" s="32">
        <v>64.432580000000002</v>
      </c>
      <c r="D120" s="32">
        <f>IF(OR(103.10848="",64.43258="",103.10848=0),"-",64.43258/103.10848*100)</f>
        <v>62.490088109144857</v>
      </c>
    </row>
    <row r="121" spans="1:4" x14ac:dyDescent="0.3">
      <c r="A121" s="19" t="s">
        <v>303</v>
      </c>
      <c r="B121" s="32">
        <v>107.54342</v>
      </c>
      <c r="C121" s="32">
        <v>81.975200000000001</v>
      </c>
      <c r="D121" s="32">
        <f>IF(OR(107.54342="",81.9752="",107.54342=0),"-",81.9752/107.54342*100)</f>
        <v>76.225212105026969</v>
      </c>
    </row>
    <row r="122" spans="1:4" x14ac:dyDescent="0.3">
      <c r="A122" s="19" t="s">
        <v>377</v>
      </c>
      <c r="B122" s="32" t="s">
        <v>292</v>
      </c>
      <c r="C122" s="32">
        <v>111.00945</v>
      </c>
      <c r="D122" s="32" t="str">
        <f>IF(OR(0="",111.00945="",0=0),"-",111.00945/0*100)</f>
        <v>-</v>
      </c>
    </row>
    <row r="123" spans="1:4" x14ac:dyDescent="0.3">
      <c r="A123" s="19" t="s">
        <v>313</v>
      </c>
      <c r="B123" s="32">
        <v>76.745130000000003</v>
      </c>
      <c r="C123" s="32">
        <v>121.06383</v>
      </c>
      <c r="D123" s="32">
        <f>IF(OR(76.74513="",121.06383="",76.74513=0),"-",121.06383/76.74513*100)</f>
        <v>157.74789879175395</v>
      </c>
    </row>
    <row r="124" spans="1:4" x14ac:dyDescent="0.3">
      <c r="A124" s="19" t="s">
        <v>324</v>
      </c>
      <c r="B124" s="32">
        <v>1.25187</v>
      </c>
      <c r="C124" s="32">
        <v>143.59798000000001</v>
      </c>
      <c r="D124" s="32" t="s">
        <v>401</v>
      </c>
    </row>
    <row r="125" spans="1:4" x14ac:dyDescent="0.3">
      <c r="A125" s="19" t="s">
        <v>323</v>
      </c>
      <c r="B125" s="32">
        <v>-0.9</v>
      </c>
      <c r="C125" s="32">
        <v>162.27208999999999</v>
      </c>
      <c r="D125" s="32" t="s">
        <v>19</v>
      </c>
    </row>
    <row r="126" spans="1:4" x14ac:dyDescent="0.3">
      <c r="A126" s="19" t="s">
        <v>312</v>
      </c>
      <c r="B126" s="41">
        <v>39.533410000000003</v>
      </c>
      <c r="C126" s="32">
        <v>164.60524000000001</v>
      </c>
      <c r="D126" s="32" t="s">
        <v>296</v>
      </c>
    </row>
    <row r="127" spans="1:4" x14ac:dyDescent="0.3">
      <c r="A127" s="19" t="s">
        <v>113</v>
      </c>
      <c r="B127" s="32">
        <v>268.03160000000003</v>
      </c>
      <c r="C127" s="32">
        <v>170.02486999999999</v>
      </c>
      <c r="D127" s="32">
        <f>IF(OR(268.0316="",170.02487="",268.0316=0),"-",170.02487/268.0316*100)</f>
        <v>63.434636065299756</v>
      </c>
    </row>
    <row r="128" spans="1:4" x14ac:dyDescent="0.3">
      <c r="A128" s="19" t="s">
        <v>294</v>
      </c>
      <c r="B128" s="32" t="s">
        <v>292</v>
      </c>
      <c r="C128" s="32">
        <v>175.10164</v>
      </c>
      <c r="D128" s="32" t="str">
        <f>IF(OR(0="",175.10164="",0=0),"-",175.10164/0*100)</f>
        <v>-</v>
      </c>
    </row>
    <row r="129" spans="1:5" x14ac:dyDescent="0.3">
      <c r="A129" s="19" t="s">
        <v>304</v>
      </c>
      <c r="B129" s="41">
        <v>61.025559999999999</v>
      </c>
      <c r="C129" s="32">
        <v>196.02687</v>
      </c>
      <c r="D129" s="32" t="s">
        <v>316</v>
      </c>
    </row>
    <row r="130" spans="1:5" x14ac:dyDescent="0.3">
      <c r="A130" s="72" t="s">
        <v>322</v>
      </c>
      <c r="B130" s="41">
        <v>176.90536</v>
      </c>
      <c r="C130" s="41">
        <v>215.64302000000001</v>
      </c>
      <c r="D130" s="32">
        <f>IF(OR(176.90536="",215.64302="",176.90536=0),"-",215.64302/176.90536*100)</f>
        <v>121.89739191622007</v>
      </c>
    </row>
    <row r="131" spans="1:5" x14ac:dyDescent="0.3">
      <c r="A131" s="19" t="s">
        <v>91</v>
      </c>
      <c r="B131" s="32">
        <v>815.89751000000001</v>
      </c>
      <c r="C131" s="32">
        <v>225.37530000000001</v>
      </c>
      <c r="D131" s="32">
        <f>IF(OR(815.89751="",225.3753="",815.89751=0),"-",225.3753/815.89751*100)</f>
        <v>27.622991520099138</v>
      </c>
    </row>
    <row r="132" spans="1:5" x14ac:dyDescent="0.3">
      <c r="A132" s="72" t="s">
        <v>291</v>
      </c>
      <c r="B132" s="41">
        <v>-0.18576000000000001</v>
      </c>
      <c r="C132" s="41">
        <v>279.79124000000002</v>
      </c>
      <c r="D132" s="32" t="s">
        <v>19</v>
      </c>
    </row>
    <row r="133" spans="1:5" x14ac:dyDescent="0.3">
      <c r="A133" s="19" t="s">
        <v>283</v>
      </c>
      <c r="B133" s="32">
        <v>383.76612</v>
      </c>
      <c r="C133" s="32">
        <v>328.80624999999998</v>
      </c>
      <c r="D133" s="32">
        <f>IF(OR(383.76612="",328.80625="",383.76612=0),"-",328.80625/383.76612*100)</f>
        <v>85.678811355207699</v>
      </c>
    </row>
    <row r="134" spans="1:5" x14ac:dyDescent="0.3">
      <c r="A134" s="19" t="s">
        <v>121</v>
      </c>
      <c r="B134" s="32">
        <v>316.57733000000002</v>
      </c>
      <c r="C134" s="32">
        <v>362.03026</v>
      </c>
      <c r="D134" s="32">
        <f>IF(OR(316.57733="",362.03026="",316.57733=0),"-",362.03026/316.57733*100)</f>
        <v>114.35760734983771</v>
      </c>
    </row>
    <row r="135" spans="1:5" x14ac:dyDescent="0.3">
      <c r="A135" s="19" t="s">
        <v>298</v>
      </c>
      <c r="B135" s="32">
        <v>3.5811700000000002</v>
      </c>
      <c r="C135" s="32">
        <v>430.18061</v>
      </c>
      <c r="D135" s="32" t="s">
        <v>355</v>
      </c>
      <c r="E135" s="8"/>
    </row>
    <row r="136" spans="1:5" x14ac:dyDescent="0.3">
      <c r="A136" s="19" t="s">
        <v>376</v>
      </c>
      <c r="B136" s="32">
        <v>-0.20194000000000001</v>
      </c>
      <c r="C136" s="32">
        <v>669.88760000000002</v>
      </c>
      <c r="D136" s="32" t="s">
        <v>19</v>
      </c>
    </row>
    <row r="137" spans="1:5" x14ac:dyDescent="0.3">
      <c r="A137" s="19" t="s">
        <v>126</v>
      </c>
      <c r="B137" s="32">
        <v>421.62594999999999</v>
      </c>
      <c r="C137" s="32">
        <v>677.54165</v>
      </c>
      <c r="D137" s="32" t="s">
        <v>99</v>
      </c>
    </row>
    <row r="138" spans="1:5" x14ac:dyDescent="0.3">
      <c r="A138" s="19" t="s">
        <v>128</v>
      </c>
      <c r="B138" s="32">
        <v>622.00813000000005</v>
      </c>
      <c r="C138" s="32">
        <v>749.13320999999996</v>
      </c>
      <c r="D138" s="32">
        <f>IF(OR(622.00813="",749.13321="",622.00813=0),"-",749.13321/622.00813*100)</f>
        <v>120.43784861783075</v>
      </c>
    </row>
    <row r="139" spans="1:5" x14ac:dyDescent="0.3">
      <c r="A139" s="19" t="s">
        <v>73</v>
      </c>
      <c r="B139" s="32">
        <v>1431.2984300000001</v>
      </c>
      <c r="C139" s="32">
        <v>759.01549999999997</v>
      </c>
      <c r="D139" s="32">
        <f>IF(OR(1431.29843="",759.0155="",1431.29843=0),"-",759.0155/1431.29843*100)</f>
        <v>53.02985625436618</v>
      </c>
    </row>
    <row r="140" spans="1:5" x14ac:dyDescent="0.3">
      <c r="A140" s="19" t="s">
        <v>71</v>
      </c>
      <c r="B140" s="32">
        <v>-2339.6991400000002</v>
      </c>
      <c r="C140" s="32">
        <v>1123.4645</v>
      </c>
      <c r="D140" s="32" t="s">
        <v>19</v>
      </c>
    </row>
    <row r="141" spans="1:5" x14ac:dyDescent="0.3">
      <c r="A141" s="19" t="s">
        <v>310</v>
      </c>
      <c r="B141" s="32">
        <v>48.742350000000002</v>
      </c>
      <c r="C141" s="32">
        <v>1726.1709900000001</v>
      </c>
      <c r="D141" s="32" t="s">
        <v>384</v>
      </c>
    </row>
    <row r="142" spans="1:5" x14ac:dyDescent="0.3">
      <c r="A142" s="72" t="s">
        <v>297</v>
      </c>
      <c r="B142" s="41">
        <v>-26.623650000000001</v>
      </c>
      <c r="C142" s="41">
        <v>2953.9816700000001</v>
      </c>
      <c r="D142" s="32" t="s">
        <v>19</v>
      </c>
    </row>
    <row r="143" spans="1:5" x14ac:dyDescent="0.3">
      <c r="A143" s="19" t="s">
        <v>34</v>
      </c>
      <c r="B143" s="32">
        <v>4196.3541599999999</v>
      </c>
      <c r="C143" s="32">
        <v>3116.2729800000002</v>
      </c>
      <c r="D143" s="32">
        <f>IF(OR(4196.35416="",3116.27298="",4196.35416=0),"-",3116.27298/4196.35416*100)</f>
        <v>74.261438886750213</v>
      </c>
    </row>
    <row r="144" spans="1:5" x14ac:dyDescent="0.3">
      <c r="A144" s="19" t="s">
        <v>54</v>
      </c>
      <c r="B144" s="32">
        <v>6066.3257999999996</v>
      </c>
      <c r="C144" s="32">
        <v>3247.3963600000002</v>
      </c>
      <c r="D144" s="32">
        <f>IF(OR(6066.3258="",3247.39636="",6066.3258=0),"-",3247.39636/6066.3258*100)</f>
        <v>53.531519194040001</v>
      </c>
    </row>
    <row r="145" spans="1:7" x14ac:dyDescent="0.3">
      <c r="A145" s="19" t="s">
        <v>65</v>
      </c>
      <c r="B145" s="32">
        <v>3128.9668000000001</v>
      </c>
      <c r="C145" s="32">
        <v>3792.6938700000001</v>
      </c>
      <c r="D145" s="32">
        <f>IF(OR(3128.9668="",3792.69387="",3128.9668=0),"-",3792.69387/3128.9668*100)</f>
        <v>121.21233980494775</v>
      </c>
    </row>
    <row r="146" spans="1:7" x14ac:dyDescent="0.3">
      <c r="A146" s="19" t="s">
        <v>55</v>
      </c>
      <c r="B146" s="32">
        <v>9120.06891</v>
      </c>
      <c r="C146" s="32">
        <v>5107.9996899999996</v>
      </c>
      <c r="D146" s="32">
        <f>IF(OR(9120.06891="",5107.99969="",9120.06891=0),"-",5107.99969/9120.06891*100)</f>
        <v>56.0083453360661</v>
      </c>
    </row>
    <row r="147" spans="1:7" x14ac:dyDescent="0.3">
      <c r="A147" s="19" t="s">
        <v>60</v>
      </c>
      <c r="B147" s="32">
        <v>3213.6730899999998</v>
      </c>
      <c r="C147" s="32">
        <v>6410.7644300000002</v>
      </c>
      <c r="D147" s="32" t="s">
        <v>17</v>
      </c>
    </row>
    <row r="148" spans="1:7" x14ac:dyDescent="0.3">
      <c r="A148" s="33" t="s">
        <v>57</v>
      </c>
      <c r="B148" s="35">
        <v>15331.219220000001</v>
      </c>
      <c r="C148" s="35">
        <v>26327.455669999999</v>
      </c>
      <c r="D148" s="35" t="s">
        <v>98</v>
      </c>
    </row>
    <row r="149" spans="1:7" s="28" customFormat="1" ht="15" customHeight="1" x14ac:dyDescent="0.2">
      <c r="A149" s="10" t="s">
        <v>268</v>
      </c>
      <c r="B149" s="11"/>
      <c r="C149" s="12"/>
      <c r="D149" s="11"/>
      <c r="E149" s="11"/>
      <c r="F149" s="27"/>
      <c r="G149" s="27"/>
    </row>
  </sheetData>
  <sortState xmlns:xlrd2="http://schemas.microsoft.com/office/spreadsheetml/2017/richdata2" ref="A47:E104">
    <sortCondition ref="C47:C104"/>
  </sortState>
  <mergeCells count="2">
    <mergeCell ref="A1:D1"/>
    <mergeCell ref="A2:D2"/>
  </mergeCells>
  <phoneticPr fontId="3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40"/>
  <sheetViews>
    <sheetView workbookViewId="0">
      <selection sqref="A1:E1"/>
    </sheetView>
  </sheetViews>
  <sheetFormatPr defaultRowHeight="15.6" x14ac:dyDescent="0.3"/>
  <cols>
    <col min="1" max="1" width="29.3984375" style="42" customWidth="1"/>
    <col min="2" max="2" width="14" style="42" customWidth="1"/>
    <col min="3" max="3" width="14.3984375" style="42" customWidth="1"/>
    <col min="4" max="4" width="12.19921875" style="42" customWidth="1"/>
    <col min="5" max="5" width="12.3984375" style="42" customWidth="1"/>
    <col min="6" max="9" width="9" style="42"/>
  </cols>
  <sheetData>
    <row r="1" spans="1:9" s="49" customFormat="1" ht="15" customHeight="1" x14ac:dyDescent="0.25">
      <c r="A1" s="82" t="s">
        <v>338</v>
      </c>
      <c r="B1" s="82"/>
      <c r="C1" s="82"/>
      <c r="D1" s="82"/>
      <c r="E1" s="82"/>
      <c r="F1" s="48"/>
      <c r="G1" s="48"/>
      <c r="H1" s="48"/>
      <c r="I1" s="48"/>
    </row>
    <row r="2" spans="1:9" x14ac:dyDescent="0.3">
      <c r="A2" s="95"/>
      <c r="B2" s="95"/>
      <c r="C2" s="95"/>
      <c r="D2" s="95"/>
      <c r="E2" s="95"/>
    </row>
    <row r="3" spans="1:9" ht="18.75" customHeight="1" x14ac:dyDescent="0.3">
      <c r="A3" s="83"/>
      <c r="B3" s="85" t="s">
        <v>365</v>
      </c>
      <c r="C3" s="86"/>
      <c r="D3" s="87" t="s">
        <v>102</v>
      </c>
      <c r="E3" s="94"/>
    </row>
    <row r="4" spans="1:9" ht="36.75" customHeight="1" x14ac:dyDescent="0.3">
      <c r="A4" s="84"/>
      <c r="B4" s="15" t="s">
        <v>110</v>
      </c>
      <c r="C4" s="14" t="s">
        <v>372</v>
      </c>
      <c r="D4" s="15" t="s">
        <v>361</v>
      </c>
      <c r="E4" s="13" t="s">
        <v>362</v>
      </c>
    </row>
    <row r="5" spans="1:9" s="49" customFormat="1" ht="15.75" customHeight="1" x14ac:dyDescent="0.25">
      <c r="A5" s="9" t="s">
        <v>120</v>
      </c>
      <c r="B5" s="31">
        <v>2667989.8523599999</v>
      </c>
      <c r="C5" s="74">
        <v>90.164351561409163</v>
      </c>
      <c r="D5" s="31">
        <v>100</v>
      </c>
      <c r="E5" s="31">
        <v>100</v>
      </c>
      <c r="F5" s="48"/>
      <c r="G5" s="48"/>
      <c r="H5" s="48"/>
      <c r="I5" s="48"/>
    </row>
    <row r="6" spans="1:9" ht="15.75" customHeight="1" x14ac:dyDescent="0.3">
      <c r="A6" s="30" t="s">
        <v>114</v>
      </c>
      <c r="B6" s="41"/>
      <c r="C6" s="44"/>
      <c r="D6" s="31"/>
      <c r="E6" s="31"/>
    </row>
    <row r="7" spans="1:9" x14ac:dyDescent="0.3">
      <c r="A7" s="30" t="s">
        <v>103</v>
      </c>
      <c r="B7" s="32">
        <v>350936.64630999998</v>
      </c>
      <c r="C7" s="32">
        <v>77.209648459012257</v>
      </c>
      <c r="D7" s="32">
        <f>IF(454524.3416="","-",454524.3416/2959029.60112*100)</f>
        <v>15.360587857179983</v>
      </c>
      <c r="E7" s="32">
        <f>IF(350936.64631="","-",350936.64631/2667989.85236*100)</f>
        <v>13.153597492118459</v>
      </c>
    </row>
    <row r="8" spans="1:9" x14ac:dyDescent="0.3">
      <c r="A8" s="30" t="s">
        <v>104</v>
      </c>
      <c r="B8" s="32">
        <v>81928.013189999998</v>
      </c>
      <c r="C8" s="32">
        <v>30.90896374914448</v>
      </c>
      <c r="D8" s="32">
        <f>IF(265062.30961="","-",265062.30961/2959029.60112*100)</f>
        <v>8.9577444412747091</v>
      </c>
      <c r="E8" s="32">
        <f>IF(81928.01319="","-",81928.01319/2667989.85236*100)</f>
        <v>3.0707767916556978</v>
      </c>
    </row>
    <row r="9" spans="1:9" x14ac:dyDescent="0.3">
      <c r="A9" s="30" t="s">
        <v>105</v>
      </c>
      <c r="B9" s="32">
        <v>2177294.3232</v>
      </c>
      <c r="C9" s="32">
        <v>98.728746955652568</v>
      </c>
      <c r="D9" s="32">
        <f>IF(2205329.64343="","-",2205329.64343/2959029.60112*100)</f>
        <v>74.528813182378357</v>
      </c>
      <c r="E9" s="32">
        <f>IF(2177294.3232="","-",2177294.3232/2667989.85236*100)</f>
        <v>81.608043646569726</v>
      </c>
    </row>
    <row r="10" spans="1:9" x14ac:dyDescent="0.3">
      <c r="A10" s="30" t="s">
        <v>106</v>
      </c>
      <c r="B10" s="32">
        <v>28977.38809</v>
      </c>
      <c r="C10" s="32">
        <v>119.25876038449795</v>
      </c>
      <c r="D10" s="32">
        <f>IF(24297.91153="","-",24297.91153/2959029.60112*100)</f>
        <v>0.82114459148374797</v>
      </c>
      <c r="E10" s="32">
        <f>IF(28977.38809="","-",28977.38809/2667989.85236*100)</f>
        <v>1.0861131298669569</v>
      </c>
    </row>
    <row r="11" spans="1:9" x14ac:dyDescent="0.3">
      <c r="A11" s="30" t="s">
        <v>107</v>
      </c>
      <c r="B11" s="32">
        <v>703.51364000000001</v>
      </c>
      <c r="C11" s="32">
        <v>74.050820045091498</v>
      </c>
      <c r="D11" s="32">
        <f>IF(950.04166="","-",950.04166/2959029.60112*100)</f>
        <v>3.2106527749516493E-2</v>
      </c>
      <c r="E11" s="32">
        <f>IF(703.51364="","-",703.51364/2667989.85236*100)</f>
        <v>2.6368677503690624E-2</v>
      </c>
    </row>
    <row r="12" spans="1:9" x14ac:dyDescent="0.3">
      <c r="A12" s="30" t="s">
        <v>108</v>
      </c>
      <c r="B12" s="32">
        <v>27157.528480000001</v>
      </c>
      <c r="C12" s="32" t="s">
        <v>379</v>
      </c>
      <c r="D12" s="32">
        <f>IF(8635.90791="","-",8635.90791/2959029.60112*100)</f>
        <v>0.29184932474927888</v>
      </c>
      <c r="E12" s="32">
        <f>IF(27157.52848="","-",27157.52848/2667989.85236*100)</f>
        <v>1.0179022403693743</v>
      </c>
    </row>
    <row r="13" spans="1:9" x14ac:dyDescent="0.3">
      <c r="A13" s="30" t="s">
        <v>109</v>
      </c>
      <c r="B13" s="32">
        <v>992.43944999999997</v>
      </c>
      <c r="C13" s="32" t="s">
        <v>334</v>
      </c>
      <c r="D13" s="32">
        <f>IF(229.44538="","-",229.44538/2959029.60112*100)</f>
        <v>7.754075184417026E-3</v>
      </c>
      <c r="E13" s="32">
        <f>IF(992.43945="","-",992.43945/2667989.85236*100)</f>
        <v>3.7198021916092623E-2</v>
      </c>
    </row>
    <row r="14" spans="1:9" x14ac:dyDescent="0.3">
      <c r="A14" s="17" t="s">
        <v>189</v>
      </c>
      <c r="B14" s="31">
        <v>1682936.97407</v>
      </c>
      <c r="C14" s="31">
        <v>95.663976682994317</v>
      </c>
      <c r="D14" s="31">
        <f>IF(1759217.0349="","-",1759217.0349/2959029.60112*100)</f>
        <v>59.452498691940505</v>
      </c>
      <c r="E14" s="31">
        <f>IF(1682936.97407="","-",1682936.97407/2667989.85236*100)</f>
        <v>63.078837147050592</v>
      </c>
    </row>
    <row r="15" spans="1:9" x14ac:dyDescent="0.3">
      <c r="A15" s="30" t="s">
        <v>114</v>
      </c>
      <c r="B15" s="31"/>
      <c r="C15" s="31"/>
      <c r="D15" s="31"/>
      <c r="E15" s="31"/>
    </row>
    <row r="16" spans="1:9" x14ac:dyDescent="0.3">
      <c r="A16" s="30" t="s">
        <v>103</v>
      </c>
      <c r="B16" s="32">
        <v>258011.92439</v>
      </c>
      <c r="C16" s="32">
        <v>85.34683821288526</v>
      </c>
      <c r="D16" s="32">
        <f>IF(302309.88024="","-",302309.88024/2959029.60112*100)</f>
        <v>10.216520988014958</v>
      </c>
      <c r="E16" s="32">
        <f>IF(258011.92439="","-",258011.92439/2667989.85236*100)</f>
        <v>9.6706486406525389</v>
      </c>
    </row>
    <row r="17" spans="1:6" x14ac:dyDescent="0.3">
      <c r="A17" s="30" t="s">
        <v>104</v>
      </c>
      <c r="B17" s="32">
        <v>33866.418570000002</v>
      </c>
      <c r="C17" s="32">
        <v>77.73089733850891</v>
      </c>
      <c r="D17" s="32">
        <f>IF(43568.79919="","-",43568.79919/2959029.60112*100)</f>
        <v>1.4724015999538871</v>
      </c>
      <c r="E17" s="32">
        <f>IF(33866.41857="","-",33866.41857/2667989.85236*100)</f>
        <v>1.2693608463331705</v>
      </c>
    </row>
    <row r="18" spans="1:6" x14ac:dyDescent="0.3">
      <c r="A18" s="30" t="s">
        <v>105</v>
      </c>
      <c r="B18" s="32">
        <v>1374303.2068099999</v>
      </c>
      <c r="C18" s="32">
        <v>97.557579783614045</v>
      </c>
      <c r="D18" s="32">
        <f>IF(1408709.82025="","-",1408709.82025/2959029.60112*100)</f>
        <v>47.607155390294167</v>
      </c>
      <c r="E18" s="32">
        <f>IF(1374303.20681="","-",1374303.20681/2667989.85236*100)</f>
        <v>51.510810867378112</v>
      </c>
    </row>
    <row r="19" spans="1:6" x14ac:dyDescent="0.3">
      <c r="A19" s="30" t="s">
        <v>106</v>
      </c>
      <c r="B19" s="32">
        <v>5164.3953099999999</v>
      </c>
      <c r="C19" s="32">
        <v>124.48449844673004</v>
      </c>
      <c r="D19" s="32">
        <f>IF(4148.62523="","-",4148.62523/2959029.60112*100)</f>
        <v>0.14020222131031523</v>
      </c>
      <c r="E19" s="32">
        <f>IF(5164.39531="","-",5164.39531/2667989.85236*100)</f>
        <v>0.19356877633667824</v>
      </c>
    </row>
    <row r="20" spans="1:6" x14ac:dyDescent="0.3">
      <c r="A20" s="30" t="s">
        <v>107</v>
      </c>
      <c r="B20" s="32">
        <v>226.73173</v>
      </c>
      <c r="C20" s="32">
        <v>55.316131732631582</v>
      </c>
      <c r="D20" s="32">
        <f>IF(409.88356="","-",409.88356/2959029.60112*100)</f>
        <v>1.3851958758535503E-2</v>
      </c>
      <c r="E20" s="32">
        <f>IF(226.73173="","-",226.73173/2667989.85236*100)</f>
        <v>8.49822310228961E-3</v>
      </c>
    </row>
    <row r="21" spans="1:6" x14ac:dyDescent="0.3">
      <c r="A21" s="30" t="s">
        <v>108</v>
      </c>
      <c r="B21" s="32">
        <v>11267.295539999999</v>
      </c>
      <c r="C21" s="32" t="s">
        <v>292</v>
      </c>
      <c r="D21" s="32" t="s">
        <v>292</v>
      </c>
      <c r="E21" s="32">
        <f>IF(11267.29554="","-",11267.29554/2667989.85236*100)</f>
        <v>0.42231403279264312</v>
      </c>
    </row>
    <row r="22" spans="1:6" x14ac:dyDescent="0.3">
      <c r="A22" s="30" t="s">
        <v>109</v>
      </c>
      <c r="B22" s="32">
        <v>97.001720000000006</v>
      </c>
      <c r="C22" s="32">
        <v>138.52158392195633</v>
      </c>
      <c r="D22" s="32">
        <f>IF(70.02643="","-",70.02643/2959029.60112*100)</f>
        <v>2.3665336086362513E-3</v>
      </c>
      <c r="E22" s="32">
        <f>IF(97.00172="","-",97.00172/2667989.85236*100)</f>
        <v>3.635760455168001E-3</v>
      </c>
    </row>
    <row r="23" spans="1:6" x14ac:dyDescent="0.3">
      <c r="A23" s="17" t="s">
        <v>190</v>
      </c>
      <c r="B23" s="31">
        <v>652004.88610999996</v>
      </c>
      <c r="C23" s="31">
        <v>104.7392103798997</v>
      </c>
      <c r="D23" s="31">
        <f>IF(622503.15211="","-",622503.15211/2959029.60112*100)</f>
        <v>21.037408746245092</v>
      </c>
      <c r="E23" s="31">
        <f>IF(652004.88611="","-",652004.88611/2667989.85236*100)</f>
        <v>24.438057196254395</v>
      </c>
    </row>
    <row r="24" spans="1:6" x14ac:dyDescent="0.3">
      <c r="A24" s="30" t="s">
        <v>114</v>
      </c>
      <c r="B24" s="31"/>
      <c r="C24" s="31"/>
      <c r="D24" s="31"/>
      <c r="E24" s="31"/>
    </row>
    <row r="25" spans="1:6" x14ac:dyDescent="0.3">
      <c r="A25" s="30" t="s">
        <v>103</v>
      </c>
      <c r="B25" s="32">
        <v>7496.9248200000002</v>
      </c>
      <c r="C25" s="32" t="s">
        <v>339</v>
      </c>
      <c r="D25" s="32">
        <f>IF(82.09698="","-",82.09698/2959029.60112*100)</f>
        <v>2.7744561922910843E-3</v>
      </c>
      <c r="E25" s="32">
        <f>IF(7496.92482="","-",7496.92482/2667989.85236*100)</f>
        <v>0.2809952524132921</v>
      </c>
    </row>
    <row r="26" spans="1:6" x14ac:dyDescent="0.3">
      <c r="A26" s="30" t="s">
        <v>104</v>
      </c>
      <c r="B26" s="32">
        <v>41827.79034</v>
      </c>
      <c r="C26" s="32">
        <v>34.278539283981587</v>
      </c>
      <c r="D26" s="32">
        <f>IF(122023.25774="","-",122023.25774/2959029.60112*100)</f>
        <v>4.1237592788464807</v>
      </c>
      <c r="E26" s="32">
        <f>IF(41827.79034="","-",41827.79034/2667989.85236*100)</f>
        <v>1.5677642215543199</v>
      </c>
    </row>
    <row r="27" spans="1:6" x14ac:dyDescent="0.3">
      <c r="A27" s="30" t="s">
        <v>105</v>
      </c>
      <c r="B27" s="32">
        <v>577068.89384999999</v>
      </c>
      <c r="C27" s="32">
        <v>118.76859546048695</v>
      </c>
      <c r="D27" s="32">
        <f>IF(485876.66766="","-",485876.66766/2959029.60112*100)</f>
        <v>16.420135421291306</v>
      </c>
      <c r="E27" s="32">
        <f>IF(577068.89385="","-",577068.89385/2667989.85236*100)</f>
        <v>21.629351151375158</v>
      </c>
      <c r="F27" s="45"/>
    </row>
    <row r="28" spans="1:6" x14ac:dyDescent="0.3">
      <c r="A28" s="30" t="s">
        <v>106</v>
      </c>
      <c r="B28" s="32">
        <v>9251.8555099999994</v>
      </c>
      <c r="C28" s="32" t="s">
        <v>99</v>
      </c>
      <c r="D28" s="32">
        <f>IF(5685.31167="","-",5685.31167/2959029.60112*100)</f>
        <v>0.19213432903300784</v>
      </c>
      <c r="E28" s="32">
        <f>IF(9251.85551="","-",9251.85551/2667989.85236*100)</f>
        <v>0.34677251496350964</v>
      </c>
    </row>
    <row r="29" spans="1:6" x14ac:dyDescent="0.3">
      <c r="A29" s="30" t="s">
        <v>107</v>
      </c>
      <c r="B29" s="32">
        <v>33.858260000000001</v>
      </c>
      <c r="C29" s="32">
        <v>56.62749702297328</v>
      </c>
      <c r="D29" s="32">
        <f>IF(59.7912="","-",59.7912/2959029.60112*100)</f>
        <v>2.0206354129532499E-3</v>
      </c>
      <c r="E29" s="32">
        <f>IF(33.85826="","-",33.85826/2667989.85236*100)</f>
        <v>1.2690550516918308E-3</v>
      </c>
    </row>
    <row r="30" spans="1:6" x14ac:dyDescent="0.3">
      <c r="A30" s="30" t="s">
        <v>108</v>
      </c>
      <c r="B30" s="32">
        <v>15890.23294</v>
      </c>
      <c r="C30" s="32" t="s">
        <v>187</v>
      </c>
      <c r="D30" s="32">
        <f>IF(8635.90791="","-",8635.90791/2959029.60112*100)</f>
        <v>0.29184932474927888</v>
      </c>
      <c r="E30" s="32">
        <f>IF(15890.23294="","-",15890.23294/2667989.85236*100)</f>
        <v>0.59558820757673114</v>
      </c>
    </row>
    <row r="31" spans="1:6" x14ac:dyDescent="0.3">
      <c r="A31" s="30" t="s">
        <v>109</v>
      </c>
      <c r="B31" s="32">
        <v>435.33039000000002</v>
      </c>
      <c r="C31" s="32" t="s">
        <v>292</v>
      </c>
      <c r="D31" s="32">
        <f>IF(140.11895="","-",140.11895/2959029.60112*100)</f>
        <v>4.7353007197685568E-3</v>
      </c>
      <c r="E31" s="32">
        <f>IF(435.33039="","-",435.33039/2667989.85236*100)</f>
        <v>1.6316793319694368E-2</v>
      </c>
    </row>
    <row r="32" spans="1:6" x14ac:dyDescent="0.3">
      <c r="A32" s="17" t="s">
        <v>273</v>
      </c>
      <c r="B32" s="31">
        <v>333047.99218</v>
      </c>
      <c r="C32" s="31">
        <v>57.68968668100419</v>
      </c>
      <c r="D32" s="31">
        <f>IF(577309.41411="","-",577309.41411/2959029.60112*100)</f>
        <v>19.510092561814421</v>
      </c>
      <c r="E32" s="31">
        <f>IF(333047.99218="","-",333047.99218/2667989.85236*100)</f>
        <v>12.483105656695011</v>
      </c>
    </row>
    <row r="33" spans="1:9" x14ac:dyDescent="0.3">
      <c r="A33" s="30" t="s">
        <v>114</v>
      </c>
      <c r="B33" s="31"/>
      <c r="C33" s="31"/>
      <c r="D33" s="31"/>
      <c r="E33" s="31"/>
    </row>
    <row r="34" spans="1:9" x14ac:dyDescent="0.3">
      <c r="A34" s="30" t="s">
        <v>103</v>
      </c>
      <c r="B34" s="32">
        <v>85427.797099999996</v>
      </c>
      <c r="C34" s="32">
        <v>56.153598511501677</v>
      </c>
      <c r="D34" s="32">
        <f>IF(152132.36438="","-",152132.36438/2959029.60112*100)</f>
        <v>5.1412924129727378</v>
      </c>
      <c r="E34" s="32">
        <f>IF(85427.7971="","-",85427.7971/2667989.85236*100)</f>
        <v>3.2019535990526307</v>
      </c>
    </row>
    <row r="35" spans="1:9" x14ac:dyDescent="0.3">
      <c r="A35" s="30" t="s">
        <v>104</v>
      </c>
      <c r="B35" s="32">
        <v>6233.8042800000003</v>
      </c>
      <c r="C35" s="32">
        <v>6.2670035634215306</v>
      </c>
      <c r="D35" s="32">
        <f>IF(99470.25268="","-",99470.25268/2959029.60112*100)</f>
        <v>3.3615835624743422</v>
      </c>
      <c r="E35" s="32">
        <f>IF(6233.80428="","-",6233.80428/2667989.85236*100)</f>
        <v>0.23365172376820773</v>
      </c>
    </row>
    <row r="36" spans="1:9" x14ac:dyDescent="0.3">
      <c r="A36" s="30" t="s">
        <v>105</v>
      </c>
      <c r="B36" s="32">
        <v>225922.22253999999</v>
      </c>
      <c r="C36" s="32">
        <v>72.703845129570112</v>
      </c>
      <c r="D36" s="32">
        <f>IF(310743.15552="","-",310743.15552/2959029.60112*100)</f>
        <v>10.501522370792877</v>
      </c>
      <c r="E36" s="32">
        <f>IF(225922.22254="","-",225922.22254/2667989.85236*100)</f>
        <v>8.4678816278164621</v>
      </c>
    </row>
    <row r="37" spans="1:9" x14ac:dyDescent="0.3">
      <c r="A37" s="30" t="s">
        <v>106</v>
      </c>
      <c r="B37" s="32">
        <v>14561.137269999999</v>
      </c>
      <c r="C37" s="32">
        <v>100.67175615614308</v>
      </c>
      <c r="D37" s="32">
        <f>IF(14463.97463="","-",14463.97463/2959029.60112*100)</f>
        <v>0.48880804114042498</v>
      </c>
      <c r="E37" s="32">
        <f>IF(14561.13727="","-",14561.13727/2667989.85236*100)</f>
        <v>0.54577183856676903</v>
      </c>
    </row>
    <row r="38" spans="1:9" x14ac:dyDescent="0.3">
      <c r="A38" s="30" t="s">
        <v>107</v>
      </c>
      <c r="B38" s="32">
        <v>442.92365000000001</v>
      </c>
      <c r="C38" s="32">
        <v>92.205281004998469</v>
      </c>
      <c r="D38" s="32">
        <f>IF(480.3669="","-",480.3669/2959029.60112*100)</f>
        <v>1.6233933578027743E-2</v>
      </c>
      <c r="E38" s="32">
        <f>IF(442.92365="","-",442.92365/2667989.85236*100)</f>
        <v>1.6601399349709181E-2</v>
      </c>
    </row>
    <row r="39" spans="1:9" x14ac:dyDescent="0.3">
      <c r="A39" s="46" t="s">
        <v>109</v>
      </c>
      <c r="B39" s="47">
        <v>460.10734000000002</v>
      </c>
      <c r="C39" s="35" t="s">
        <v>292</v>
      </c>
      <c r="D39" s="35">
        <f>IF(19.3="","-",19.3/2959029.60112*100)</f>
        <v>6.5224085601221782E-4</v>
      </c>
      <c r="E39" s="35">
        <f>IF(460.10734="","-",460.10734/2667989.85236*100)</f>
        <v>1.724546814123026E-2</v>
      </c>
    </row>
    <row r="40" spans="1:9" s="28" customFormat="1" ht="14.25" customHeight="1" x14ac:dyDescent="0.2">
      <c r="A40" s="50" t="s">
        <v>18</v>
      </c>
      <c r="B40" s="51"/>
      <c r="C40" s="51"/>
      <c r="D40" s="51"/>
      <c r="E40" s="51"/>
      <c r="F40" s="51"/>
      <c r="G40" s="51"/>
      <c r="H40" s="51"/>
      <c r="I40" s="51"/>
    </row>
  </sheetData>
  <mergeCells count="5">
    <mergeCell ref="A1:E1"/>
    <mergeCell ref="A3:A4"/>
    <mergeCell ref="B3:C3"/>
    <mergeCell ref="D3:E3"/>
    <mergeCell ref="A2:E2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G40"/>
  <sheetViews>
    <sheetView workbookViewId="0">
      <selection sqref="A1:E1"/>
    </sheetView>
  </sheetViews>
  <sheetFormatPr defaultRowHeight="15.6" x14ac:dyDescent="0.3"/>
  <cols>
    <col min="1" max="1" width="30.69921875" style="42" customWidth="1"/>
    <col min="2" max="2" width="13.8984375" style="42" customWidth="1"/>
    <col min="3" max="3" width="13.09765625" style="42" customWidth="1"/>
    <col min="4" max="5" width="12.3984375" style="42" customWidth="1"/>
    <col min="6" max="7" width="9" style="42"/>
  </cols>
  <sheetData>
    <row r="1" spans="1:7" x14ac:dyDescent="0.3">
      <c r="A1" s="82" t="s">
        <v>340</v>
      </c>
      <c r="B1" s="82"/>
      <c r="C1" s="82"/>
      <c r="D1" s="82"/>
      <c r="E1" s="82"/>
    </row>
    <row r="2" spans="1:7" x14ac:dyDescent="0.3">
      <c r="A2" s="95"/>
      <c r="B2" s="95"/>
      <c r="C2" s="95"/>
      <c r="D2" s="95"/>
      <c r="E2" s="95"/>
    </row>
    <row r="3" spans="1:7" ht="18.75" customHeight="1" x14ac:dyDescent="0.3">
      <c r="A3" s="83"/>
      <c r="B3" s="85" t="s">
        <v>365</v>
      </c>
      <c r="C3" s="86"/>
      <c r="D3" s="87" t="s">
        <v>102</v>
      </c>
      <c r="E3" s="94"/>
    </row>
    <row r="4" spans="1:7" ht="41.25" customHeight="1" x14ac:dyDescent="0.3">
      <c r="A4" s="84"/>
      <c r="B4" s="15" t="s">
        <v>110</v>
      </c>
      <c r="C4" s="14" t="s">
        <v>372</v>
      </c>
      <c r="D4" s="15" t="s">
        <v>361</v>
      </c>
      <c r="E4" s="13" t="s">
        <v>362</v>
      </c>
    </row>
    <row r="5" spans="1:7" s="49" customFormat="1" ht="15.75" customHeight="1" x14ac:dyDescent="0.25">
      <c r="A5" s="9" t="s">
        <v>115</v>
      </c>
      <c r="B5" s="29">
        <v>5709381.88442</v>
      </c>
      <c r="C5" s="29">
        <v>96.907116349151707</v>
      </c>
      <c r="D5" s="71">
        <v>100</v>
      </c>
      <c r="E5" s="71">
        <v>100</v>
      </c>
      <c r="F5" s="48"/>
      <c r="G5" s="48"/>
    </row>
    <row r="6" spans="1:7" ht="15.75" customHeight="1" x14ac:dyDescent="0.3">
      <c r="A6" s="30" t="s">
        <v>114</v>
      </c>
      <c r="B6" s="75"/>
      <c r="C6" s="31"/>
      <c r="D6" s="75"/>
      <c r="E6" s="75"/>
    </row>
    <row r="7" spans="1:7" x14ac:dyDescent="0.3">
      <c r="A7" s="30" t="s">
        <v>103</v>
      </c>
      <c r="B7" s="32">
        <v>441678.73671000003</v>
      </c>
      <c r="C7" s="32">
        <v>101.45979832152419</v>
      </c>
      <c r="D7" s="32">
        <f>IF(435323.88593="","-",435323.88593/5891602.28837*100)</f>
        <v>7.3888878546558994</v>
      </c>
      <c r="E7" s="32">
        <f>IF(441678.73671="","-",441678.73671/5709381.88442*100)</f>
        <v>7.7360167116386354</v>
      </c>
    </row>
    <row r="8" spans="1:7" x14ac:dyDescent="0.3">
      <c r="A8" s="30" t="s">
        <v>104</v>
      </c>
      <c r="B8" s="32">
        <v>225028.82276000001</v>
      </c>
      <c r="C8" s="32">
        <v>79.500968882737013</v>
      </c>
      <c r="D8" s="32">
        <f>IF(283051.67336="","-",283051.67336/5891602.28837*100)</f>
        <v>4.8043241805161037</v>
      </c>
      <c r="E8" s="32">
        <f>IF(225028.82276="","-",225028.82276/5709381.88442*100)</f>
        <v>3.9413867790849313</v>
      </c>
    </row>
    <row r="9" spans="1:7" x14ac:dyDescent="0.3">
      <c r="A9" s="30" t="s">
        <v>105</v>
      </c>
      <c r="B9" s="32">
        <v>4492795.4293400003</v>
      </c>
      <c r="C9" s="32">
        <v>99.338230665312366</v>
      </c>
      <c r="D9" s="32">
        <f>IF(4522725.43939="","-",4522725.43939/5891602.28837*100)</f>
        <v>76.765627040335744</v>
      </c>
      <c r="E9" s="32">
        <f>IF(4492795.42934="","-",4492795.42934/5709381.88442*100)</f>
        <v>78.691450673498096</v>
      </c>
    </row>
    <row r="10" spans="1:7" x14ac:dyDescent="0.3">
      <c r="A10" s="30" t="s">
        <v>106</v>
      </c>
      <c r="B10" s="32">
        <v>105430.69949</v>
      </c>
      <c r="C10" s="32">
        <v>110.69442595571533</v>
      </c>
      <c r="D10" s="32">
        <f>IF(95244.81344="","-",95244.81344/5891602.28837*100)</f>
        <v>1.6166198731372767</v>
      </c>
      <c r="E10" s="32">
        <f>IF(105430.69949="","-",105430.69949/5709381.88442*100)</f>
        <v>1.8466219570581484</v>
      </c>
    </row>
    <row r="11" spans="1:7" x14ac:dyDescent="0.3">
      <c r="A11" s="30" t="s">
        <v>107</v>
      </c>
      <c r="B11" s="32">
        <v>5642.9858299999996</v>
      </c>
      <c r="C11" s="32">
        <v>86.070356914243135</v>
      </c>
      <c r="D11" s="32">
        <f>IF(6556.24774="","-",6556.24774/5891602.28837*100)</f>
        <v>0.11128123418890661</v>
      </c>
      <c r="E11" s="32">
        <f>IF(5642.98583="","-",5642.98583/5709381.88442*100)</f>
        <v>9.8837071056655276E-2</v>
      </c>
    </row>
    <row r="12" spans="1:7" x14ac:dyDescent="0.3">
      <c r="A12" s="30" t="s">
        <v>108</v>
      </c>
      <c r="B12" s="32">
        <v>399058.29362000001</v>
      </c>
      <c r="C12" s="32">
        <v>77.533009557920678</v>
      </c>
      <c r="D12" s="32">
        <f>IF(514694.70345="","-",514694.70345/5891602.28837*100)</f>
        <v>8.7360734526498049</v>
      </c>
      <c r="E12" s="32">
        <f>IF(399058.29362="","-",399058.29362/5709381.88442*100)</f>
        <v>6.9895183348825718</v>
      </c>
    </row>
    <row r="13" spans="1:7" x14ac:dyDescent="0.3">
      <c r="A13" s="30" t="s">
        <v>109</v>
      </c>
      <c r="B13" s="32">
        <v>39746.916669999999</v>
      </c>
      <c r="C13" s="32">
        <v>116.88370228034937</v>
      </c>
      <c r="D13" s="32">
        <f>IF(34005.52506="","-",34005.52506/5891602.28837*100)</f>
        <v>0.57718636451626704</v>
      </c>
      <c r="E13" s="32">
        <f>IF(39746.91667="","-",39746.91667/5709381.88442*100)</f>
        <v>0.69616847278096861</v>
      </c>
    </row>
    <row r="14" spans="1:7" x14ac:dyDescent="0.3">
      <c r="A14" s="17" t="s">
        <v>189</v>
      </c>
      <c r="B14" s="52">
        <v>2784763.5518399999</v>
      </c>
      <c r="C14" s="31">
        <v>102.4688193371924</v>
      </c>
      <c r="D14" s="31">
        <f>IF(2717669.20889="","-",2717669.20889/5891602.28837*100)</f>
        <v>46.127845633006629</v>
      </c>
      <c r="E14" s="31">
        <f>IF(2784763.55184="","-",2784763.55184/5709381.88442*100)</f>
        <v>48.775219598450384</v>
      </c>
    </row>
    <row r="15" spans="1:7" x14ac:dyDescent="0.3">
      <c r="A15" s="30" t="s">
        <v>114</v>
      </c>
      <c r="B15" s="41"/>
      <c r="C15" s="31"/>
      <c r="D15" s="31"/>
      <c r="E15" s="31"/>
    </row>
    <row r="16" spans="1:7" x14ac:dyDescent="0.3">
      <c r="A16" s="30" t="s">
        <v>103</v>
      </c>
      <c r="B16" s="32">
        <v>143283.54915000001</v>
      </c>
      <c r="C16" s="32">
        <v>104.50357882626078</v>
      </c>
      <c r="D16" s="32">
        <f>IF(137108.74858="","-",137108.74858/5891602.28837*100)</f>
        <v>2.3271894786695317</v>
      </c>
      <c r="E16" s="32">
        <f>IF(143283.54915="","-",143283.54915/5709381.88442*100)</f>
        <v>2.5096157876739364</v>
      </c>
    </row>
    <row r="17" spans="1:6" x14ac:dyDescent="0.3">
      <c r="A17" s="30" t="s">
        <v>104</v>
      </c>
      <c r="B17" s="32">
        <v>115223.52190000001</v>
      </c>
      <c r="C17" s="32">
        <v>77.359087687162514</v>
      </c>
      <c r="D17" s="32">
        <f>IF(148946.32983="","-",148946.32983/5891602.28837*100)</f>
        <v>2.5281124308750349</v>
      </c>
      <c r="E17" s="32">
        <f>IF(115223.5219="","-",115223.5219/5709381.88442*100)</f>
        <v>2.0181435439522231</v>
      </c>
    </row>
    <row r="18" spans="1:6" x14ac:dyDescent="0.3">
      <c r="A18" s="30" t="s">
        <v>105</v>
      </c>
      <c r="B18" s="32">
        <v>2367179.6702299998</v>
      </c>
      <c r="C18" s="32">
        <v>99.715140261423443</v>
      </c>
      <c r="D18" s="32">
        <f>IF(2373942.07542="","-",2373942.07542/5891602.28837*100)</f>
        <v>40.293657976645036</v>
      </c>
      <c r="E18" s="32">
        <f>IF(2367179.67023="","-",2367179.67023/5709381.88442*100)</f>
        <v>41.461225017889568</v>
      </c>
    </row>
    <row r="19" spans="1:6" x14ac:dyDescent="0.3">
      <c r="A19" s="30" t="s">
        <v>106</v>
      </c>
      <c r="B19" s="32">
        <v>23852.465179999999</v>
      </c>
      <c r="C19" s="32">
        <v>105.59538608905234</v>
      </c>
      <c r="D19" s="32">
        <f>IF(22588.54867="","-",22588.54867/5891602.28837*100)</f>
        <v>0.38340246955551815</v>
      </c>
      <c r="E19" s="32">
        <f>IF(23852.46518="","-",23852.46518/5709381.88442*100)</f>
        <v>0.41777666414449532</v>
      </c>
    </row>
    <row r="20" spans="1:6" x14ac:dyDescent="0.3">
      <c r="A20" s="30" t="s">
        <v>107</v>
      </c>
      <c r="B20" s="32">
        <v>3720.8475100000001</v>
      </c>
      <c r="C20" s="32">
        <v>89.275898427369981</v>
      </c>
      <c r="D20" s="32">
        <f>IF(4167.80741="","-",4167.80741/5891602.28837*100)</f>
        <v>7.0741492823221203E-2</v>
      </c>
      <c r="E20" s="32">
        <f>IF(3720.84751="","-",3720.84751/5709381.88442*100)</f>
        <v>6.5170759030037981E-2</v>
      </c>
    </row>
    <row r="21" spans="1:6" x14ac:dyDescent="0.3">
      <c r="A21" s="30" t="s">
        <v>108</v>
      </c>
      <c r="B21" s="32">
        <v>95923.382400000002</v>
      </c>
      <c r="C21" s="32" t="s">
        <v>292</v>
      </c>
      <c r="D21" s="76" t="s">
        <v>292</v>
      </c>
      <c r="E21" s="32">
        <f>IF(95923.3824="","-",95923.3824/5709381.88442*100)</f>
        <v>1.6801010046597116</v>
      </c>
    </row>
    <row r="22" spans="1:6" x14ac:dyDescent="0.3">
      <c r="A22" s="30" t="s">
        <v>109</v>
      </c>
      <c r="B22" s="32">
        <v>35580.115469999997</v>
      </c>
      <c r="C22" s="32">
        <v>115.08753366054411</v>
      </c>
      <c r="D22" s="32">
        <f>IF(30915.69898="","-",30915.69898/5891602.28837*100)</f>
        <v>0.52474178443829234</v>
      </c>
      <c r="E22" s="32">
        <f>IF(35580.11547="","-",35580.11547/5709381.88442*100)</f>
        <v>0.62318682110041546</v>
      </c>
      <c r="F22" s="31"/>
    </row>
    <row r="23" spans="1:6" x14ac:dyDescent="0.3">
      <c r="A23" s="17" t="s">
        <v>190</v>
      </c>
      <c r="B23" s="31">
        <v>1075062.09775</v>
      </c>
      <c r="C23" s="77">
        <v>71.947999447913631</v>
      </c>
      <c r="D23" s="31">
        <f>IF(1494220.97348="","-",1494220.97348/5891602.28837*100)</f>
        <v>25.361877810890022</v>
      </c>
      <c r="E23" s="31">
        <f>IF(1075062.09775="","-",1075062.09775/5709381.88442*100)</f>
        <v>18.829745837875628</v>
      </c>
      <c r="F23" s="31"/>
    </row>
    <row r="24" spans="1:6" x14ac:dyDescent="0.3">
      <c r="A24" s="30" t="s">
        <v>114</v>
      </c>
      <c r="B24" s="31"/>
      <c r="C24" s="41"/>
      <c r="D24" s="31"/>
      <c r="E24" s="31"/>
      <c r="F24" s="32"/>
    </row>
    <row r="25" spans="1:6" x14ac:dyDescent="0.3">
      <c r="A25" s="30" t="s">
        <v>103</v>
      </c>
      <c r="B25" s="32">
        <v>76516.519339999999</v>
      </c>
      <c r="C25" s="41">
        <v>65.259269184499473</v>
      </c>
      <c r="D25" s="32">
        <f>IF(117250.04018="","-",117250.04018/5891602.28837*100)</f>
        <v>1.9901214379567187</v>
      </c>
      <c r="E25" s="32">
        <f>IF(76516.51934="","-",76516.51934/5709381.88442*100)</f>
        <v>1.3401891989183887</v>
      </c>
      <c r="F25" s="32"/>
    </row>
    <row r="26" spans="1:6" x14ac:dyDescent="0.3">
      <c r="A26" s="30" t="s">
        <v>104</v>
      </c>
      <c r="B26" s="32">
        <v>101394.0499</v>
      </c>
      <c r="C26" s="41">
        <v>76.266773379661529</v>
      </c>
      <c r="D26" s="32">
        <f>IF(132946.55773="","-",132946.55773/5891602.28837*100)</f>
        <v>2.2565433174679148</v>
      </c>
      <c r="E26" s="32">
        <f>IF(101394.0499="","-",101394.0499/5709381.88442*100)</f>
        <v>1.7759199148455689</v>
      </c>
      <c r="F26" s="32"/>
    </row>
    <row r="27" spans="1:6" x14ac:dyDescent="0.3">
      <c r="A27" s="30" t="s">
        <v>105</v>
      </c>
      <c r="B27" s="32">
        <v>580608.53286000004</v>
      </c>
      <c r="C27" s="41">
        <v>80.963605597341342</v>
      </c>
      <c r="D27" s="32">
        <f>IF(717122.87092="","-",717122.87092/5891602.28837*100)</f>
        <v>12.17194976544153</v>
      </c>
      <c r="E27" s="32">
        <f>IF(580608.53286="","-",580608.53286/5709381.88442*100)</f>
        <v>10.169376381082317</v>
      </c>
      <c r="F27" s="32"/>
    </row>
    <row r="28" spans="1:6" x14ac:dyDescent="0.3">
      <c r="A28" s="30" t="s">
        <v>106</v>
      </c>
      <c r="B28" s="32">
        <v>13211.757670000001</v>
      </c>
      <c r="C28" s="41">
        <v>116.69719706060089</v>
      </c>
      <c r="D28" s="32">
        <f>IF(11321.40103="","-",11321.40103/5891602.28837*100)</f>
        <v>0.19216166461793258</v>
      </c>
      <c r="E28" s="32">
        <f>IF(13211.75767="","-",13211.75767/5709381.88442*100)</f>
        <v>0.23140434354291134</v>
      </c>
      <c r="F28" s="32"/>
    </row>
    <row r="29" spans="1:6" x14ac:dyDescent="0.3">
      <c r="A29" s="30" t="s">
        <v>107</v>
      </c>
      <c r="B29" s="32">
        <v>40.627929999999999</v>
      </c>
      <c r="C29" s="41">
        <v>16.75373789658083</v>
      </c>
      <c r="D29" s="32">
        <f>IF(242.50069="","-",242.50069/5891602.28837*100)</f>
        <v>4.1160397143353584E-3</v>
      </c>
      <c r="E29" s="32">
        <f>IF(40.62793="","-",40.62793/5709381.88442*100)</f>
        <v>7.1159944845986206E-4</v>
      </c>
      <c r="F29" s="32"/>
    </row>
    <row r="30" spans="1:6" x14ac:dyDescent="0.3">
      <c r="A30" s="30" t="s">
        <v>108</v>
      </c>
      <c r="B30" s="32">
        <v>303134.91122000001</v>
      </c>
      <c r="C30" s="41">
        <v>58.896061915556132</v>
      </c>
      <c r="D30" s="32">
        <f>IF(514694.70345="","-",514694.70345/5891602.28837*100)</f>
        <v>8.7360734526498049</v>
      </c>
      <c r="E30" s="32">
        <f>IF(303134.91122="","-",303134.91122/5709381.88442*100)</f>
        <v>5.3094173302228604</v>
      </c>
    </row>
    <row r="31" spans="1:6" x14ac:dyDescent="0.3">
      <c r="A31" s="30" t="s">
        <v>109</v>
      </c>
      <c r="B31" s="32">
        <v>155.69882999999999</v>
      </c>
      <c r="C31" s="44">
        <v>24.218223041648749</v>
      </c>
      <c r="D31" s="32">
        <f>IF(642.89948="","-",642.89948/5891602.28837*100)</f>
        <v>1.0912133041788667E-2</v>
      </c>
      <c r="E31" s="32">
        <f>IF(155.69883="","-",155.69883/5709381.88442*100)</f>
        <v>2.7270698151209234E-3</v>
      </c>
    </row>
    <row r="32" spans="1:6" x14ac:dyDescent="0.3">
      <c r="A32" s="17" t="s">
        <v>191</v>
      </c>
      <c r="B32" s="52">
        <v>1849556.23483</v>
      </c>
      <c r="C32" s="31">
        <v>110.11150233562704</v>
      </c>
      <c r="D32" s="31">
        <f>IF(1679712.106="","-",1679712.106/5891602.28837*100)</f>
        <v>28.510276556103335</v>
      </c>
      <c r="E32" s="31">
        <f>IF(1849556.23483="","-",1849556.23483/5709381.88442*100)</f>
        <v>32.395034563673988</v>
      </c>
    </row>
    <row r="33" spans="1:7" x14ac:dyDescent="0.3">
      <c r="A33" s="30" t="s">
        <v>114</v>
      </c>
      <c r="B33" s="41"/>
      <c r="C33" s="31"/>
      <c r="D33" s="31"/>
      <c r="E33" s="31"/>
    </row>
    <row r="34" spans="1:7" x14ac:dyDescent="0.3">
      <c r="A34" s="30" t="s">
        <v>103</v>
      </c>
      <c r="B34" s="32">
        <v>221878.66821999999</v>
      </c>
      <c r="C34" s="32">
        <v>122.6085425807638</v>
      </c>
      <c r="D34" s="32">
        <f>IF(180965.09717="","-",180965.09717/5891602.28837*100)</f>
        <v>3.0715769380296494</v>
      </c>
      <c r="E34" s="32">
        <f>IF(221878.66822="","-",221878.66822/5709381.88442*100)</f>
        <v>3.8862117250463095</v>
      </c>
    </row>
    <row r="35" spans="1:7" x14ac:dyDescent="0.3">
      <c r="A35" s="30" t="s">
        <v>104</v>
      </c>
      <c r="B35" s="32">
        <v>8411.2509599999994</v>
      </c>
      <c r="C35" s="32" t="s">
        <v>349</v>
      </c>
      <c r="D35" s="32">
        <f>IF(1158.7858="","-",1158.7858/5891602.28837*100)</f>
        <v>1.9668432173153283E-2</v>
      </c>
      <c r="E35" s="32">
        <f>IF(8411.25096="","-",8411.25096/5709381.88442*100)</f>
        <v>0.14732332028713951</v>
      </c>
    </row>
    <row r="36" spans="1:7" x14ac:dyDescent="0.3">
      <c r="A36" s="30" t="s">
        <v>105</v>
      </c>
      <c r="B36" s="32">
        <v>1545007.2262500001</v>
      </c>
      <c r="C36" s="32">
        <v>107.91715170951788</v>
      </c>
      <c r="D36" s="32">
        <f>IF(1431660.49305="","-",1431660.49305/5891602.28837*100)</f>
        <v>24.300019298249172</v>
      </c>
      <c r="E36" s="32">
        <f>IF(1545007.22625="","-",1545007.22625/5709381.88442*100)</f>
        <v>27.060849274526205</v>
      </c>
    </row>
    <row r="37" spans="1:7" x14ac:dyDescent="0.3">
      <c r="A37" s="30" t="s">
        <v>106</v>
      </c>
      <c r="B37" s="32">
        <v>68366.476639999993</v>
      </c>
      <c r="C37" s="32">
        <v>111.46430018954175</v>
      </c>
      <c r="D37" s="32">
        <f>IF(61334.86374="","-",61334.86374/5891602.28837*100)</f>
        <v>1.0410557389638262</v>
      </c>
      <c r="E37" s="32">
        <f>IF(68366.47664="","-",68366.47664/5709381.88442*100)</f>
        <v>1.1974409493707416</v>
      </c>
    </row>
    <row r="38" spans="1:7" x14ac:dyDescent="0.3">
      <c r="A38" s="30" t="s">
        <v>107</v>
      </c>
      <c r="B38" s="32">
        <v>1881.5103899999999</v>
      </c>
      <c r="C38" s="32">
        <v>87.677693954150541</v>
      </c>
      <c r="D38" s="32">
        <f>IF(2145.93964="","-",2145.93964/5891602.28837*100)</f>
        <v>3.6423701651350032E-2</v>
      </c>
      <c r="E38" s="32">
        <f>IF(1881.51039="","-",1881.51039/5709381.88442*100)</f>
        <v>3.2954712578157436E-2</v>
      </c>
    </row>
    <row r="39" spans="1:7" x14ac:dyDescent="0.3">
      <c r="A39" s="46" t="s">
        <v>109</v>
      </c>
      <c r="B39" s="35">
        <v>4011.1023700000001</v>
      </c>
      <c r="C39" s="35" t="s">
        <v>99</v>
      </c>
      <c r="D39" s="35">
        <f>IF(2446.9266="","-",2446.9266/5891602.28837*100)</f>
        <v>4.1532447036186117E-2</v>
      </c>
      <c r="E39" s="35">
        <f>IF(4011.10237="","-",4011.10237/5709381.88442*100)</f>
        <v>7.0254581865432125E-2</v>
      </c>
    </row>
    <row r="40" spans="1:7" s="28" customFormat="1" ht="14.25" customHeight="1" x14ac:dyDescent="0.2">
      <c r="A40" s="50" t="s">
        <v>18</v>
      </c>
      <c r="B40" s="27"/>
      <c r="C40" s="27"/>
      <c r="D40" s="27"/>
      <c r="E40" s="27"/>
      <c r="F40" s="51"/>
      <c r="G40" s="51"/>
    </row>
  </sheetData>
  <mergeCells count="5">
    <mergeCell ref="A1:E1"/>
    <mergeCell ref="A3:A4"/>
    <mergeCell ref="B3:C3"/>
    <mergeCell ref="D3:E3"/>
    <mergeCell ref="A2:E2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K82"/>
  <sheetViews>
    <sheetView zoomScaleNormal="100" workbookViewId="0">
      <selection activeCell="B1" sqref="B1:H1"/>
    </sheetView>
  </sheetViews>
  <sheetFormatPr defaultRowHeight="15.6" x14ac:dyDescent="0.3"/>
  <cols>
    <col min="1" max="1" width="4.59765625" style="42" customWidth="1"/>
    <col min="2" max="2" width="26.09765625" style="42" customWidth="1"/>
    <col min="3" max="3" width="10.5" style="42" customWidth="1"/>
    <col min="4" max="4" width="9.8984375" style="42" customWidth="1"/>
    <col min="5" max="6" width="8" style="42" customWidth="1"/>
    <col min="7" max="7" width="10" style="42" customWidth="1"/>
    <col min="8" max="8" width="9.69921875" style="42" customWidth="1"/>
    <col min="9" max="11" width="9" style="42"/>
  </cols>
  <sheetData>
    <row r="1" spans="1:11" s="49" customFormat="1" ht="13.2" x14ac:dyDescent="0.25">
      <c r="A1" s="48"/>
      <c r="B1" s="92" t="s">
        <v>341</v>
      </c>
      <c r="C1" s="92"/>
      <c r="D1" s="92"/>
      <c r="E1" s="92"/>
      <c r="F1" s="92"/>
      <c r="G1" s="92"/>
      <c r="H1" s="92"/>
      <c r="I1" s="48"/>
      <c r="J1" s="48"/>
      <c r="K1" s="48"/>
    </row>
    <row r="2" spans="1:11" s="49" customFormat="1" ht="13.2" x14ac:dyDescent="0.25">
      <c r="A2" s="48"/>
      <c r="B2" s="92" t="s">
        <v>267</v>
      </c>
      <c r="C2" s="92"/>
      <c r="D2" s="92"/>
      <c r="E2" s="92"/>
      <c r="F2" s="92"/>
      <c r="G2" s="92"/>
      <c r="H2" s="92"/>
      <c r="I2" s="48"/>
      <c r="J2" s="48"/>
      <c r="K2" s="48"/>
    </row>
    <row r="3" spans="1:11" x14ac:dyDescent="0.3">
      <c r="A3" s="102"/>
      <c r="B3" s="102"/>
      <c r="C3" s="102"/>
      <c r="D3" s="102"/>
      <c r="E3" s="102"/>
      <c r="F3" s="102"/>
      <c r="G3" s="102"/>
      <c r="H3" s="102"/>
    </row>
    <row r="4" spans="1:11" ht="57.75" customHeight="1" x14ac:dyDescent="0.3">
      <c r="A4" s="96" t="s">
        <v>193</v>
      </c>
      <c r="B4" s="98"/>
      <c r="C4" s="85" t="s">
        <v>360</v>
      </c>
      <c r="D4" s="86"/>
      <c r="E4" s="87" t="s">
        <v>0</v>
      </c>
      <c r="F4" s="88"/>
      <c r="G4" s="100" t="s">
        <v>343</v>
      </c>
      <c r="H4" s="101"/>
    </row>
    <row r="5" spans="1:11" ht="46.5" customHeight="1" x14ac:dyDescent="0.3">
      <c r="A5" s="97"/>
      <c r="B5" s="99"/>
      <c r="C5" s="15" t="s">
        <v>94</v>
      </c>
      <c r="D5" s="14" t="s">
        <v>375</v>
      </c>
      <c r="E5" s="15" t="s">
        <v>361</v>
      </c>
      <c r="F5" s="15" t="s">
        <v>362</v>
      </c>
      <c r="G5" s="15" t="s">
        <v>369</v>
      </c>
      <c r="H5" s="13" t="s">
        <v>370</v>
      </c>
    </row>
    <row r="6" spans="1:11" s="49" customFormat="1" ht="16.5" customHeight="1" x14ac:dyDescent="0.25">
      <c r="A6" s="61"/>
      <c r="B6" s="62" t="s">
        <v>95</v>
      </c>
      <c r="C6" s="63">
        <v>2667989.8523599999</v>
      </c>
      <c r="D6" s="43">
        <f>IF(2959029.60112="","-",2667989.85236/2959029.60112*100)</f>
        <v>90.164351561409163</v>
      </c>
      <c r="E6" s="43">
        <v>100</v>
      </c>
      <c r="F6" s="43">
        <v>100</v>
      </c>
      <c r="G6" s="43">
        <f>IF(1808523.91457="","-",(2959029.60112-1808523.91457)/1808523.91457*100)</f>
        <v>63.615729782790694</v>
      </c>
      <c r="H6" s="43">
        <f>IF(2959029.60112="","-",(2667989.85236-2959029.60112)/2959029.60112*100)</f>
        <v>-9.8356484385908356</v>
      </c>
      <c r="I6" s="48"/>
      <c r="J6" s="48"/>
      <c r="K6" s="48"/>
    </row>
    <row r="7" spans="1:11" s="49" customFormat="1" ht="14.25" customHeight="1" x14ac:dyDescent="0.25">
      <c r="A7" s="69"/>
      <c r="B7" s="78" t="s">
        <v>403</v>
      </c>
      <c r="C7" s="18"/>
      <c r="D7" s="31"/>
      <c r="E7" s="31"/>
      <c r="F7" s="31"/>
      <c r="G7" s="31"/>
      <c r="H7" s="31"/>
      <c r="I7" s="48"/>
      <c r="J7" s="48"/>
      <c r="K7" s="48"/>
    </row>
    <row r="8" spans="1:11" x14ac:dyDescent="0.3">
      <c r="A8" s="53" t="s">
        <v>194</v>
      </c>
      <c r="B8" s="54" t="s">
        <v>166</v>
      </c>
      <c r="C8" s="18">
        <v>549265.36974999995</v>
      </c>
      <c r="D8" s="31">
        <f>IF(702958.00642="","-",549265.36975/702958.00642*100)</f>
        <v>78.136299001312963</v>
      </c>
      <c r="E8" s="31">
        <f>IF(702958.00642="","-",702958.00642/2959029.60112*100)</f>
        <v>23.756369525804296</v>
      </c>
      <c r="F8" s="31">
        <f>IF(549265.36975="","-",549265.36975/2667989.85236*100)</f>
        <v>20.587236089527895</v>
      </c>
      <c r="G8" s="31">
        <f>IF(1808523.91457="","-",(702958.00642-370617.30668)/1808523.91457*100)</f>
        <v>18.376350849583226</v>
      </c>
      <c r="H8" s="31">
        <f>IF(2959029.60112="","-",(549265.36975-702958.00642)/2959029.60112*100)</f>
        <v>-5.1940216012650566</v>
      </c>
    </row>
    <row r="9" spans="1:11" x14ac:dyDescent="0.3">
      <c r="A9" s="55" t="s">
        <v>195</v>
      </c>
      <c r="B9" s="56" t="s">
        <v>20</v>
      </c>
      <c r="C9" s="20">
        <v>6314.3254399999996</v>
      </c>
      <c r="D9" s="32">
        <f>IF(OR(4044.16056="",6314.32544=""),"-",6314.32544/4044.16056*100)</f>
        <v>156.13439047039219</v>
      </c>
      <c r="E9" s="32">
        <f>IF(4044.16056="","-",4044.16056/2959029.60112*100)</f>
        <v>0.13667185209871763</v>
      </c>
      <c r="F9" s="32">
        <f>IF(6314.32544="","-",6314.32544/2667989.85236*100)</f>
        <v>0.23666976972999326</v>
      </c>
      <c r="G9" s="32">
        <f>IF(OR(1808523.91457="",6461.95654="",4044.16056=""),"-",(4044.16056-6461.95654)/1808523.91457*100)</f>
        <v>-0.13368891395471885</v>
      </c>
      <c r="H9" s="32">
        <f>IF(OR(2959029.60112="",6314.32544="",4044.16056=""),"-",(6314.32544-4044.16056)/2959029.60112*100)</f>
        <v>7.6719911120211065E-2</v>
      </c>
      <c r="I9" s="53"/>
    </row>
    <row r="10" spans="1:11" x14ac:dyDescent="0.3">
      <c r="A10" s="55" t="s">
        <v>196</v>
      </c>
      <c r="B10" s="56" t="s">
        <v>167</v>
      </c>
      <c r="C10" s="20">
        <v>2347.1808299999998</v>
      </c>
      <c r="D10" s="32">
        <f>IF(OR(2411.66861="",2347.18083=""),"-",2347.18083/2411.66861*100)</f>
        <v>97.326009894866928</v>
      </c>
      <c r="E10" s="32">
        <f>IF(2411.66861="","-",2411.66861/2959029.60112*100)</f>
        <v>8.1502010290372823E-2</v>
      </c>
      <c r="F10" s="32">
        <f>IF(2347.18083="","-",2347.18083/2667989.85236*100)</f>
        <v>8.7975628090330826E-2</v>
      </c>
      <c r="G10" s="32">
        <f>IF(OR(1808523.91457="",4711.27935="",2411.66861=""),"-",(2411.66861-4711.27935)/1808523.91457*100)</f>
        <v>-0.12715401336270202</v>
      </c>
      <c r="H10" s="32">
        <f>IF(OR(2959029.60112="",2347.18083="",2411.66861=""),"-",(2347.18083-2411.66861)/2959029.60112*100)</f>
        <v>-2.1793556906491104E-3</v>
      </c>
      <c r="I10" s="55"/>
    </row>
    <row r="11" spans="1:11" s="2" customFormat="1" x14ac:dyDescent="0.3">
      <c r="A11" s="55" t="s">
        <v>197</v>
      </c>
      <c r="B11" s="56" t="s">
        <v>168</v>
      </c>
      <c r="C11" s="20">
        <v>12400.45523</v>
      </c>
      <c r="D11" s="32">
        <f>IF(OR(10992.80221="",12400.45523=""),"-",12400.45523/10992.80221*100)</f>
        <v>112.80522466527667</v>
      </c>
      <c r="E11" s="32">
        <f>IF(10992.80221="","-",10992.80221/2959029.60112*100)</f>
        <v>0.37150024473696369</v>
      </c>
      <c r="F11" s="32">
        <f>IF(12400.45523="","-",12400.45523/2667989.85236*100)</f>
        <v>0.46478644658378437</v>
      </c>
      <c r="G11" s="32">
        <f>IF(OR(1808523.91457="",7748.23593="",10992.80221=""),"-",(10992.80221-7748.23593)/1808523.91457*100)</f>
        <v>0.17940411259485267</v>
      </c>
      <c r="H11" s="32">
        <f>IF(OR(2959029.60112="",12400.45523="",10992.80221=""),"-",(12400.45523-10992.80221)/2959029.60112*100)</f>
        <v>4.7571440970620896E-2</v>
      </c>
      <c r="I11" s="55"/>
      <c r="J11" s="24"/>
      <c r="K11" s="24"/>
    </row>
    <row r="12" spans="1:11" s="2" customFormat="1" x14ac:dyDescent="0.3">
      <c r="A12" s="55" t="s">
        <v>198</v>
      </c>
      <c r="B12" s="56" t="s">
        <v>169</v>
      </c>
      <c r="C12" s="20">
        <v>214.27247</v>
      </c>
      <c r="D12" s="32" t="s">
        <v>301</v>
      </c>
      <c r="E12" s="32">
        <f>IF(56.98734="","-",56.98734/2959029.60112*100)</f>
        <v>1.9258793483657669E-3</v>
      </c>
      <c r="F12" s="32">
        <f>IF(214.27247="","-",214.27247/2667989.85236*100)</f>
        <v>8.0312325704860882E-3</v>
      </c>
      <c r="G12" s="32">
        <f>IF(OR(1808523.91457="",39.54038="",56.98734=""),"-",(56.98734-39.54038)/1808523.91457*100)</f>
        <v>9.6470717691052722E-4</v>
      </c>
      <c r="H12" s="32">
        <f>IF(OR(2959029.60112="",214.27247="",56.98734=""),"-",(214.27247-56.98734)/2959029.60112*100)</f>
        <v>5.3154294212017063E-3</v>
      </c>
      <c r="I12" s="55"/>
      <c r="J12" s="24"/>
      <c r="K12" s="24"/>
    </row>
    <row r="13" spans="1:11" s="2" customFormat="1" ht="22.8" x14ac:dyDescent="0.3">
      <c r="A13" s="55" t="s">
        <v>199</v>
      </c>
      <c r="B13" s="56" t="s">
        <v>170</v>
      </c>
      <c r="C13" s="20">
        <v>250669.35255000001</v>
      </c>
      <c r="D13" s="32">
        <f>IF(OR(384027.58534="",250669.35255=""),"-",250669.35255/384027.58534*100)</f>
        <v>65.273788165000994</v>
      </c>
      <c r="E13" s="32">
        <f>IF(384027.58534="","-",384027.58534/2959029.60112*100)</f>
        <v>12.978159637018996</v>
      </c>
      <c r="F13" s="32">
        <f>IF(250669.35255="","-",250669.35255/2667989.85236*100)</f>
        <v>9.3954387543216349</v>
      </c>
      <c r="G13" s="32">
        <f>IF(OR(1808523.91457="",147338.79637="",384027.58534=""),"-",(384027.58534-147338.79637)/1808523.91457*100)</f>
        <v>13.087401668463745</v>
      </c>
      <c r="H13" s="32">
        <f>IF(OR(2959029.60112="",250669.35255="",384027.58534=""),"-",(250669.35255-384027.58534)/2959029.60112*100)</f>
        <v>-4.5068232078355548</v>
      </c>
      <c r="I13" s="55"/>
      <c r="J13" s="24"/>
      <c r="K13" s="24"/>
    </row>
    <row r="14" spans="1:11" s="2" customFormat="1" x14ac:dyDescent="0.3">
      <c r="A14" s="55" t="s">
        <v>200</v>
      </c>
      <c r="B14" s="56" t="s">
        <v>171</v>
      </c>
      <c r="C14" s="20">
        <v>207701.17240000001</v>
      </c>
      <c r="D14" s="32">
        <f>IF(OR(234008.64793="",207701.1724=""),"-",207701.1724/234008.64793*100)</f>
        <v>88.757904563480295</v>
      </c>
      <c r="E14" s="32">
        <f>IF(234008.64793="","-",234008.64793/2959029.60112*100)</f>
        <v>7.908290198970203</v>
      </c>
      <c r="F14" s="32">
        <f>IF(207701.1724="","-",207701.1724/2667989.85236*100)</f>
        <v>7.7849311239424557</v>
      </c>
      <c r="G14" s="32">
        <f>IF(OR(1808523.91457="",172537.58392="",234008.64793=""),"-",(234008.64793-172537.58392)/1808523.91457*100)</f>
        <v>3.3989632934776837</v>
      </c>
      <c r="H14" s="32">
        <f>IF(OR(2959029.60112="",207701.1724="",234008.64793=""),"-",(207701.1724-234008.64793)/2959029.60112*100)</f>
        <v>-0.88905753156516432</v>
      </c>
      <c r="I14" s="55"/>
      <c r="J14" s="24"/>
      <c r="K14" s="24"/>
    </row>
    <row r="15" spans="1:11" s="2" customFormat="1" ht="22.8" x14ac:dyDescent="0.3">
      <c r="A15" s="55" t="s">
        <v>201</v>
      </c>
      <c r="B15" s="56" t="s">
        <v>129</v>
      </c>
      <c r="C15" s="20">
        <v>12728.1451</v>
      </c>
      <c r="D15" s="32">
        <f>IF(OR(15268.25789="",12728.1451=""),"-",12728.1451/15268.25789*100)</f>
        <v>83.363440621056995</v>
      </c>
      <c r="E15" s="32">
        <f>IF(15268.25789="","-",15268.25789/2959029.60112*100)</f>
        <v>0.51598868372999473</v>
      </c>
      <c r="F15" s="32">
        <f>IF(12728.1451="","-",12728.1451/2667989.85236*100)</f>
        <v>0.47706872230946373</v>
      </c>
      <c r="G15" s="32">
        <f>IF(OR(1808523.91457="",10522.9307="",15268.25789=""),"-",(15268.25789-10522.9307)/1808523.91457*100)</f>
        <v>0.2623867537371361</v>
      </c>
      <c r="H15" s="32">
        <f>IF(OR(2959029.60112="",12728.1451="",15268.25789=""),"-",(12728.1451-15268.25789)/2959029.60112*100)</f>
        <v>-8.5842763757367019E-2</v>
      </c>
      <c r="I15" s="55"/>
      <c r="J15" s="24"/>
      <c r="K15" s="24"/>
    </row>
    <row r="16" spans="1:11" s="2" customFormat="1" ht="22.8" x14ac:dyDescent="0.3">
      <c r="A16" s="55" t="s">
        <v>202</v>
      </c>
      <c r="B16" s="56" t="s">
        <v>172</v>
      </c>
      <c r="C16" s="20">
        <v>7440.7649700000002</v>
      </c>
      <c r="D16" s="32">
        <f>IF(OR(7083.10874="",7440.76497=""),"-",7440.76497/7083.10874*100)</f>
        <v>105.04942452711803</v>
      </c>
      <c r="E16" s="32">
        <f>IF(7083.10874="","-",7083.10874/2959029.60112*100)</f>
        <v>0.23937268952358659</v>
      </c>
      <c r="F16" s="32">
        <f>IF(7440.76497="","-",7440.76497/2667989.85236*100)</f>
        <v>0.27889030250314445</v>
      </c>
      <c r="G16" s="32">
        <f>IF(OR(1808523.91457="",6211.4466="",7083.10874=""),"-",(7083.10874-6211.4466)/1808523.91457*100)</f>
        <v>4.8197435100395036E-2</v>
      </c>
      <c r="H16" s="32">
        <f>IF(OR(2959029.60112="",7440.76497="",7083.10874=""),"-",(7440.76497-7083.10874)/2959029.60112*100)</f>
        <v>1.2086943296026061E-2</v>
      </c>
      <c r="I16" s="55"/>
      <c r="J16" s="24"/>
      <c r="K16" s="24"/>
    </row>
    <row r="17" spans="1:11" s="2" customFormat="1" ht="22.8" x14ac:dyDescent="0.3">
      <c r="A17" s="55" t="s">
        <v>203</v>
      </c>
      <c r="B17" s="56" t="s">
        <v>130</v>
      </c>
      <c r="C17" s="20">
        <v>42473.207159999998</v>
      </c>
      <c r="D17" s="32">
        <f>IF(OR(39526.38901="",42473.20716=""),"-",42473.20716/39526.38901*100)</f>
        <v>107.45531839312331</v>
      </c>
      <c r="E17" s="32">
        <f>IF(39526.38901="","-",39526.38901/2959029.60112*100)</f>
        <v>1.3357889017074775</v>
      </c>
      <c r="F17" s="32">
        <f>IF(42473.20716="","-",42473.20716/2667989.85236*100)</f>
        <v>1.5919553487967677</v>
      </c>
      <c r="G17" s="32">
        <f>IF(OR(1808523.91457="",11490.7167="",39526.38901=""),"-",(39526.38901-11490.7167)/1808523.91457*100)</f>
        <v>1.5501963830357113</v>
      </c>
      <c r="H17" s="32">
        <f>IF(OR(2959029.60112="",42473.20716="",39526.38901=""),"-",(42473.20716-39526.38901)/2959029.60112*100)</f>
        <v>9.9587315682297381E-2</v>
      </c>
      <c r="I17" s="55"/>
      <c r="J17" s="24"/>
      <c r="K17" s="24"/>
    </row>
    <row r="18" spans="1:11" s="2" customFormat="1" ht="22.8" x14ac:dyDescent="0.3">
      <c r="A18" s="55" t="s">
        <v>204</v>
      </c>
      <c r="B18" s="56" t="s">
        <v>173</v>
      </c>
      <c r="C18" s="20">
        <v>6976.4935999999998</v>
      </c>
      <c r="D18" s="32">
        <f>IF(OR(5538.39879="",6976.4936=""),"-",6976.4936/5538.39879*100)</f>
        <v>125.96589491888142</v>
      </c>
      <c r="E18" s="32">
        <f>IF(5538.39879="","-",5538.39879/2959029.60112*100)</f>
        <v>0.1871694283796182</v>
      </c>
      <c r="F18" s="32">
        <f>IF(6976.4936="","-",6976.4936/2667989.85236*100)</f>
        <v>0.26148876067983784</v>
      </c>
      <c r="G18" s="32">
        <f>IF(OR(1808523.91457="",3554.82019="",5538.39879=""),"-",(5538.39879-3554.82019)/1808523.91457*100)</f>
        <v>0.10967942331421268</v>
      </c>
      <c r="H18" s="32">
        <f>IF(OR(2959029.60112="",6976.4936="",5538.39879=""),"-",(6976.4936-5538.39879)/2959029.60112*100)</f>
        <v>4.8600217093322663E-2</v>
      </c>
      <c r="I18" s="55"/>
      <c r="J18" s="24"/>
      <c r="K18" s="24"/>
    </row>
    <row r="19" spans="1:11" s="2" customFormat="1" x14ac:dyDescent="0.3">
      <c r="A19" s="53" t="s">
        <v>205</v>
      </c>
      <c r="B19" s="54" t="s">
        <v>174</v>
      </c>
      <c r="C19" s="18">
        <v>141269.61785000001</v>
      </c>
      <c r="D19" s="31">
        <f>IF(114069.02246="","-",141269.61785/114069.02246*100)</f>
        <v>123.84573375259555</v>
      </c>
      <c r="E19" s="31">
        <f>IF(114069.02246="","-",114069.02246/2959029.60112*100)</f>
        <v>3.8549469872428648</v>
      </c>
      <c r="F19" s="31">
        <f>IF(141269.61785="","-",141269.61785/2667989.85236*100)</f>
        <v>5.294983327055701</v>
      </c>
      <c r="G19" s="31">
        <f>IF(1808523.91457="","-",(114069.02246-131077.36676)/1808523.91457*100)</f>
        <v>-0.94045448683181854</v>
      </c>
      <c r="H19" s="31">
        <f>IF(2959029.60112="","-",(141269.61785-114069.02246)/2959029.60112*100)</f>
        <v>0.91924039488163711</v>
      </c>
      <c r="I19" s="55"/>
      <c r="J19" s="24"/>
      <c r="K19" s="24"/>
    </row>
    <row r="20" spans="1:11" s="2" customFormat="1" x14ac:dyDescent="0.3">
      <c r="A20" s="55" t="s">
        <v>206</v>
      </c>
      <c r="B20" s="56" t="s">
        <v>175</v>
      </c>
      <c r="C20" s="20">
        <v>133683.00636999999</v>
      </c>
      <c r="D20" s="32">
        <f>IF(OR(107557.60768="",133683.00637=""),"-",133683.00637/107557.60768*100)</f>
        <v>124.28967997105975</v>
      </c>
      <c r="E20" s="32">
        <f>IF(107557.60768="","-",107557.60768/2959029.60112*100)</f>
        <v>3.6348946167787299</v>
      </c>
      <c r="F20" s="32">
        <f>IF(133683.00637="","-",133683.00637/2667989.85236*100)</f>
        <v>5.0106264928912383</v>
      </c>
      <c r="G20" s="32">
        <f>IF(OR(1808523.91457="",123162.38996="",107557.60768=""),"-",(107557.60768-123162.38996)/1808523.91457*100)</f>
        <v>-0.86284633309425918</v>
      </c>
      <c r="H20" s="32">
        <f>IF(OR(2959029.60112="",133683.00637="",107557.60768=""),"-",(133683.00637-107557.60768)/2959029.60112*100)</f>
        <v>0.88290426970083236</v>
      </c>
      <c r="I20" s="53"/>
      <c r="J20" s="24"/>
      <c r="K20" s="24"/>
    </row>
    <row r="21" spans="1:11" s="2" customFormat="1" x14ac:dyDescent="0.3">
      <c r="A21" s="55" t="s">
        <v>207</v>
      </c>
      <c r="B21" s="56" t="s">
        <v>176</v>
      </c>
      <c r="C21" s="20">
        <v>7586.6114799999996</v>
      </c>
      <c r="D21" s="32">
        <f>IF(OR(6511.41478="",7586.61148=""),"-",7586.61148/6511.41478*100)</f>
        <v>116.51248977875741</v>
      </c>
      <c r="E21" s="32">
        <f>IF(6511.41478="","-",6511.41478/2959029.60112*100)</f>
        <v>0.22005237046413506</v>
      </c>
      <c r="F21" s="32">
        <f>IF(7586.61148="","-",7586.61148/2667989.85236*100)</f>
        <v>0.284356834164462</v>
      </c>
      <c r="G21" s="32">
        <f>IF(OR(1808523.91457="",7914.9768="",6511.41478=""),"-",(6511.41478-7914.9768)/1808523.91457*100)</f>
        <v>-7.7608153737558694E-2</v>
      </c>
      <c r="H21" s="32">
        <f>IF(OR(2959029.60112="",7586.61148="",6511.41478=""),"-",(7586.61148-6511.41478)/2959029.60112*100)</f>
        <v>3.6336125180803702E-2</v>
      </c>
      <c r="I21" s="55"/>
      <c r="J21" s="24"/>
      <c r="K21" s="24"/>
    </row>
    <row r="22" spans="1:11" s="2" customFormat="1" ht="24" x14ac:dyDescent="0.3">
      <c r="A22" s="53" t="s">
        <v>208</v>
      </c>
      <c r="B22" s="54" t="s">
        <v>21</v>
      </c>
      <c r="C22" s="18">
        <v>220158.67004999999</v>
      </c>
      <c r="D22" s="31">
        <f>IF(363306.79062="","-",220158.67005/363306.79062*100)</f>
        <v>60.598556298463059</v>
      </c>
      <c r="E22" s="31">
        <f>IF(363306.79062="","-",363306.79062/2959029.60112*100)</f>
        <v>12.277903218084992</v>
      </c>
      <c r="F22" s="31">
        <f>IF(220158.67005="","-",220158.67005/2667989.85236*100)</f>
        <v>8.2518556003972883</v>
      </c>
      <c r="G22" s="31">
        <f>IF(1808523.91457="","-",(363306.79062-187153.82726)/1808523.91457*100)</f>
        <v>9.7401511774801524</v>
      </c>
      <c r="H22" s="31">
        <f>IF(2959029.60112="","-",(220158.67005-363306.79062)/2959029.60112*100)</f>
        <v>-4.8376711242029513</v>
      </c>
      <c r="I22" s="55"/>
      <c r="J22" s="24"/>
      <c r="K22" s="24"/>
    </row>
    <row r="23" spans="1:11" s="2" customFormat="1" x14ac:dyDescent="0.3">
      <c r="A23" s="55" t="s">
        <v>209</v>
      </c>
      <c r="B23" s="56" t="s">
        <v>183</v>
      </c>
      <c r="C23" s="20">
        <v>889.10536999999999</v>
      </c>
      <c r="D23" s="32">
        <f>IF(OR(847.87945="",889.10537=""),"-",889.10537/847.87945*100)</f>
        <v>104.86223837598612</v>
      </c>
      <c r="E23" s="32">
        <f>IF(847.87945="","-",847.87945/2959029.60112*100)</f>
        <v>2.8653969858195252E-2</v>
      </c>
      <c r="F23" s="32">
        <f>IF(889.10537="","-",889.10537/2667989.85236*100)</f>
        <v>3.3324915730602644E-2</v>
      </c>
      <c r="G23" s="32">
        <f>IF(OR(1808523.91457="",881.74865="",847.87945=""),"-",(847.87945-881.74865)/1808523.91457*100)</f>
        <v>-1.8727537815308799E-3</v>
      </c>
      <c r="H23" s="32">
        <f>IF(OR(2959029.60112="",889.10537="",847.87945=""),"-",(889.10537-847.87945)/2959029.60112*100)</f>
        <v>1.3932243186886629E-3</v>
      </c>
      <c r="I23" s="53"/>
      <c r="J23" s="24"/>
      <c r="K23" s="24"/>
    </row>
    <row r="24" spans="1:11" s="2" customFormat="1" x14ac:dyDescent="0.3">
      <c r="A24" s="55" t="s">
        <v>210</v>
      </c>
      <c r="B24" s="56" t="s">
        <v>177</v>
      </c>
      <c r="C24" s="20">
        <v>171226.33403</v>
      </c>
      <c r="D24" s="32">
        <f>IF(OR(296812.72528="",171226.33403=""),"-",171226.33403/296812.72528*100)</f>
        <v>57.688339968737068</v>
      </c>
      <c r="E24" s="32">
        <f>IF(296812.72528="","-",296812.72528/2959029.60112*100)</f>
        <v>10.030745389220023</v>
      </c>
      <c r="F24" s="32">
        <f>IF(171226.33403="","-",171226.33403/2667989.85236*100)</f>
        <v>6.4178030466847487</v>
      </c>
      <c r="G24" s="32">
        <f>IF(OR(1808523.91457="",116753.47548="",296812.72528=""),"-",(296812.72528-116753.47548)/1808523.91457*100)</f>
        <v>9.9561442538519849</v>
      </c>
      <c r="H24" s="32">
        <f>IF(OR(2959029.60112="",171226.33403="",296812.72528=""),"-",(171226.33403-296812.72528)/2959029.60112*100)</f>
        <v>-4.2441748876883585</v>
      </c>
      <c r="I24" s="55"/>
      <c r="J24" s="24"/>
      <c r="K24" s="24"/>
    </row>
    <row r="25" spans="1:11" s="2" customFormat="1" ht="22.8" x14ac:dyDescent="0.3">
      <c r="A25" s="55" t="s">
        <v>263</v>
      </c>
      <c r="B25" s="56" t="s">
        <v>178</v>
      </c>
      <c r="C25" s="20">
        <v>20.307729999999999</v>
      </c>
      <c r="D25" s="32">
        <f>IF(OR(50.69014="",20.30773=""),"-",20.30773/50.69014*100)</f>
        <v>40.062485524798312</v>
      </c>
      <c r="E25" s="32">
        <f>IF(50.69014="","-",50.69014/2959029.60112*100)</f>
        <v>1.7130663370455526E-3</v>
      </c>
      <c r="F25" s="32">
        <f>IF(20.30773="","-",20.30773/2667989.85236*100)</f>
        <v>7.6116219040475632E-4</v>
      </c>
      <c r="G25" s="32">
        <f>IF(OR(1808523.91457="",0.54018="",50.69014=""),"-",(50.69014-0.54018)/1808523.91457*100)</f>
        <v>2.7729774318148181E-3</v>
      </c>
      <c r="H25" s="32">
        <f>IF(OR(2959029.60112="",20.30773="",50.69014=""),"-",(20.30773-50.69014)/2959029.60112*100)</f>
        <v>-1.0267693837364854E-3</v>
      </c>
      <c r="I25" s="55"/>
      <c r="J25" s="24"/>
      <c r="K25" s="24"/>
    </row>
    <row r="26" spans="1:11" s="2" customFormat="1" x14ac:dyDescent="0.3">
      <c r="A26" s="55" t="s">
        <v>211</v>
      </c>
      <c r="B26" s="56" t="s">
        <v>179</v>
      </c>
      <c r="C26" s="20">
        <v>2394.2453</v>
      </c>
      <c r="D26" s="32">
        <f>IF(OR(2299.78317="",2394.2453=""),"-",2394.2453/2299.78317*100)</f>
        <v>104.1074363545325</v>
      </c>
      <c r="E26" s="32">
        <f>IF(2299.78317="","-",2299.78317/2959029.60112*100)</f>
        <v>7.7720857173227562E-2</v>
      </c>
      <c r="F26" s="32">
        <f>IF(2394.2453="","-",2394.2453/2667989.85236*100)</f>
        <v>8.9739670406997388E-2</v>
      </c>
      <c r="G26" s="32">
        <f>IF(OR(1808523.91457="",1584.99115="",2299.78317=""),"-",(2299.78317-1584.99115)/1808523.91457*100)</f>
        <v>3.9523503905114311E-2</v>
      </c>
      <c r="H26" s="32">
        <f>IF(OR(2959029.60112="",2394.2453="",2299.78317=""),"-",(2394.2453-2299.78317)/2959029.60112*100)</f>
        <v>3.1923347425874262E-3</v>
      </c>
      <c r="I26" s="55"/>
      <c r="J26" s="24"/>
      <c r="K26" s="24"/>
    </row>
    <row r="27" spans="1:11" s="2" customFormat="1" x14ac:dyDescent="0.3">
      <c r="A27" s="55" t="s">
        <v>212</v>
      </c>
      <c r="B27" s="56" t="s">
        <v>131</v>
      </c>
      <c r="C27" s="20">
        <v>2237.9578900000001</v>
      </c>
      <c r="D27" s="32">
        <f>IF(OR(3550.02927="",2237.95789=""),"-",2237.95789/3550.02927*100)</f>
        <v>63.040547550189643</v>
      </c>
      <c r="E27" s="32">
        <f>IF(3550.02927="","-",3550.02927/2959029.60112*100)</f>
        <v>0.11997275284628128</v>
      </c>
      <c r="F27" s="32">
        <f>IF(2237.95789="","-",2237.95789/2667989.85236*100)</f>
        <v>8.3881799176274599E-2</v>
      </c>
      <c r="G27" s="32">
        <f>IF(OR(1808523.91457="",3344.7414="",3550.02927=""),"-",(3550.02927-3344.7414)/1808523.91457*100)</f>
        <v>1.1351128306689268E-2</v>
      </c>
      <c r="H27" s="32">
        <f>IF(OR(2959029.60112="",2237.95789="",3550.02927=""),"-",(2237.95789-3550.02927)/2959029.60112*100)</f>
        <v>-4.4341272540949835E-2</v>
      </c>
      <c r="I27" s="55"/>
      <c r="J27" s="24"/>
      <c r="K27" s="24"/>
    </row>
    <row r="28" spans="1:11" s="2" customFormat="1" ht="34.200000000000003" x14ac:dyDescent="0.3">
      <c r="A28" s="55" t="s">
        <v>213</v>
      </c>
      <c r="B28" s="56" t="s">
        <v>132</v>
      </c>
      <c r="C28" s="20">
        <v>195.69441</v>
      </c>
      <c r="D28" s="32" t="s">
        <v>278</v>
      </c>
      <c r="E28" s="32">
        <f>IF(69.69493="","-",69.69493/2959029.60112*100)</f>
        <v>2.3553306115498239E-3</v>
      </c>
      <c r="F28" s="32">
        <f>IF(195.69441="","-",195.69441/2667989.85236*100)</f>
        <v>7.3349008365566435E-3</v>
      </c>
      <c r="G28" s="32">
        <f>IF(OR(1808523.91457="",154.55913="",69.69493=""),"-",(69.69493-154.55913)/1808523.91457*100)</f>
        <v>-4.692456611511138E-3</v>
      </c>
      <c r="H28" s="32">
        <f>IF(OR(2959029.60112="",195.69441="",69.69493=""),"-",(195.69441-69.69493)/2959029.60112*100)</f>
        <v>4.2581351654038509E-3</v>
      </c>
      <c r="I28" s="55"/>
      <c r="J28" s="24"/>
      <c r="K28" s="24"/>
    </row>
    <row r="29" spans="1:11" s="2" customFormat="1" ht="34.200000000000003" x14ac:dyDescent="0.3">
      <c r="A29" s="55" t="s">
        <v>214</v>
      </c>
      <c r="B29" s="56" t="s">
        <v>133</v>
      </c>
      <c r="C29" s="20">
        <v>14994.08871</v>
      </c>
      <c r="D29" s="32">
        <f>IF(OR(12488.05907="",14994.08871=""),"-",14994.08871/12488.05907*100)</f>
        <v>120.06740700018166</v>
      </c>
      <c r="E29" s="32">
        <f>IF(12488.05907="","-",12488.05907/2959029.60112*100)</f>
        <v>0.42203224547916784</v>
      </c>
      <c r="F29" s="32">
        <f>IF(14994.08871="","-",14994.08871/2667989.85236*100)</f>
        <v>0.56199946550534341</v>
      </c>
      <c r="G29" s="32">
        <f>IF(OR(1808523.91457="",5336.47085="",12488.05907=""),"-",(12488.05907-5336.47085)/1808523.91457*100)</f>
        <v>0.39543785749166516</v>
      </c>
      <c r="H29" s="32">
        <f>IF(OR(2959029.60112="",14994.08871="",12488.05907=""),"-",(14994.08871-12488.05907)/2959029.60112*100)</f>
        <v>8.4690928372310376E-2</v>
      </c>
      <c r="I29" s="55"/>
      <c r="J29" s="24"/>
      <c r="K29" s="24"/>
    </row>
    <row r="30" spans="1:11" s="2" customFormat="1" ht="22.8" x14ac:dyDescent="0.3">
      <c r="A30" s="55" t="s">
        <v>215</v>
      </c>
      <c r="B30" s="56" t="s">
        <v>134</v>
      </c>
      <c r="C30" s="20">
        <v>24992.926340000002</v>
      </c>
      <c r="D30" s="32">
        <f>IF(OR(44813.57871="",24992.92634=""),"-",24992.92634/44813.57871*100)</f>
        <v>55.770878067416909</v>
      </c>
      <c r="E30" s="32">
        <f>IF(44813.57871="","-",44813.57871/2959029.60112*100)</f>
        <v>1.5144687533047305</v>
      </c>
      <c r="F30" s="32">
        <f>IF(24992.92634="","-",24992.92634/2667989.85236*100)</f>
        <v>0.93676991754268601</v>
      </c>
      <c r="G30" s="32">
        <f>IF(OR(1808523.91457="",56766.26735="",44813.57871=""),"-",(44813.57871-56766.26735)/1808523.91457*100)</f>
        <v>-0.66090852013101009</v>
      </c>
      <c r="H30" s="32">
        <f>IF(OR(2959029.60112="",24992.92634="",44813.57871=""),"-",(24992.92634-44813.57871)/2959029.60112*100)</f>
        <v>-0.66983623153002037</v>
      </c>
      <c r="I30" s="55"/>
      <c r="J30" s="24"/>
      <c r="K30" s="24"/>
    </row>
    <row r="31" spans="1:11" s="2" customFormat="1" ht="22.8" x14ac:dyDescent="0.3">
      <c r="A31" s="55" t="s">
        <v>216</v>
      </c>
      <c r="B31" s="56" t="s">
        <v>135</v>
      </c>
      <c r="C31" s="20">
        <v>3208.0102700000002</v>
      </c>
      <c r="D31" s="32">
        <f>IF(OR(2374.3506="",3208.01027=""),"-",3208.01027/2374.3506*100)</f>
        <v>135.11106026211968</v>
      </c>
      <c r="E31" s="32">
        <f>IF(2374.3506="","-",2374.3506/2959029.60112*100)</f>
        <v>8.0240853254773217E-2</v>
      </c>
      <c r="F31" s="32">
        <f>IF(3208.01027="","-",3208.01027/2667989.85236*100)</f>
        <v>0.12024072232367448</v>
      </c>
      <c r="G31" s="32">
        <f>IF(OR(1808523.91457="",2331.03307="",2374.3506=""),"-",(2374.3506-2331.03307)/1808523.91457*100)</f>
        <v>2.3951870169380404E-3</v>
      </c>
      <c r="H31" s="32">
        <f>IF(OR(2959029.60112="",3208.01027="",2374.3506=""),"-",(3208.01027-2374.3506)/2959029.60112*100)</f>
        <v>2.8173414341122437E-2</v>
      </c>
      <c r="I31" s="55"/>
      <c r="J31" s="24"/>
      <c r="K31" s="24"/>
    </row>
    <row r="32" spans="1:11" s="2" customFormat="1" ht="24" x14ac:dyDescent="0.3">
      <c r="A32" s="53" t="s">
        <v>217</v>
      </c>
      <c r="B32" s="54" t="s">
        <v>136</v>
      </c>
      <c r="C32" s="18">
        <v>346075.00555</v>
      </c>
      <c r="D32" s="31">
        <f>IF(337486.94611="","-",346075.00555/337486.94611*100)</f>
        <v>102.54470862917489</v>
      </c>
      <c r="E32" s="31">
        <f>IF(337486.94611="","-",337486.94611/2959029.60112*100)</f>
        <v>11.405325110038115</v>
      </c>
      <c r="F32" s="31">
        <f>IF(346075.00555="","-",346075.00555/2667989.85236*100)</f>
        <v>12.971376380756302</v>
      </c>
      <c r="G32" s="31">
        <f>IF(1808523.91457="","-",(337486.94611-14005.74533)/1808523.91457*100)</f>
        <v>17.886476267963083</v>
      </c>
      <c r="H32" s="31">
        <f>IF(2959029.60112="","-",(346075.00555-337486.94611)/2959029.60112*100)</f>
        <v>0.2902322922605905</v>
      </c>
      <c r="I32" s="55"/>
      <c r="J32" s="24"/>
      <c r="K32" s="24"/>
    </row>
    <row r="33" spans="1:11" s="2" customFormat="1" x14ac:dyDescent="0.3">
      <c r="A33" s="55" t="s">
        <v>218</v>
      </c>
      <c r="B33" s="56" t="s">
        <v>180</v>
      </c>
      <c r="C33" s="20">
        <v>116.41749</v>
      </c>
      <c r="D33" s="32">
        <f>IF(OR(687.53272="",116.41749=""),"-",116.41749/687.53272*100)</f>
        <v>16.93264722004794</v>
      </c>
      <c r="E33" s="32">
        <f>IF(687.53272="","-",687.53272/2959029.60112*100)</f>
        <v>2.3235074084414945E-2</v>
      </c>
      <c r="F33" s="32">
        <f>IF(116.41749="","-",116.41749/2667989.85236*100)</f>
        <v>4.363490734307765E-3</v>
      </c>
      <c r="G33" s="32">
        <f>IF(OR(1808523.91457="",379.90658="",687.53272=""),"-",(687.53272-379.90658)/1808523.91457*100)</f>
        <v>1.7009791107636091E-2</v>
      </c>
      <c r="H33" s="32">
        <f>IF(OR(2959029.60112="",116.41749="",687.53272=""),"-",(116.41749-687.53272)/2959029.60112*100)</f>
        <v>-1.9300760958384181E-2</v>
      </c>
      <c r="I33" s="53"/>
      <c r="J33" s="24"/>
      <c r="K33" s="24"/>
    </row>
    <row r="34" spans="1:11" s="2" customFormat="1" ht="22.8" x14ac:dyDescent="0.3">
      <c r="A34" s="55" t="s">
        <v>219</v>
      </c>
      <c r="B34" s="56" t="s">
        <v>137</v>
      </c>
      <c r="C34" s="20">
        <v>314541.09696</v>
      </c>
      <c r="D34" s="32">
        <f>IF(OR(322560.32283="",314541.09696=""),"-",314541.09696/322560.32283*100)</f>
        <v>97.513883356873237</v>
      </c>
      <c r="E34" s="32">
        <f>IF(322560.32283="","-",322560.32283/2959029.60112*100)</f>
        <v>10.900881921151115</v>
      </c>
      <c r="F34" s="32">
        <f>IF(314541.09696="","-",314541.09696/2667989.85236*100)</f>
        <v>11.789441278487967</v>
      </c>
      <c r="G34" s="32">
        <f>IF(OR(1808523.91457="",13621.97171="",322560.32283=""),"-",(322560.32283-13621.97171)/1808523.91457*100)</f>
        <v>17.08234813104222</v>
      </c>
      <c r="H34" s="32">
        <f>IF(OR(2959029.60112="",314541.09696="",322560.32283=""),"-",(314541.09696-322560.32283)/2959029.60112*100)</f>
        <v>-0.27100863968933353</v>
      </c>
      <c r="I34" s="55"/>
      <c r="J34" s="24"/>
      <c r="K34" s="24"/>
    </row>
    <row r="35" spans="1:11" s="2" customFormat="1" ht="22.8" x14ac:dyDescent="0.3">
      <c r="A35" s="57" t="s">
        <v>264</v>
      </c>
      <c r="B35" s="56" t="s">
        <v>286</v>
      </c>
      <c r="C35" s="20">
        <v>4259.9626200000002</v>
      </c>
      <c r="D35" s="32">
        <f>IF(OR(5603.18265="",4259.96262=""),"-",4259.96262/5603.18265*100)</f>
        <v>76.027552305474117</v>
      </c>
      <c r="E35" s="32">
        <f>IF(5603.18265="","-",5603.18265/2959029.60112*100)</f>
        <v>0.18935879005330605</v>
      </c>
      <c r="F35" s="32">
        <f>IF(4259.96262="","-",4259.96262/2667989.85236*100)</f>
        <v>0.15966937116465429</v>
      </c>
      <c r="G35" s="32" t="str">
        <f>IF(OR(1808523.91457="",""="",5603.18265=""),"-",(5603.18265-"")/1808523.91457*100)</f>
        <v>-</v>
      </c>
      <c r="H35" s="32">
        <f>IF(OR(2959029.60112="",4259.96262="",5603.18265=""),"-",(4259.96262-5603.18265)/2959029.60112*100)</f>
        <v>-4.539393690051588E-2</v>
      </c>
      <c r="I35" s="55"/>
      <c r="J35" s="24"/>
      <c r="K35" s="24"/>
    </row>
    <row r="36" spans="1:11" s="2" customFormat="1" x14ac:dyDescent="0.3">
      <c r="A36" s="55" t="s">
        <v>269</v>
      </c>
      <c r="B36" s="56" t="s">
        <v>270</v>
      </c>
      <c r="C36" s="20">
        <v>27157.528480000001</v>
      </c>
      <c r="D36" s="32" t="s">
        <v>379</v>
      </c>
      <c r="E36" s="32">
        <f>IF(8635.90791="","-",8635.90791/2959029.60112*100)</f>
        <v>0.29184932474927888</v>
      </c>
      <c r="F36" s="32">
        <f>IF(27157.52848="","-",27157.52848/2667989.85236*100)</f>
        <v>1.0179022403693743</v>
      </c>
      <c r="G36" s="32">
        <f>IF(OR(1808523.91457="",3.86704="",8635.90791=""),"-",(8635.90791-3.86704)/1808523.91457*100)</f>
        <v>0.47729757955964774</v>
      </c>
      <c r="H36" s="32">
        <f>IF(OR(2959029.60112="",27157.52848="",8635.90791=""),"-",(27157.52848-8635.90791)/2959029.60112*100)</f>
        <v>0.62593562980882389</v>
      </c>
      <c r="I36" s="55"/>
      <c r="J36" s="24"/>
      <c r="K36" s="24"/>
    </row>
    <row r="37" spans="1:11" s="2" customFormat="1" ht="24" x14ac:dyDescent="0.3">
      <c r="A37" s="53" t="s">
        <v>220</v>
      </c>
      <c r="B37" s="54" t="s">
        <v>138</v>
      </c>
      <c r="C37" s="18">
        <v>171778.84846000001</v>
      </c>
      <c r="D37" s="31">
        <f>IF(281122.60211="","-",171778.84846/281122.60211*100)</f>
        <v>61.104602465505408</v>
      </c>
      <c r="E37" s="31">
        <f>IF(281122.60211="","-",281122.60211/2959029.60112*100)</f>
        <v>9.5004998261455178</v>
      </c>
      <c r="F37" s="31">
        <f>IF(171778.84846="","-",171778.84846/2667989.85236*100)</f>
        <v>6.4385120621074003</v>
      </c>
      <c r="G37" s="31">
        <f>IF(1808523.91457="","-",(281122.60211-45042.77722)/1808523.91457*100)</f>
        <v>13.05372978416661</v>
      </c>
      <c r="H37" s="31">
        <f>IF(2959029.60112="","-",(171778.84846-281122.60211)/2959029.60112*100)</f>
        <v>-3.6952571751432663</v>
      </c>
      <c r="I37" s="55"/>
      <c r="J37" s="24"/>
      <c r="K37" s="24"/>
    </row>
    <row r="38" spans="1:11" s="2" customFormat="1" ht="13.5" customHeight="1" x14ac:dyDescent="0.3">
      <c r="A38" s="55" t="s">
        <v>221</v>
      </c>
      <c r="B38" s="56" t="s">
        <v>184</v>
      </c>
      <c r="C38" s="20">
        <v>1.9330099999999999</v>
      </c>
      <c r="D38" s="32">
        <f>IF(OR(1.59594="",1.93301=""),"-",1.93301/1.59594*100)</f>
        <v>121.1204681880271</v>
      </c>
      <c r="E38" s="32">
        <f>IF(1.59594="","-",1.59594/2959029.60112*100)</f>
        <v>5.3934573665499424E-5</v>
      </c>
      <c r="F38" s="32">
        <f>IF(1.93301="","-",1.93301/2667989.85236*100)</f>
        <v>7.2451924743646771E-5</v>
      </c>
      <c r="G38" s="32">
        <f>IF(OR(1808523.91457="",8.48682="",1.59594=""),"-",(1.59594-8.48682)/1808523.91457*100)</f>
        <v>-3.8102233232776444E-4</v>
      </c>
      <c r="H38" s="32">
        <f>IF(OR(2959029.60112="",1.93301="",1.59594=""),"-",(1.93301-1.59594)/2959029.60112*100)</f>
        <v>1.1391234473369858E-5</v>
      </c>
      <c r="I38" s="53"/>
      <c r="J38" s="24"/>
      <c r="K38" s="24"/>
    </row>
    <row r="39" spans="1:11" s="2" customFormat="1" ht="22.8" x14ac:dyDescent="0.3">
      <c r="A39" s="55" t="s">
        <v>222</v>
      </c>
      <c r="B39" s="56" t="s">
        <v>139</v>
      </c>
      <c r="C39" s="20">
        <v>171767.75304000001</v>
      </c>
      <c r="D39" s="32">
        <f>IF(OR(281108.8885="",171767.75304=""),"-",171767.75304/281108.8885*100)</f>
        <v>61.103636372565298</v>
      </c>
      <c r="E39" s="32">
        <f>IF(281108.8885="","-",281108.8885/2959029.60112*100)</f>
        <v>9.5000363765742524</v>
      </c>
      <c r="F39" s="32">
        <f>IF(171767.75304="","-",171767.75304/2667989.85236*100)</f>
        <v>6.4380961902108043</v>
      </c>
      <c r="G39" s="32">
        <f>IF(OR(1808523.91457="",45030.72807="",281108.8885=""),"-",(281108.8885-45030.72807)/1808523.91457*100)</f>
        <v>13.053637749995172</v>
      </c>
      <c r="H39" s="32">
        <f>IF(OR(2959029.60112="",171767.75304="",281108.8885=""),"-",(171767.75304-281108.8885)/2959029.60112*100)</f>
        <v>-3.6951686937708943</v>
      </c>
      <c r="I39" s="55"/>
      <c r="J39" s="24"/>
      <c r="K39" s="24"/>
    </row>
    <row r="40" spans="1:11" s="2" customFormat="1" ht="59.25" customHeight="1" x14ac:dyDescent="0.3">
      <c r="A40" s="55" t="s">
        <v>223</v>
      </c>
      <c r="B40" s="56" t="s">
        <v>182</v>
      </c>
      <c r="C40" s="20">
        <v>9.1624099999999995</v>
      </c>
      <c r="D40" s="32">
        <f>IF(OR(12.11767="",9.16241=""),"-",9.16241/12.11767*100)</f>
        <v>75.611978210332509</v>
      </c>
      <c r="E40" s="32">
        <f>IF(12.11767="","-",12.11767/2959029.60112*100)</f>
        <v>4.0951499759966697E-4</v>
      </c>
      <c r="F40" s="32">
        <f>IF(9.16241="","-",9.16241/2667989.85236*100)</f>
        <v>3.4341997185241498E-4</v>
      </c>
      <c r="G40" s="32">
        <f>IF(OR(1808523.91457="",3.56233="",12.11767=""),"-",(12.11767-3.56233)/1808523.91457*100)</f>
        <v>4.7305650376396286E-4</v>
      </c>
      <c r="H40" s="32">
        <f>IF(OR(2959029.60112="",9.16241="",12.11767=""),"-",(9.16241-12.11767)/2959029.60112*100)</f>
        <v>-9.9872606846563067E-5</v>
      </c>
      <c r="I40" s="55"/>
      <c r="J40" s="24"/>
      <c r="K40" s="24"/>
    </row>
    <row r="41" spans="1:11" s="2" customFormat="1" ht="24" x14ac:dyDescent="0.3">
      <c r="A41" s="53" t="s">
        <v>224</v>
      </c>
      <c r="B41" s="54" t="s">
        <v>140</v>
      </c>
      <c r="C41" s="18">
        <v>89381.902910000004</v>
      </c>
      <c r="D41" s="31">
        <f>IF(92180.14929="","-",89381.90291/92180.14929*100)</f>
        <v>96.96437204587653</v>
      </c>
      <c r="E41" s="31">
        <f>IF(92180.14929="","-",92180.14929/2959029.60112*100)</f>
        <v>3.1152155171110687</v>
      </c>
      <c r="F41" s="31">
        <f>IF(89381.90291="","-",89381.90291/2667989.85236*100)</f>
        <v>3.3501590281888163</v>
      </c>
      <c r="G41" s="31">
        <f>IF(1808523.91457="","-",(92180.14929-91112.70188)/1808523.91457*100)</f>
        <v>5.9023129381941701E-2</v>
      </c>
      <c r="H41" s="31">
        <f>IF(2959029.60112="","-",(89381.90291-92180.14929)/2959029.60112*100)</f>
        <v>-9.4566353068615938E-2</v>
      </c>
      <c r="I41" s="55"/>
      <c r="J41" s="24"/>
      <c r="K41" s="24"/>
    </row>
    <row r="42" spans="1:11" s="2" customFormat="1" x14ac:dyDescent="0.3">
      <c r="A42" s="55" t="s">
        <v>225</v>
      </c>
      <c r="B42" s="56" t="s">
        <v>22</v>
      </c>
      <c r="C42" s="20">
        <v>18464.689559999999</v>
      </c>
      <c r="D42" s="32">
        <f>IF(OR(31319.17706="",18464.68956=""),"-",18464.68956/31319.17706*100)</f>
        <v>58.956496604703567</v>
      </c>
      <c r="E42" s="32">
        <f>IF(31319.17706="","-",31319.17706/2959029.60112*100)</f>
        <v>1.0584272981975447</v>
      </c>
      <c r="F42" s="32">
        <f>IF(18464.68956="","-",18464.68956/2667989.85236*100)</f>
        <v>0.69208245090088527</v>
      </c>
      <c r="G42" s="32">
        <f>IF(OR(1808523.91457="",20999.82815="",31319.17706=""),"-",(31319.17706-20999.82815)/1808523.91457*100)</f>
        <v>0.57059510393334001</v>
      </c>
      <c r="H42" s="32">
        <f>IF(OR(2959029.60112="",18464.68956="",31319.17706=""),"-",(18464.68956-31319.17706)/2959029.60112*100)</f>
        <v>-0.4344156440724537</v>
      </c>
      <c r="I42" s="55"/>
      <c r="J42" s="24"/>
      <c r="K42" s="24"/>
    </row>
    <row r="43" spans="1:11" s="2" customFormat="1" x14ac:dyDescent="0.3">
      <c r="A43" s="55" t="s">
        <v>226</v>
      </c>
      <c r="B43" s="56" t="s">
        <v>23</v>
      </c>
      <c r="C43" s="20">
        <v>6242.1426099999999</v>
      </c>
      <c r="D43" s="32">
        <f>IF(OR(4692.3639="",6242.14261=""),"-",6242.14261/4692.3639*100)</f>
        <v>133.02767524061804</v>
      </c>
      <c r="E43" s="32">
        <f>IF(4692.3639="","-",4692.3639/2959029.60112*100)</f>
        <v>0.15857779517392895</v>
      </c>
      <c r="F43" s="32">
        <f>IF(6242.14261="","-",6242.14261/2667989.85236*100)</f>
        <v>0.2339642560663581</v>
      </c>
      <c r="G43" s="32">
        <f>IF(OR(1808523.91457="",695.07845="",4692.3639=""),"-",(4692.3639-695.07845)/1808523.91457*100)</f>
        <v>0.22102474939903718</v>
      </c>
      <c r="H43" s="32">
        <f>IF(OR(2959029.60112="",6242.14261="",4692.3639=""),"-",(6242.14261-4692.3639)/2959029.60112*100)</f>
        <v>5.2374559193777738E-2</v>
      </c>
      <c r="I43" s="55"/>
      <c r="J43" s="24"/>
      <c r="K43" s="24"/>
    </row>
    <row r="44" spans="1:11" s="2" customFormat="1" x14ac:dyDescent="0.3">
      <c r="A44" s="55" t="s">
        <v>227</v>
      </c>
      <c r="B44" s="56" t="s">
        <v>141</v>
      </c>
      <c r="C44" s="20">
        <v>3508.3891800000001</v>
      </c>
      <c r="D44" s="32" t="s">
        <v>100</v>
      </c>
      <c r="E44" s="32">
        <f>IF(1823.58958="","-",1823.58958/2959029.60112*100)</f>
        <v>6.1627960034930616E-2</v>
      </c>
      <c r="F44" s="32">
        <f>IF(3508.38918="","-",3508.38918/2667989.85236*100)</f>
        <v>0.13149934498051466</v>
      </c>
      <c r="G44" s="32">
        <f>IF(OR(1808523.91457="",1691.14722="",1823.58958=""),"-",(1823.58958-1691.14722)/1808523.91457*100)</f>
        <v>7.3232296754831621E-3</v>
      </c>
      <c r="H44" s="32">
        <f>IF(OR(2959029.60112="",3508.38918="",1823.58958=""),"-",(3508.38918-1823.58958)/2959029.60112*100)</f>
        <v>5.6937571674250891E-2</v>
      </c>
      <c r="I44" s="55"/>
      <c r="J44" s="24"/>
      <c r="K44" s="24"/>
    </row>
    <row r="45" spans="1:11" s="2" customFormat="1" x14ac:dyDescent="0.3">
      <c r="A45" s="55" t="s">
        <v>228</v>
      </c>
      <c r="B45" s="56" t="s">
        <v>142</v>
      </c>
      <c r="C45" s="20">
        <v>28468.370180000002</v>
      </c>
      <c r="D45" s="32">
        <f>IF(OR(32229.37912="",28468.37018=""),"-",28468.37018/32229.37912*100)</f>
        <v>88.330495210607083</v>
      </c>
      <c r="E45" s="32">
        <f>IF(32229.37912="","-",32229.37912/2959029.60112*100)</f>
        <v>1.0891874521228548</v>
      </c>
      <c r="F45" s="32">
        <f>IF(28468.37018="","-",28468.37018/2667989.85236*100)</f>
        <v>1.0670344249929582</v>
      </c>
      <c r="G45" s="32">
        <f>IF(OR(1808523.91457="",51820.58415="",32229.37912=""),"-",(32229.37912-51820.58415)/1808523.91457*100)</f>
        <v>-1.0832704434908211</v>
      </c>
      <c r="H45" s="32">
        <f>IF(OR(2959029.60112="",28468.37018="",32229.37912=""),"-",(28468.37018-32229.37912)/2959029.60112*100)</f>
        <v>-0.12710278189094318</v>
      </c>
      <c r="I45" s="55"/>
      <c r="J45" s="24"/>
      <c r="K45" s="24"/>
    </row>
    <row r="46" spans="1:11" ht="34.200000000000003" x14ac:dyDescent="0.3">
      <c r="A46" s="55" t="s">
        <v>229</v>
      </c>
      <c r="B46" s="56" t="s">
        <v>143</v>
      </c>
      <c r="C46" s="20">
        <v>12674.238020000001</v>
      </c>
      <c r="D46" s="32">
        <f>IF(OR(12047.43436="",12674.23802=""),"-",12674.23802/12047.43436*100)</f>
        <v>105.20279788434557</v>
      </c>
      <c r="E46" s="32">
        <f>IF(12047.43436="","-",12047.43436/2959029.60112*100)</f>
        <v>0.40714139376774117</v>
      </c>
      <c r="F46" s="32">
        <f>IF(12674.23802="","-",12674.23802/2667989.85236*100)</f>
        <v>0.47504820937714076</v>
      </c>
      <c r="G46" s="32">
        <f>IF(OR(1808523.91457="",7422.28698="",12047.43436=""),"-",(12047.43436-7422.28698)/1808523.91457*100)</f>
        <v>0.25574156596650194</v>
      </c>
      <c r="H46" s="32">
        <f>IF(OR(2959029.60112="",12674.23802="",12047.43436=""),"-",(12674.23802-12047.43436)/2959029.60112*100)</f>
        <v>2.1182743821243109E-2</v>
      </c>
      <c r="I46" s="55"/>
    </row>
    <row r="47" spans="1:11" x14ac:dyDescent="0.3">
      <c r="A47" s="55" t="s">
        <v>230</v>
      </c>
      <c r="B47" s="56" t="s">
        <v>144</v>
      </c>
      <c r="C47" s="20">
        <v>297.62957</v>
      </c>
      <c r="D47" s="32" t="s">
        <v>296</v>
      </c>
      <c r="E47" s="32">
        <f>IF(71.21796="","-",71.21796/2959029.60112*100)</f>
        <v>2.4068012017535692E-3</v>
      </c>
      <c r="F47" s="32">
        <f>IF(297.62957="","-",297.62957/2667989.85236*100)</f>
        <v>1.1155573539259472E-2</v>
      </c>
      <c r="G47" s="32">
        <f>IF(OR(1808523.91457="",146.43214="",71.21796=""),"-",(71.21796-146.43214)/1808523.91457*100)</f>
        <v>-4.1588711873839466E-3</v>
      </c>
      <c r="H47" s="32">
        <f>IF(OR(2959029.60112="",297.62957="",71.21796=""),"-",(297.62957-71.21796)/2959029.60112*100)</f>
        <v>7.6515493428758758E-3</v>
      </c>
      <c r="I47" s="55"/>
    </row>
    <row r="48" spans="1:11" ht="14.25" customHeight="1" x14ac:dyDescent="0.3">
      <c r="A48" s="55" t="s">
        <v>231</v>
      </c>
      <c r="B48" s="56" t="s">
        <v>24</v>
      </c>
      <c r="C48" s="20">
        <v>11802.60145</v>
      </c>
      <c r="D48" s="32" t="s">
        <v>295</v>
      </c>
      <c r="E48" s="32">
        <f>IF(3221.33197="","-",3221.33197/2959029.60112*100)</f>
        <v>0.1088644726224002</v>
      </c>
      <c r="F48" s="32">
        <f>IF(11802.60145="","-",11802.60145/2667989.85236*100)</f>
        <v>0.44237804876056325</v>
      </c>
      <c r="G48" s="32">
        <f>IF(OR(1808523.91457="",1632.89165="",3221.33197=""),"-",(3221.33197-1632.89165)/1808523.91457*100)</f>
        <v>8.7830761164011062E-2</v>
      </c>
      <c r="H48" s="32">
        <f>IF(OR(2959029.60112="",11802.60145="",3221.33197=""),"-",(11802.60145-3221.33197)/2959029.60112*100)</f>
        <v>0.29000282649257608</v>
      </c>
      <c r="I48" s="55"/>
    </row>
    <row r="49" spans="1:9" x14ac:dyDescent="0.3">
      <c r="A49" s="55" t="s">
        <v>232</v>
      </c>
      <c r="B49" s="56" t="s">
        <v>25</v>
      </c>
      <c r="C49" s="20">
        <v>3304.2701999999999</v>
      </c>
      <c r="D49" s="32">
        <f>IF(OR(3569.06702="",3304.2702=""),"-",3304.2702/3569.06702*100)</f>
        <v>92.580783198629874</v>
      </c>
      <c r="E49" s="32">
        <f>IF(3569.06702="","-",3569.06702/2959029.60112*100)</f>
        <v>0.1206161309994702</v>
      </c>
      <c r="F49" s="32">
        <f>IF(3304.2702="","-",3304.2702/2667989.85236*100)</f>
        <v>0.12384867944970522</v>
      </c>
      <c r="G49" s="32">
        <f>IF(OR(1808523.91457="",2641.62103="",3569.06702=""),"-",(3569.06702-2641.62103)/1808523.91457*100)</f>
        <v>5.1281931221822542E-2</v>
      </c>
      <c r="H49" s="32">
        <f>IF(OR(2959029.60112="",3304.2702="",3569.06702=""),"-",(3304.2702-3569.06702)/2959029.60112*100)</f>
        <v>-8.9487722562752933E-3</v>
      </c>
      <c r="I49" s="55"/>
    </row>
    <row r="50" spans="1:9" x14ac:dyDescent="0.3">
      <c r="A50" s="55" t="s">
        <v>233</v>
      </c>
      <c r="B50" s="56" t="s">
        <v>145</v>
      </c>
      <c r="C50" s="20">
        <v>4619.5721400000002</v>
      </c>
      <c r="D50" s="32">
        <f>IF(OR(3206.58832="",4619.57214=""),"-",4619.57214/3206.58832*100)</f>
        <v>144.06502110629532</v>
      </c>
      <c r="E50" s="32">
        <f>IF(3206.58832="","-",3206.58832/2959029.60112*100)</f>
        <v>0.10836621299044452</v>
      </c>
      <c r="F50" s="32">
        <f>IF(4619.57214="","-",4619.57214/2667989.85236*100)</f>
        <v>0.17314804012143098</v>
      </c>
      <c r="G50" s="32">
        <f>IF(OR(1808523.91457="",4062.83211="",3206.58832=""),"-",(3206.58832-4062.83211)/1808523.91457*100)</f>
        <v>-4.734489730004942E-2</v>
      </c>
      <c r="H50" s="32">
        <f>IF(OR(2959029.60112="",4619.57214="",3206.58832=""),"-",(4619.57214-3206.58832)/2959029.60112*100)</f>
        <v>4.7751594626332314E-2</v>
      </c>
      <c r="I50" s="53"/>
    </row>
    <row r="51" spans="1:9" ht="24" x14ac:dyDescent="0.3">
      <c r="A51" s="53" t="s">
        <v>234</v>
      </c>
      <c r="B51" s="54" t="s">
        <v>402</v>
      </c>
      <c r="C51" s="18">
        <v>193232.15638</v>
      </c>
      <c r="D51" s="31">
        <f>IF(191318.4686="","-",193232.15638/191318.4686*100)</f>
        <v>101.00026296154454</v>
      </c>
      <c r="E51" s="31">
        <f>IF(191318.4686="","-",191318.4686/2959029.60112*100)</f>
        <v>6.4655814368192024</v>
      </c>
      <c r="F51" s="31">
        <f>IF(193232.15638="","-",193232.15638/2667989.85236*100)</f>
        <v>7.2426121189731791</v>
      </c>
      <c r="G51" s="31">
        <f>IF(1808523.91457="","-",(191318.4686-156714.88391)/1808523.91457*100)</f>
        <v>1.9133606368831146</v>
      </c>
      <c r="H51" s="31">
        <f>IF(2959029.60112="","-",(193232.15638-191318.4686)/2959029.60112*100)</f>
        <v>6.4672816361001334E-2</v>
      </c>
      <c r="I51" s="55"/>
    </row>
    <row r="52" spans="1:9" x14ac:dyDescent="0.3">
      <c r="A52" s="55" t="s">
        <v>235</v>
      </c>
      <c r="B52" s="56" t="s">
        <v>146</v>
      </c>
      <c r="C52" s="20">
        <v>591.20633999999995</v>
      </c>
      <c r="D52" s="32">
        <f>IF(OR(1595.34721="",591.20634=""),"-",591.20634/1595.34721*100)</f>
        <v>37.058161151013643</v>
      </c>
      <c r="E52" s="32">
        <f>IF(1595.34721="","-",1595.34721/2959029.60112*100)</f>
        <v>5.3914540408658201E-2</v>
      </c>
      <c r="F52" s="32">
        <f>IF(591.20634="","-",591.20634/2667989.85236*100)</f>
        <v>2.2159242452779268E-2</v>
      </c>
      <c r="G52" s="32">
        <f>IF(OR(1808523.91457="",774.23618="",1595.34721=""),"-",(1595.34721-774.23618)/1808523.91457*100)</f>
        <v>4.5402276596117321E-2</v>
      </c>
      <c r="H52" s="32">
        <f>IF(OR(2959029.60112="",591.20634="",1595.34721=""),"-",(591.20634-1595.34721)/2959029.60112*100)</f>
        <v>-3.3934803140189276E-2</v>
      </c>
      <c r="I52" s="55"/>
    </row>
    <row r="53" spans="1:9" x14ac:dyDescent="0.3">
      <c r="A53" s="55" t="s">
        <v>236</v>
      </c>
      <c r="B53" s="56" t="s">
        <v>26</v>
      </c>
      <c r="C53" s="20">
        <v>1808.6120900000001</v>
      </c>
      <c r="D53" s="32" t="s">
        <v>354</v>
      </c>
      <c r="E53" s="32">
        <f>IF(729.20512="","-",729.20512/2959029.60112*100)</f>
        <v>2.4643387133538443E-2</v>
      </c>
      <c r="F53" s="32">
        <f>IF(1808.61209="","-",1808.61209/2667989.85236*100)</f>
        <v>6.77893166797532E-2</v>
      </c>
      <c r="G53" s="32">
        <f>IF(OR(1808523.91457="",964.04093="",729.20512=""),"-",(729.20512-964.04093)/1808523.91457*100)</f>
        <v>-1.2984943583443589E-2</v>
      </c>
      <c r="H53" s="32">
        <f>IF(OR(2959029.60112="",1808.61209="",729.20512=""),"-",(1808.61209-729.20512)/2959029.60112*100)</f>
        <v>3.6478410678671205E-2</v>
      </c>
      <c r="I53" s="55"/>
    </row>
    <row r="54" spans="1:9" x14ac:dyDescent="0.3">
      <c r="A54" s="55" t="s">
        <v>237</v>
      </c>
      <c r="B54" s="56" t="s">
        <v>147</v>
      </c>
      <c r="C54" s="20">
        <v>15073.5345</v>
      </c>
      <c r="D54" s="32">
        <f>IF(OR(18809.57997="",15073.5345=""),"-",15073.5345/18809.57997*100)</f>
        <v>80.13753908402667</v>
      </c>
      <c r="E54" s="32">
        <f>IF(18809.57997="","-",18809.57997/2959029.60112*100)</f>
        <v>0.63566717828306041</v>
      </c>
      <c r="F54" s="32">
        <f>IF(15073.5345="","-",15073.5345/2667989.85236*100)</f>
        <v>0.56497720509193605</v>
      </c>
      <c r="G54" s="32">
        <f>IF(OR(1808523.91457="",16520.24337="",18809.57997=""),"-",(18809.57997-16520.24337)/1808523.91457*100)</f>
        <v>0.12658591802720609</v>
      </c>
      <c r="H54" s="32">
        <f>IF(OR(2959029.60112="",15073.5345="",18809.57997=""),"-",(15073.5345-18809.57997)/2959029.60112*100)</f>
        <v>-0.1262591448421434</v>
      </c>
      <c r="I54" s="55"/>
    </row>
    <row r="55" spans="1:9" ht="24.75" customHeight="1" x14ac:dyDescent="0.3">
      <c r="A55" s="55" t="s">
        <v>238</v>
      </c>
      <c r="B55" s="56" t="s">
        <v>148</v>
      </c>
      <c r="C55" s="20">
        <v>13514.99043</v>
      </c>
      <c r="D55" s="32">
        <f>IF(OR(13034.03999="",13514.99043=""),"-",13514.99043/13034.03999*100)</f>
        <v>103.68995676220878</v>
      </c>
      <c r="E55" s="32">
        <f>IF(13034.03999="","-",13034.03999/2959029.60112*100)</f>
        <v>0.44048359587435637</v>
      </c>
      <c r="F55" s="32">
        <f>IF(13514.99043="","-",13514.99043/2667989.85236*100)</f>
        <v>0.50656078837950469</v>
      </c>
      <c r="G55" s="32">
        <f>IF(OR(1808523.91457="",6998.69097="",13034.03999=""),"-",(13034.03999-6998.69097)/1808523.91457*100)</f>
        <v>0.33371684893837761</v>
      </c>
      <c r="H55" s="32">
        <f>IF(OR(2959029.60112="",13514.99043="",13034.03999=""),"-",(13514.99043-13034.03999)/2959029.60112*100)</f>
        <v>1.6253654232386172E-2</v>
      </c>
      <c r="I55" s="55"/>
    </row>
    <row r="56" spans="1:9" ht="34.200000000000003" x14ac:dyDescent="0.3">
      <c r="A56" s="55" t="s">
        <v>239</v>
      </c>
      <c r="B56" s="56" t="s">
        <v>149</v>
      </c>
      <c r="C56" s="20">
        <v>54926.591769999999</v>
      </c>
      <c r="D56" s="32">
        <f>IF(OR(60356.48922="",54926.59177=""),"-",54926.59177/60356.48922*100)</f>
        <v>91.003622774996117</v>
      </c>
      <c r="E56" s="32">
        <f>IF(60356.48922="","-",60356.48922/2959029.60112*100)</f>
        <v>2.0397392847018132</v>
      </c>
      <c r="F56" s="32">
        <f>IF(54926.59177="","-",54926.59177/2667989.85236*100)</f>
        <v>2.0587256627462085</v>
      </c>
      <c r="G56" s="32">
        <f>IF(OR(1808523.91457="",52703.87993="",60356.48922=""),"-",(60356.48922-52703.87993)/1808523.91457*100)</f>
        <v>0.42314117210993624</v>
      </c>
      <c r="H56" s="32">
        <f>IF(OR(2959029.60112="",54926.59177="",60356.48922=""),"-",(54926.59177-60356.48922)/2959029.60112*100)</f>
        <v>-0.18350264045837106</v>
      </c>
      <c r="I56" s="55"/>
    </row>
    <row r="57" spans="1:9" x14ac:dyDescent="0.3">
      <c r="A57" s="55" t="s">
        <v>240</v>
      </c>
      <c r="B57" s="56" t="s">
        <v>27</v>
      </c>
      <c r="C57" s="20">
        <v>76298.19627</v>
      </c>
      <c r="D57" s="32">
        <f>IF(OR(60166.78254="",76298.19627=""),"-",76298.19627/60166.78254*100)</f>
        <v>126.81116232079641</v>
      </c>
      <c r="E57" s="32">
        <f>IF(60166.78254="","-",60166.78254/2959029.60112*100)</f>
        <v>2.0333281734399256</v>
      </c>
      <c r="F57" s="32">
        <f>IF(76298.19627="","-",76298.19627/2667989.85236*100)</f>
        <v>2.8597633608879578</v>
      </c>
      <c r="G57" s="32">
        <f>IF(OR(1808523.91457="",42434.76279="",60166.78254=""),"-",(60166.78254-42434.76279)/1808523.91457*100)</f>
        <v>0.98046918855457976</v>
      </c>
      <c r="H57" s="32">
        <f>IF(OR(2959029.60112="",76298.19627="",60166.78254=""),"-",(76298.19627-60166.78254)/2959029.60112*100)</f>
        <v>0.54515891709546338</v>
      </c>
      <c r="I57" s="55"/>
    </row>
    <row r="58" spans="1:9" x14ac:dyDescent="0.3">
      <c r="A58" s="55" t="s">
        <v>241</v>
      </c>
      <c r="B58" s="56" t="s">
        <v>150</v>
      </c>
      <c r="C58" s="20">
        <v>7156.8115299999999</v>
      </c>
      <c r="D58" s="32">
        <f>IF(OR(6816.90059="",7156.81153=""),"-",7156.81153/6816.90059*100)</f>
        <v>104.98629744577219</v>
      </c>
      <c r="E58" s="32">
        <f>IF(6816.90059="","-",6816.90059/2959029.60112*100)</f>
        <v>0.23037622156330531</v>
      </c>
      <c r="F58" s="32">
        <f>IF(7156.81153="","-",7156.81153/2667989.85236*100)</f>
        <v>0.26824732948925434</v>
      </c>
      <c r="G58" s="32">
        <f>IF(OR(1808523.91457="",7684.26306="",6816.90059=""),"-",(6816.90059-7684.26306)/1808523.91457*100)</f>
        <v>-4.7959690386854888E-2</v>
      </c>
      <c r="H58" s="32">
        <f>IF(OR(2959029.60112="",7156.81153="",6816.90059=""),"-",(7156.81153-6816.90059)/2959029.60112*100)</f>
        <v>1.1487243651477587E-2</v>
      </c>
      <c r="I58" s="55"/>
    </row>
    <row r="59" spans="1:9" x14ac:dyDescent="0.3">
      <c r="A59" s="55" t="s">
        <v>242</v>
      </c>
      <c r="B59" s="56" t="s">
        <v>28</v>
      </c>
      <c r="C59" s="20">
        <v>950.15837999999997</v>
      </c>
      <c r="D59" s="32">
        <f>IF(OR(1298.18155="",950.15838=""),"-",950.15838/1298.18155*100)</f>
        <v>73.191486968829594</v>
      </c>
      <c r="E59" s="32">
        <f>IF(1298.18155="","-",1298.18155/2959029.60112*100)</f>
        <v>4.3871867638925789E-2</v>
      </c>
      <c r="F59" s="32">
        <f>IF(950.15838="","-",950.15838/2667989.85236*100)</f>
        <v>3.5613268137415395E-2</v>
      </c>
      <c r="G59" s="32">
        <f>IF(OR(1808523.91457="",1319.53958="",1298.18155=""),"-",(1298.18155-1319.53958)/1808523.91457*100)</f>
        <v>-1.1809647540700627E-3</v>
      </c>
      <c r="H59" s="32">
        <f>IF(OR(2959029.60112="",950.15838="",1298.18155=""),"-",(950.15838-1298.18155)/2959029.60112*100)</f>
        <v>-1.1761395352999256E-2</v>
      </c>
      <c r="I59" s="55"/>
    </row>
    <row r="60" spans="1:9" x14ac:dyDescent="0.3">
      <c r="A60" s="55" t="s">
        <v>243</v>
      </c>
      <c r="B60" s="56" t="s">
        <v>29</v>
      </c>
      <c r="C60" s="20">
        <v>22912.055069999999</v>
      </c>
      <c r="D60" s="32">
        <f>IF(OR(28511.94241="",22912.05507=""),"-",22912.05507/28511.94241*100)</f>
        <v>80.359502486803734</v>
      </c>
      <c r="E60" s="32">
        <f>IF(28511.94241="","-",28511.94241/2959029.60112*100)</f>
        <v>0.96355718777561949</v>
      </c>
      <c r="F60" s="32">
        <f>IF(22912.05507="","-",22912.05507/2667989.85236*100)</f>
        <v>0.85877594510837019</v>
      </c>
      <c r="G60" s="32">
        <f>IF(OR(1808523.91457="",27315.2271="",28511.94241=""),"-",(28511.94241-27315.2271)/1808523.91457*100)</f>
        <v>6.6170831381266754E-2</v>
      </c>
      <c r="H60" s="32">
        <f>IF(OR(2959029.60112="",22912.05507="",28511.94241=""),"-",(22912.05507-28511.94241)/2959029.60112*100)</f>
        <v>-0.1892474255032944</v>
      </c>
      <c r="I60" s="53"/>
    </row>
    <row r="61" spans="1:9" ht="24" x14ac:dyDescent="0.3">
      <c r="A61" s="53" t="s">
        <v>244</v>
      </c>
      <c r="B61" s="54" t="s">
        <v>151</v>
      </c>
      <c r="C61" s="18">
        <v>537062.90540000005</v>
      </c>
      <c r="D61" s="31">
        <f>IF(459136.79468="","-",537062.9054/459136.79468*100)</f>
        <v>116.97230795329993</v>
      </c>
      <c r="E61" s="31">
        <f>IF(459136.79468="","-",459136.79468/2959029.60112*100)</f>
        <v>15.51646507713933</v>
      </c>
      <c r="F61" s="31">
        <f>IF(537062.9054="","-",537062.9054/2667989.85236*100)</f>
        <v>20.129870618695762</v>
      </c>
      <c r="G61" s="31">
        <f>IF(1808523.91457="","-",(459136.79468-427138.78521)/1808523.91457*100)</f>
        <v>1.7692887117618201</v>
      </c>
      <c r="H61" s="31">
        <f>IF(2959029.60112="","-",(537062.9054-459136.79468)/2959029.60112*100)</f>
        <v>2.6335022363583263</v>
      </c>
      <c r="I61" s="55"/>
    </row>
    <row r="62" spans="1:9" ht="22.8" x14ac:dyDescent="0.3">
      <c r="A62" s="55" t="s">
        <v>245</v>
      </c>
      <c r="B62" s="56" t="s">
        <v>152</v>
      </c>
      <c r="C62" s="20">
        <v>4148.2844500000001</v>
      </c>
      <c r="D62" s="32">
        <f>IF(OR(3004.77024="",4148.28445=""),"-",4148.28445/3004.77024*100)</f>
        <v>138.05662725147332</v>
      </c>
      <c r="E62" s="32">
        <f>IF(3004.77024="","-",3004.77024/2959029.60112*100)</f>
        <v>0.10154579862474804</v>
      </c>
      <c r="F62" s="32">
        <f>IF(4148.28445="","-",4148.28445/2667989.85236*100)</f>
        <v>0.15548351678813882</v>
      </c>
      <c r="G62" s="32">
        <f>IF(OR(1808523.91457="",1516.41894="",3004.77024=""),"-",(3004.77024-1516.41894)/1808523.91457*100)</f>
        <v>8.2296467744186544E-2</v>
      </c>
      <c r="H62" s="32">
        <f>IF(OR(2959029.60112="",4148.28445="",3004.77024=""),"-",(4148.28445-3004.77024)/2959029.60112*100)</f>
        <v>3.8644906072152083E-2</v>
      </c>
      <c r="I62" s="55"/>
    </row>
    <row r="63" spans="1:9" ht="22.8" x14ac:dyDescent="0.3">
      <c r="A63" s="55" t="s">
        <v>246</v>
      </c>
      <c r="B63" s="56" t="s">
        <v>153</v>
      </c>
      <c r="C63" s="20">
        <v>22887.58394</v>
      </c>
      <c r="D63" s="32" t="s">
        <v>287</v>
      </c>
      <c r="E63" s="32">
        <f>IF(8892.63878="","-",8892.63878/2959029.60112*100)</f>
        <v>0.30052550933029243</v>
      </c>
      <c r="F63" s="32">
        <f>IF(22887.58394="","-",22887.58394/2667989.85236*100)</f>
        <v>0.85785873284917236</v>
      </c>
      <c r="G63" s="32">
        <f>IF(OR(1808523.91457="",9367.30129="",8892.63878=""),"-",(8892.63878-9367.30129)/1808523.91457*100)</f>
        <v>-2.6245851999853551E-2</v>
      </c>
      <c r="H63" s="32">
        <f>IF(OR(2959029.60112="",22887.58394="",8892.63878=""),"-",(22887.58394-8892.63878)/2959029.60112*100)</f>
        <v>0.47295725445608527</v>
      </c>
      <c r="I63" s="55"/>
    </row>
    <row r="64" spans="1:9" ht="22.8" x14ac:dyDescent="0.3">
      <c r="A64" s="55" t="s">
        <v>247</v>
      </c>
      <c r="B64" s="56" t="s">
        <v>154</v>
      </c>
      <c r="C64" s="20">
        <v>3322.9994000000002</v>
      </c>
      <c r="D64" s="32">
        <f>IF(OR(3704.00297="",3322.9994=""),"-",3322.9994/3704.00297*100)</f>
        <v>89.713734759775321</v>
      </c>
      <c r="E64" s="32">
        <f>IF(3704.00297="","-",3704.00297/2959029.60112*100)</f>
        <v>0.12517627294427963</v>
      </c>
      <c r="F64" s="32">
        <f>IF(3322.9994="","-",3322.9994/2667989.85236*100)</f>
        <v>0.12455067612272229</v>
      </c>
      <c r="G64" s="32">
        <f>IF(OR(1808523.91457="",3246.8622="",3704.00297=""),"-",(3704.00297-3246.8622)/1808523.91457*100)</f>
        <v>2.5277009959179395E-2</v>
      </c>
      <c r="H64" s="32">
        <f>IF(OR(2959029.60112="",3322.9994="",3704.00297=""),"-",(3322.9994-3704.00297)/2959029.60112*100)</f>
        <v>-1.2875963452876209E-2</v>
      </c>
      <c r="I64" s="55"/>
    </row>
    <row r="65" spans="1:9" ht="34.200000000000003" x14ac:dyDescent="0.3">
      <c r="A65" s="55" t="s">
        <v>248</v>
      </c>
      <c r="B65" s="56" t="s">
        <v>155</v>
      </c>
      <c r="C65" s="20">
        <v>27451.77736</v>
      </c>
      <c r="D65" s="32">
        <f>IF(OR(18055.90119="",27451.77736=""),"-",27451.77736/18055.90119*100)</f>
        <v>152.03770263875705</v>
      </c>
      <c r="E65" s="32">
        <f>IF(18055.90119="","-",18055.90119/2959029.60112*100)</f>
        <v>0.61019670716257113</v>
      </c>
      <c r="F65" s="32">
        <f>IF(27451.77736="","-",27451.77736/2667989.85236*100)</f>
        <v>1.0289311009079447</v>
      </c>
      <c r="G65" s="32">
        <f>IF(OR(1808523.91457="",16578.55053="",18055.90119=""),"-",(18055.90119-16578.55053)/1808523.91457*100)</f>
        <v>8.168820152711441E-2</v>
      </c>
      <c r="H65" s="32">
        <f>IF(OR(2959029.60112="",27451.77736="",18055.90119=""),"-",(27451.77736-18055.90119)/2959029.60112*100)</f>
        <v>0.317532347984746</v>
      </c>
      <c r="I65" s="55"/>
    </row>
    <row r="66" spans="1:9" ht="25.5" customHeight="1" x14ac:dyDescent="0.3">
      <c r="A66" s="55" t="s">
        <v>249</v>
      </c>
      <c r="B66" s="56" t="s">
        <v>156</v>
      </c>
      <c r="C66" s="20">
        <v>6924.29882</v>
      </c>
      <c r="D66" s="32">
        <f>IF(OR(4505.42113="",6924.29882=""),"-",6924.29882/4505.42113*100)</f>
        <v>153.68815966821731</v>
      </c>
      <c r="E66" s="32">
        <f>IF(4505.42113="","-",4505.42113/2959029.60112*100)</f>
        <v>0.15226008987185147</v>
      </c>
      <c r="F66" s="32">
        <f>IF(6924.29882="","-",6924.29882/2667989.85236*100)</f>
        <v>0.25953242715203867</v>
      </c>
      <c r="G66" s="32">
        <f>IF(OR(1808523.91457="",1382.39928="",4505.42113=""),"-",(4505.42113-1382.39928)/1808523.91457*100)</f>
        <v>0.17268346991930922</v>
      </c>
      <c r="H66" s="32">
        <f>IF(OR(2959029.60112="",6924.29882="",4505.42113=""),"-",(6924.29882-4505.42113)/2959029.60112*100)</f>
        <v>8.1745640161370786E-2</v>
      </c>
      <c r="I66" s="55"/>
    </row>
    <row r="67" spans="1:9" ht="34.200000000000003" x14ac:dyDescent="0.3">
      <c r="A67" s="55" t="s">
        <v>250</v>
      </c>
      <c r="B67" s="56" t="s">
        <v>157</v>
      </c>
      <c r="C67" s="20">
        <v>2570.2239599999998</v>
      </c>
      <c r="D67" s="32">
        <f>IF(OR(1962.27673="",2570.22396=""),"-",2570.22396/1962.27673*100)</f>
        <v>130.98172753646219</v>
      </c>
      <c r="E67" s="32">
        <f>IF(1962.27673="","-",1962.27673/2959029.60112*100)</f>
        <v>6.6314873269847432E-2</v>
      </c>
      <c r="F67" s="32">
        <f>IF(2570.22396="","-",2570.22396/2667989.85236*100)</f>
        <v>9.6335597293463457E-2</v>
      </c>
      <c r="G67" s="32">
        <f>IF(OR(1808523.91457="",1907.08327="",1962.27673=""),"-",(1962.27673-1907.08327)/1808523.91457*100)</f>
        <v>3.0518512669556225E-3</v>
      </c>
      <c r="H67" s="32">
        <f>IF(OR(2959029.60112="",2570.22396="",1962.27673=""),"-",(2570.22396-1962.27673)/2959029.60112*100)</f>
        <v>2.0545493352614325E-2</v>
      </c>
      <c r="I67" s="55"/>
    </row>
    <row r="68" spans="1:9" ht="45.6" x14ac:dyDescent="0.3">
      <c r="A68" s="55" t="s">
        <v>251</v>
      </c>
      <c r="B68" s="56" t="s">
        <v>158</v>
      </c>
      <c r="C68" s="20">
        <v>415329.66703999997</v>
      </c>
      <c r="D68" s="32">
        <f>IF(OR(355216.98226="",415329.66704=""),"-",415329.66704/355216.98226*100)</f>
        <v>116.9228071241258</v>
      </c>
      <c r="E68" s="32">
        <f>IF(355216.98226="","-",355216.98226/2959029.60112*100)</f>
        <v>12.004509252815502</v>
      </c>
      <c r="F68" s="32">
        <f>IF(415329.66704="","-",415329.66704/2667989.85236*100)</f>
        <v>15.567138183551018</v>
      </c>
      <c r="G68" s="32">
        <f>IF(OR(1808523.91457="",355143.93206="",355216.98226=""),"-",(355216.98226-355143.93206)/1808523.91457*100)</f>
        <v>4.0392167010612342E-3</v>
      </c>
      <c r="H68" s="32">
        <f>IF(OR(2959029.60112="",415329.66704="",355216.98226=""),"-",(415329.66704-355216.98226)/2959029.60112*100)</f>
        <v>2.0314999470518025</v>
      </c>
      <c r="I68" s="55"/>
    </row>
    <row r="69" spans="1:9" ht="22.8" x14ac:dyDescent="0.3">
      <c r="A69" s="55" t="s">
        <v>252</v>
      </c>
      <c r="B69" s="56" t="s">
        <v>159</v>
      </c>
      <c r="C69" s="20">
        <v>48008.281560000003</v>
      </c>
      <c r="D69" s="32">
        <f>IF(OR(61390.61273="",48008.28156=""),"-",48008.28156/61390.61273*100)</f>
        <v>78.201339626863827</v>
      </c>
      <c r="E69" s="32">
        <f>IF(61390.61273="","-",61390.61273/2959029.60112*100)</f>
        <v>2.0746873470533553</v>
      </c>
      <c r="F69" s="32">
        <f>IF(48008.28156="","-",48008.28156/2667989.85236*100)</f>
        <v>1.7994176970925788</v>
      </c>
      <c r="G69" s="32">
        <f>IF(OR(1808523.91457="",37153.40174="",61390.61273=""),"-",(61390.61273-37153.40174)/1808523.91457*100)</f>
        <v>1.3401653577670667</v>
      </c>
      <c r="H69" s="32">
        <f>IF(OR(2959029.60112="",48008.28156="",61390.61273=""),"-",(48008.28156-61390.61273)/2959029.60112*100)</f>
        <v>-0.45225404858858975</v>
      </c>
      <c r="I69" s="55"/>
    </row>
    <row r="70" spans="1:9" x14ac:dyDescent="0.3">
      <c r="A70" s="55" t="s">
        <v>253</v>
      </c>
      <c r="B70" s="56" t="s">
        <v>30</v>
      </c>
      <c r="C70" s="20">
        <v>6419.7888700000003</v>
      </c>
      <c r="D70" s="32" t="s">
        <v>404</v>
      </c>
      <c r="E70" s="32">
        <f>IF(2404.18865="","-",2404.18865/2959029.60112*100)</f>
        <v>8.124922606688384E-2</v>
      </c>
      <c r="F70" s="32">
        <f>IF(6419.78887="","-",6419.78887/2667989.85236*100)</f>
        <v>0.24062268693868177</v>
      </c>
      <c r="G70" s="32">
        <f>IF(OR(1808523.91457="",842.8359="",2404.18865=""),"-",(2404.18865-842.8359)/1808523.91457*100)</f>
        <v>8.633298887680077E-2</v>
      </c>
      <c r="H70" s="32">
        <f>IF(OR(2959029.60112="",6419.78887="",2404.18865=""),"-",(6419.78887-2404.18865)/2959029.60112*100)</f>
        <v>0.13570665932101814</v>
      </c>
      <c r="I70" s="53"/>
    </row>
    <row r="71" spans="1:9" x14ac:dyDescent="0.3">
      <c r="A71" s="53" t="s">
        <v>254</v>
      </c>
      <c r="B71" s="54" t="s">
        <v>31</v>
      </c>
      <c r="C71" s="18">
        <v>414452.79294999997</v>
      </c>
      <c r="D71" s="31">
        <f>IF(415091.86604="","-",414452.79295/415091.86604*100)</f>
        <v>99.846040565406199</v>
      </c>
      <c r="E71" s="31">
        <f>IF(415091.86604="","-",415091.86604/2959029.60112*100)</f>
        <v>14.027972747649658</v>
      </c>
      <c r="F71" s="31">
        <f>IF(414452.79295="","-",414452.79295/2667989.85236*100)</f>
        <v>15.534271713342207</v>
      </c>
      <c r="G71" s="31">
        <f>IF(1808523.91457="","-",(415091.86604-385271.34257)/1808523.91457*100)</f>
        <v>1.6488874285685202</v>
      </c>
      <c r="H71" s="31">
        <f>IF(2959029.60112="","-",(414452.79295-415091.86604)/2959029.60112*100)</f>
        <v>-2.1597387527253164E-2</v>
      </c>
      <c r="I71" s="55"/>
    </row>
    <row r="72" spans="1:9" ht="38.25" customHeight="1" x14ac:dyDescent="0.3">
      <c r="A72" s="55" t="s">
        <v>255</v>
      </c>
      <c r="B72" s="56" t="s">
        <v>185</v>
      </c>
      <c r="C72" s="20">
        <v>9439.7197699999997</v>
      </c>
      <c r="D72" s="32">
        <f>IF(OR(11873.7339="",9439.71977=""),"-",9439.71977/11873.7339*100)</f>
        <v>79.50085330782089</v>
      </c>
      <c r="E72" s="32">
        <f>IF(11873.7339="","-",11873.7339/2959029.60112*100)</f>
        <v>0.40127121051799419</v>
      </c>
      <c r="F72" s="32">
        <f>IF(9439.71977="","-",9439.71977/2667989.85236*100)</f>
        <v>0.35381393080074841</v>
      </c>
      <c r="G72" s="32">
        <f>IF(OR(1808523.91457="",10575.91183="",11873.7339=""),"-",(11873.7339-10575.91183)/1808523.91457*100)</f>
        <v>7.1761399423273545E-2</v>
      </c>
      <c r="H72" s="32">
        <f>IF(OR(2959029.60112="",9439.71977="",11873.7339=""),"-",(9439.71977-11873.7339)/2959029.60112*100)</f>
        <v>-8.2257174077566483E-2</v>
      </c>
      <c r="I72" s="55"/>
    </row>
    <row r="73" spans="1:9" x14ac:dyDescent="0.3">
      <c r="A73" s="55" t="s">
        <v>256</v>
      </c>
      <c r="B73" s="56" t="s">
        <v>160</v>
      </c>
      <c r="C73" s="20">
        <v>96025.896380000006</v>
      </c>
      <c r="D73" s="32">
        <f>IF(OR(97730.4357="",96025.89638=""),"-",96025.89638/97730.4357*100)</f>
        <v>98.255876679776236</v>
      </c>
      <c r="E73" s="32">
        <f>IF(97730.4357="","-",97730.4357/2959029.60112*100)</f>
        <v>3.3027866859800525</v>
      </c>
      <c r="F73" s="32">
        <f>IF(96025.89638="","-",96025.89638/2667989.85236*100)</f>
        <v>3.5991852178545294</v>
      </c>
      <c r="G73" s="32">
        <f>IF(OR(1808523.91457="",103234.55896="",97730.4357=""),"-",(97730.4357-103234.55896)/1808523.91457*100)</f>
        <v>-0.30434340489816908</v>
      </c>
      <c r="H73" s="32">
        <f>IF(OR(2959029.60112="",96025.89638="",97730.4357=""),"-",(96025.89638-97730.4357)/2959029.60112*100)</f>
        <v>-5.7604672807423887E-2</v>
      </c>
      <c r="I73" s="55"/>
    </row>
    <row r="74" spans="1:9" x14ac:dyDescent="0.3">
      <c r="A74" s="55" t="s">
        <v>257</v>
      </c>
      <c r="B74" s="56" t="s">
        <v>161</v>
      </c>
      <c r="C74" s="20">
        <v>9294.6605199999995</v>
      </c>
      <c r="D74" s="32">
        <f>IF(OR(10265.77406="",9294.66052=""),"-",9294.66052/10265.77406*100)</f>
        <v>90.540279434125779</v>
      </c>
      <c r="E74" s="32">
        <f>IF(10265.77406="","-",10265.77406/2959029.60112*100)</f>
        <v>0.34693042800634299</v>
      </c>
      <c r="F74" s="32">
        <f>IF(9294.66052="","-",9294.66052/2667989.85236*100)</f>
        <v>0.34837690674791377</v>
      </c>
      <c r="G74" s="32">
        <f>IF(OR(1808523.91457="",9822.09539="",10265.77406=""),"-",(10265.77406-9822.09539)/1808523.91457*100)</f>
        <v>2.4532640482417378E-2</v>
      </c>
      <c r="H74" s="32">
        <f>IF(OR(2959029.60112="",9294.66052="",10265.77406=""),"-",(9294.66052-10265.77406)/2959029.60112*100)</f>
        <v>-3.2818649047391464E-2</v>
      </c>
      <c r="I74" s="55"/>
    </row>
    <row r="75" spans="1:9" x14ac:dyDescent="0.3">
      <c r="A75" s="55" t="s">
        <v>258</v>
      </c>
      <c r="B75" s="56" t="s">
        <v>162</v>
      </c>
      <c r="C75" s="20">
        <v>197091.08413999999</v>
      </c>
      <c r="D75" s="32">
        <f>IF(OR(198345.16121="",197091.08414=""),"-",197091.08414/198345.16121*100)</f>
        <v>99.367729939893906</v>
      </c>
      <c r="E75" s="32">
        <f>IF(198345.16121="","-",198345.16121/2959029.60112*100)</f>
        <v>6.7030475509581207</v>
      </c>
      <c r="F75" s="32">
        <f>IF(197091.08414="","-",197091.08414/2667989.85236*100)</f>
        <v>7.3872501413624532</v>
      </c>
      <c r="G75" s="32">
        <f>IF(OR(1808523.91457="",180932.14341="",198345.16121=""),"-",(198345.16121-180932.14341)/1808523.91457*100)</f>
        <v>0.96283038668803955</v>
      </c>
      <c r="H75" s="32">
        <f>IF(OR(2959029.60112="",197091.08414="",198345.16121=""),"-",(197091.08414-198345.16121)/2959029.60112*100)</f>
        <v>-4.2381362779383085E-2</v>
      </c>
      <c r="I75" s="55"/>
    </row>
    <row r="76" spans="1:9" x14ac:dyDescent="0.3">
      <c r="A76" s="55" t="s">
        <v>259</v>
      </c>
      <c r="B76" s="56" t="s">
        <v>163</v>
      </c>
      <c r="C76" s="20">
        <v>21161.371869999999</v>
      </c>
      <c r="D76" s="32">
        <f>IF(OR(26057.59619="",21161.37187=""),"-",21161.37187/26057.59619*100)</f>
        <v>81.209992340433146</v>
      </c>
      <c r="E76" s="32">
        <f>IF(26057.59619="","-",26057.59619/2959029.60112*100)</f>
        <v>0.8806128935018811</v>
      </c>
      <c r="F76" s="32">
        <f>IF(21161.37187="","-",21161.37187/2667989.85236*100)</f>
        <v>0.79315788443803381</v>
      </c>
      <c r="G76" s="32">
        <f>IF(OR(1808523.91457="",24588.07488="",26057.59619=""),"-",(26057.59619-24588.07488)/1808523.91457*100)</f>
        <v>8.1255287705133711E-2</v>
      </c>
      <c r="H76" s="32">
        <f>IF(OR(2959029.60112="",21161.37187="",26057.59619=""),"-",(21161.37187-26057.59619)/2959029.60112*100)</f>
        <v>-0.16546723014013676</v>
      </c>
      <c r="I76" s="55"/>
    </row>
    <row r="77" spans="1:9" ht="22.8" x14ac:dyDescent="0.3">
      <c r="A77" s="55" t="s">
        <v>260</v>
      </c>
      <c r="B77" s="56" t="s">
        <v>300</v>
      </c>
      <c r="C77" s="20">
        <v>18692.871330000002</v>
      </c>
      <c r="D77" s="32">
        <f>IF(OR(14215.88249="",18692.87133=""),"-",18692.87133/14215.88249*100)</f>
        <v>131.49286611752237</v>
      </c>
      <c r="E77" s="32">
        <f>IF(14215.88249="","-",14215.88249/2959029.60112*100)</f>
        <v>0.48042380125630563</v>
      </c>
      <c r="F77" s="32">
        <f>IF(18692.87133="","-",18692.87133/2667989.85236*100)</f>
        <v>0.70063502353522877</v>
      </c>
      <c r="G77" s="32">
        <f>IF(OR(1808523.91457="",14602.29613="",14215.88249=""),"-",(14215.88249-14602.29613)/1808523.91457*100)</f>
        <v>-2.1366244421040764E-2</v>
      </c>
      <c r="H77" s="32">
        <f>IF(OR(2959029.60112="",18692.87133="",14215.88249=""),"-",(18692.87133-14215.88249)/2959029.60112*100)</f>
        <v>0.15129922452635994</v>
      </c>
      <c r="I77" s="55"/>
    </row>
    <row r="78" spans="1:9" ht="22.8" x14ac:dyDescent="0.3">
      <c r="A78" s="55" t="s">
        <v>261</v>
      </c>
      <c r="B78" s="56" t="s">
        <v>164</v>
      </c>
      <c r="C78" s="20">
        <v>4836.3103000000001</v>
      </c>
      <c r="D78" s="32">
        <f>IF(OR(3380.99049="",4836.3103=""),"-",4836.3103/3380.99049*100)</f>
        <v>143.04418525590114</v>
      </c>
      <c r="E78" s="32">
        <f>IF(3380.99049="","-",3380.99049/2959029.60112*100)</f>
        <v>0.11426011043351128</v>
      </c>
      <c r="F78" s="32">
        <f>IF(4836.3103="","-",4836.3103/2667989.85236*100)</f>
        <v>0.18127169020984052</v>
      </c>
      <c r="G78" s="32">
        <f>IF(OR(1808523.91457="",2311.14084="",3380.99049=""),"-",(3380.99049-2311.14084)/1808523.91457*100)</f>
        <v>5.9155958148022089E-2</v>
      </c>
      <c r="H78" s="32">
        <f>IF(OR(2959029.60112="",4836.3103="",3380.99049=""),"-",(4836.3103-3380.99049)/2959029.60112*100)</f>
        <v>4.9182333608597834E-2</v>
      </c>
      <c r="I78" s="55"/>
    </row>
    <row r="79" spans="1:9" x14ac:dyDescent="0.3">
      <c r="A79" s="55" t="s">
        <v>262</v>
      </c>
      <c r="B79" s="56" t="s">
        <v>32</v>
      </c>
      <c r="C79" s="20">
        <v>57910.878640000003</v>
      </c>
      <c r="D79" s="32">
        <f>IF(OR(53222.292="",57910.87864=""),"-",57910.87864/53222.292*100)</f>
        <v>108.80944142728765</v>
      </c>
      <c r="E79" s="32">
        <f>IF(53222.292="","-",53222.292/2959029.60112*100)</f>
        <v>1.7986400669954514</v>
      </c>
      <c r="F79" s="32">
        <f>IF(57910.87864="","-",57910.87864/2667989.85236*100)</f>
        <v>2.1705809183934601</v>
      </c>
      <c r="G79" s="32">
        <f>IF(OR(1808523.91457="",39205.12113="",53222.292=""),"-",(53222.292-39205.12113)/1808523.91457*100)</f>
        <v>0.77506140544084345</v>
      </c>
      <c r="H79" s="32">
        <f>IF(OR(2959029.60112="",57910.87864="",53222.292=""),"-",(57910.87864-53222.292)/2959029.60112*100)</f>
        <v>0.15845014318969167</v>
      </c>
      <c r="I79" s="55"/>
    </row>
    <row r="80" spans="1:9" ht="24" x14ac:dyDescent="0.3">
      <c r="A80" s="58" t="s">
        <v>265</v>
      </c>
      <c r="B80" s="59" t="s">
        <v>165</v>
      </c>
      <c r="C80" s="60">
        <v>5312.5830599999999</v>
      </c>
      <c r="D80" s="67" t="s">
        <v>288</v>
      </c>
      <c r="E80" s="67">
        <f>IF(2358.95479="","-",2358.95479/2959029.60112*100)</f>
        <v>7.9720553964959653E-2</v>
      </c>
      <c r="F80" s="67">
        <f>IF(5312.58306="","-",5312.58306/2667989.85236*100)</f>
        <v>0.19912306095544913</v>
      </c>
      <c r="G80" s="67">
        <f>IF(1808523.91457="","-",(2358.95479-389.17775)/1808523.91457*100)</f>
        <v>0.10891628383406474</v>
      </c>
      <c r="H80" s="67">
        <f>IF(2959029.60112="","-",(5312.58306-2358.95479)/2959029.60112*100)</f>
        <v>9.9817462754750563E-2</v>
      </c>
      <c r="I80" s="55"/>
    </row>
    <row r="81" spans="1:11" s="28" customFormat="1" ht="15" customHeight="1" x14ac:dyDescent="0.2">
      <c r="A81" s="10" t="s">
        <v>268</v>
      </c>
      <c r="B81" s="11"/>
      <c r="C81" s="51"/>
      <c r="D81" s="51"/>
      <c r="E81" s="51"/>
      <c r="F81" s="51"/>
      <c r="G81" s="51"/>
      <c r="H81" s="51"/>
      <c r="I81" s="51"/>
      <c r="J81" s="51"/>
      <c r="K81" s="51"/>
    </row>
    <row r="82" spans="1:11" s="28" customFormat="1" ht="13.5" customHeight="1" x14ac:dyDescent="0.2">
      <c r="A82" s="11" t="s">
        <v>325</v>
      </c>
      <c r="B82" s="11"/>
      <c r="C82" s="51"/>
      <c r="D82" s="51"/>
      <c r="E82" s="51"/>
      <c r="F82" s="51"/>
      <c r="G82" s="51"/>
      <c r="H82" s="51"/>
      <c r="I82" s="51"/>
      <c r="J82" s="51"/>
      <c r="K82" s="51"/>
    </row>
  </sheetData>
  <mergeCells count="8">
    <mergeCell ref="B1:H1"/>
    <mergeCell ref="B2:H2"/>
    <mergeCell ref="A4:A5"/>
    <mergeCell ref="B4:B5"/>
    <mergeCell ref="C4:D4"/>
    <mergeCell ref="E4:F4"/>
    <mergeCell ref="G4:H4"/>
    <mergeCell ref="A3:H3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I81"/>
  <sheetViews>
    <sheetView zoomScaleNormal="100" workbookViewId="0">
      <selection activeCell="B1" sqref="B1:H1"/>
    </sheetView>
  </sheetViews>
  <sheetFormatPr defaultRowHeight="15.6" x14ac:dyDescent="0.3"/>
  <cols>
    <col min="1" max="1" width="4.69921875" style="42" customWidth="1"/>
    <col min="2" max="2" width="26.3984375" style="42" customWidth="1"/>
    <col min="3" max="3" width="10.59765625" style="42" customWidth="1"/>
    <col min="4" max="4" width="9.59765625" style="42" customWidth="1"/>
    <col min="5" max="5" width="7.8984375" style="42" customWidth="1"/>
    <col min="6" max="6" width="7.69921875" style="42" customWidth="1"/>
    <col min="7" max="8" width="9.8984375" style="42" customWidth="1"/>
  </cols>
  <sheetData>
    <row r="1" spans="1:9" s="49" customFormat="1" ht="13.2" x14ac:dyDescent="0.25">
      <c r="A1" s="48"/>
      <c r="B1" s="92" t="s">
        <v>347</v>
      </c>
      <c r="C1" s="92"/>
      <c r="D1" s="92"/>
      <c r="E1" s="92"/>
      <c r="F1" s="92"/>
      <c r="G1" s="92"/>
      <c r="H1" s="92"/>
    </row>
    <row r="2" spans="1:9" s="49" customFormat="1" ht="13.2" x14ac:dyDescent="0.25">
      <c r="A2" s="48"/>
      <c r="B2" s="92" t="s">
        <v>267</v>
      </c>
      <c r="C2" s="92"/>
      <c r="D2" s="92"/>
      <c r="E2" s="92"/>
      <c r="F2" s="92"/>
      <c r="G2" s="92"/>
      <c r="H2" s="92"/>
    </row>
    <row r="3" spans="1:9" x14ac:dyDescent="0.3">
      <c r="A3" s="102"/>
      <c r="B3" s="102"/>
      <c r="C3" s="102"/>
      <c r="D3" s="102"/>
      <c r="E3" s="102"/>
      <c r="F3" s="102"/>
      <c r="G3" s="102"/>
      <c r="H3" s="102"/>
    </row>
    <row r="4" spans="1:9" ht="62.25" customHeight="1" x14ac:dyDescent="0.3">
      <c r="A4" s="96" t="s">
        <v>193</v>
      </c>
      <c r="B4" s="98"/>
      <c r="C4" s="85" t="s">
        <v>360</v>
      </c>
      <c r="D4" s="86"/>
      <c r="E4" s="87" t="s">
        <v>0</v>
      </c>
      <c r="F4" s="88"/>
      <c r="G4" s="100" t="s">
        <v>346</v>
      </c>
      <c r="H4" s="101"/>
    </row>
    <row r="5" spans="1:9" ht="51.75" customHeight="1" x14ac:dyDescent="0.3">
      <c r="A5" s="97"/>
      <c r="B5" s="99"/>
      <c r="C5" s="15" t="s">
        <v>94</v>
      </c>
      <c r="D5" s="14" t="s">
        <v>374</v>
      </c>
      <c r="E5" s="15" t="s">
        <v>361</v>
      </c>
      <c r="F5" s="15" t="s">
        <v>362</v>
      </c>
      <c r="G5" s="15" t="s">
        <v>369</v>
      </c>
      <c r="H5" s="13" t="s">
        <v>370</v>
      </c>
    </row>
    <row r="6" spans="1:9" s="26" customFormat="1" ht="15.75" customHeight="1" x14ac:dyDescent="0.25">
      <c r="A6" s="61"/>
      <c r="B6" s="62" t="s">
        <v>111</v>
      </c>
      <c r="C6" s="63">
        <v>5709381.88442</v>
      </c>
      <c r="D6" s="43">
        <f>IF(5891602.28837="","-",5709381.88442/5891602.28837*100)</f>
        <v>96.907116349151707</v>
      </c>
      <c r="E6" s="43">
        <v>100</v>
      </c>
      <c r="F6" s="43">
        <v>100</v>
      </c>
      <c r="G6" s="43">
        <f>IF(4403044.02622="","-",(5891602.28837-4403044.02622)/4403044.02622*100)</f>
        <v>33.807480762983019</v>
      </c>
      <c r="H6" s="43">
        <f>IF(5891602.28837="","-",(5709381.88442-5891602.28837)/5891602.28837*100)</f>
        <v>-3.092883650848302</v>
      </c>
      <c r="I6" s="37"/>
    </row>
    <row r="7" spans="1:9" s="26" customFormat="1" ht="12" customHeight="1" x14ac:dyDescent="0.25">
      <c r="A7" s="65"/>
      <c r="B7" s="78" t="s">
        <v>403</v>
      </c>
      <c r="C7" s="18"/>
      <c r="D7" s="31"/>
      <c r="E7" s="31"/>
      <c r="F7" s="31"/>
      <c r="G7" s="31"/>
      <c r="H7" s="31"/>
      <c r="I7" s="37"/>
    </row>
    <row r="8" spans="1:9" x14ac:dyDescent="0.3">
      <c r="A8" s="53" t="s">
        <v>194</v>
      </c>
      <c r="B8" s="54" t="s">
        <v>166</v>
      </c>
      <c r="C8" s="18">
        <v>631585.44950999995</v>
      </c>
      <c r="D8" s="31">
        <f>IF(599797.25848="","-",631585.44951/599797.25848*100)</f>
        <v>105.29982266183697</v>
      </c>
      <c r="E8" s="31">
        <f>IF(599797.25848="","-",599797.25848/5891602.28837*100)</f>
        <v>10.180545615986288</v>
      </c>
      <c r="F8" s="31">
        <f>IF(631585.44951="","-",631585.44951/5709381.88442*100)</f>
        <v>11.062238650273102</v>
      </c>
      <c r="G8" s="31">
        <f>IF(4403044.02622="","-",(599797.25848-485548.9984)/4403044.02622*100)</f>
        <v>2.5947562504407151</v>
      </c>
      <c r="H8" s="31">
        <f>IF(5891602.28837="","-",(631585.44951-599797.25848)/5891602.28837*100)</f>
        <v>0.53955086365469296</v>
      </c>
    </row>
    <row r="9" spans="1:9" x14ac:dyDescent="0.3">
      <c r="A9" s="55" t="s">
        <v>195</v>
      </c>
      <c r="B9" s="56" t="s">
        <v>20</v>
      </c>
      <c r="C9" s="20">
        <v>6517.7286000000004</v>
      </c>
      <c r="D9" s="32">
        <f>IF(OR(6420.61152="",6517.7286=""),"-",6517.7286/6420.61152*100)</f>
        <v>101.51258302573648</v>
      </c>
      <c r="E9" s="32">
        <f>IF(6420.61152="","-",6420.61152/5891602.28837*100)</f>
        <v>0.10897903839629947</v>
      </c>
      <c r="F9" s="32">
        <f>IF(6517.7286="","-",6517.7286/5709381.88442*100)</f>
        <v>0.11415821768352631</v>
      </c>
      <c r="G9" s="32">
        <f>IF(OR(4403044.02622="",3556.98507="",6420.61152=""),"-",(6420.61152-3556.98507)/4403044.02622*100)</f>
        <v>6.5037424857602777E-2</v>
      </c>
      <c r="H9" s="32">
        <f>IF(OR(5891602.28837="",6517.7286="",6420.61152=""),"-",(6517.7286-6420.61152)/5891602.28837*100)</f>
        <v>1.6483984363932496E-3</v>
      </c>
    </row>
    <row r="10" spans="1:9" x14ac:dyDescent="0.3">
      <c r="A10" s="55" t="s">
        <v>196</v>
      </c>
      <c r="B10" s="56" t="s">
        <v>167</v>
      </c>
      <c r="C10" s="20">
        <v>54442.969709999998</v>
      </c>
      <c r="D10" s="32">
        <f>IF(OR(54918.09331="",54442.96971=""),"-",54442.96971/54918.09331*100)</f>
        <v>99.134850517628067</v>
      </c>
      <c r="E10" s="32">
        <f>IF(54918.09331="","-",54918.09331/5891602.28837*100)</f>
        <v>0.93214189658402602</v>
      </c>
      <c r="F10" s="32">
        <f>IF(54442.96971="","-",54442.96971/5709381.88442*100)</f>
        <v>0.95357029556152573</v>
      </c>
      <c r="G10" s="32">
        <f>IF(OR(4403044.02622="",40602.58128="",54918.09331=""),"-",(54918.09331-40602.58128)/4403044.02622*100)</f>
        <v>0.32512761500342802</v>
      </c>
      <c r="H10" s="32">
        <f>IF(OR(5891602.28837="",54442.96971="",54918.09331=""),"-",(54442.96971-54918.09331)/5891602.28837*100)</f>
        <v>-8.0644207932685993E-3</v>
      </c>
    </row>
    <row r="11" spans="1:9" s="2" customFormat="1" x14ac:dyDescent="0.3">
      <c r="A11" s="55" t="s">
        <v>197</v>
      </c>
      <c r="B11" s="56" t="s">
        <v>168</v>
      </c>
      <c r="C11" s="20">
        <v>83092.131299999994</v>
      </c>
      <c r="D11" s="32">
        <f>IF(OR(78502.16832="",83092.1313=""),"-",83092.1313/78502.16832*100)</f>
        <v>105.8469250954825</v>
      </c>
      <c r="E11" s="32">
        <f>IF(78502.16832="","-",78502.16832/5891602.28837*100)</f>
        <v>1.3324417446670318</v>
      </c>
      <c r="F11" s="32">
        <f>IF(83092.1313="","-",83092.1313/5709381.88442*100)</f>
        <v>1.4553612454396383</v>
      </c>
      <c r="G11" s="32">
        <f>IF(OR(4403044.02622="",59635.72364="",78502.16832=""),"-",(78502.16832-59635.72364)/4403044.02622*100)</f>
        <v>0.42848639640328068</v>
      </c>
      <c r="H11" s="32">
        <f>IF(OR(5891602.28837="",83092.1313="",78502.16832=""),"-",(83092.1313-78502.16832)/5891602.28837*100)</f>
        <v>7.7906870751621601E-2</v>
      </c>
    </row>
    <row r="12" spans="1:9" s="2" customFormat="1" x14ac:dyDescent="0.3">
      <c r="A12" s="55" t="s">
        <v>198</v>
      </c>
      <c r="B12" s="56" t="s">
        <v>169</v>
      </c>
      <c r="C12" s="20">
        <v>57226.398679999998</v>
      </c>
      <c r="D12" s="32">
        <f>IF(OR(51019.66377="",57226.39868=""),"-",57226.39868/51019.66377*100)</f>
        <v>112.16537791777768</v>
      </c>
      <c r="E12" s="32">
        <f>IF(51019.66377="","-",51019.66377/5891602.28837*100)</f>
        <v>0.86597263821953185</v>
      </c>
      <c r="F12" s="32">
        <f>IF(57226.39868="","-",57226.39868/5709381.88442*100)</f>
        <v>1.0023221399178392</v>
      </c>
      <c r="G12" s="32">
        <f>IF(OR(4403044.02622="",44672.78167="",51019.66377=""),"-",(51019.66377-44672.78167)/4403044.02622*100)</f>
        <v>0.14414759566800836</v>
      </c>
      <c r="H12" s="32">
        <f>IF(OR(5891602.28837="",57226.39868="",51019.66377=""),"-",(57226.39868-51019.66377)/5891602.28837*100)</f>
        <v>0.10534884410395573</v>
      </c>
    </row>
    <row r="13" spans="1:9" s="2" customFormat="1" ht="22.8" x14ac:dyDescent="0.3">
      <c r="A13" s="55" t="s">
        <v>199</v>
      </c>
      <c r="B13" s="56" t="s">
        <v>170</v>
      </c>
      <c r="C13" s="20">
        <v>95014.682279999994</v>
      </c>
      <c r="D13" s="32">
        <f>IF(OR(106217.46168="",95014.68228=""),"-",95014.68228/106217.46168*100)</f>
        <v>89.452977671646423</v>
      </c>
      <c r="E13" s="32">
        <f>IF(106217.46168="","-",106217.46168/5891602.28837*100)</f>
        <v>1.8028620480658182</v>
      </c>
      <c r="F13" s="32">
        <f>IF(95014.68228="","-",95014.68228/5709381.88442*100)</f>
        <v>1.664185093999055</v>
      </c>
      <c r="G13" s="32">
        <f>IF(OR(4403044.02622="",67764.09999="",106217.46168=""),"-",(106217.46168-67764.09999)/4403044.02622*100)</f>
        <v>0.87333584358937433</v>
      </c>
      <c r="H13" s="32">
        <f>IF(OR(5891602.28837="",95014.68228="",106217.46168=""),"-",(95014.68228-106217.46168)/5891602.28837*100)</f>
        <v>-0.19014826275891436</v>
      </c>
    </row>
    <row r="14" spans="1:9" s="2" customFormat="1" x14ac:dyDescent="0.3">
      <c r="A14" s="55" t="s">
        <v>200</v>
      </c>
      <c r="B14" s="56" t="s">
        <v>171</v>
      </c>
      <c r="C14" s="20">
        <v>151003.36590999999</v>
      </c>
      <c r="D14" s="32">
        <f>IF(OR(128374.33504="",151003.36591=""),"-",151003.36591/128374.33504*100)</f>
        <v>117.62737922883811</v>
      </c>
      <c r="E14" s="32">
        <f>IF(128374.33504="","-",128374.33504/5891602.28837*100)</f>
        <v>2.1789375581819299</v>
      </c>
      <c r="F14" s="32">
        <f>IF(151003.36591="","-",151003.36591/5709381.88442*100)</f>
        <v>2.6448286165979593</v>
      </c>
      <c r="G14" s="32">
        <f>IF(OR(4403044.02622="",118791.56682="",128374.33504=""),"-",(128374.33504-118791.56682)/4403044.02622*100)</f>
        <v>0.21763961847610208</v>
      </c>
      <c r="H14" s="32">
        <f>IF(OR(5891602.28837="",151003.36591="",128374.33504=""),"-",(151003.36591-128374.33504)/5891602.28837*100)</f>
        <v>0.38408958654031361</v>
      </c>
    </row>
    <row r="15" spans="1:9" s="2" customFormat="1" ht="22.8" x14ac:dyDescent="0.3">
      <c r="A15" s="55" t="s">
        <v>201</v>
      </c>
      <c r="B15" s="56" t="s">
        <v>129</v>
      </c>
      <c r="C15" s="20">
        <v>16749.893189999999</v>
      </c>
      <c r="D15" s="32">
        <f>IF(OR(13224.55396="",16749.89319=""),"-",16749.89319/13224.55396*100)</f>
        <v>126.65752841769191</v>
      </c>
      <c r="E15" s="32">
        <f>IF(13224.55396="","-",13224.55396/5891602.28837*100)</f>
        <v>0.22446447184843446</v>
      </c>
      <c r="F15" s="32">
        <f>IF(16749.89319="","-",16749.89319/5709381.88442*100)</f>
        <v>0.29337489642631559</v>
      </c>
      <c r="G15" s="32">
        <f>IF(OR(4403044.02622="",11727.12564="",13224.55396=""),"-",(13224.55396-11727.12564)/4403044.02622*100)</f>
        <v>3.4008933616899051E-2</v>
      </c>
      <c r="H15" s="32">
        <f>IF(OR(5891602.28837="",16749.89319="",13224.55396=""),"-",(16749.89319-13224.55396)/5891602.28837*100)</f>
        <v>5.9836680370618456E-2</v>
      </c>
    </row>
    <row r="16" spans="1:9" s="2" customFormat="1" ht="22.8" x14ac:dyDescent="0.3">
      <c r="A16" s="55" t="s">
        <v>202</v>
      </c>
      <c r="B16" s="56" t="s">
        <v>172</v>
      </c>
      <c r="C16" s="20">
        <v>49647.841379999998</v>
      </c>
      <c r="D16" s="32">
        <f>IF(OR(43035.54744="",49647.84138=""),"-",49647.84138/43035.54744*100)</f>
        <v>115.3647259843013</v>
      </c>
      <c r="E16" s="32">
        <f>IF(43035.54744="","-",43035.54744/5891602.28837*100)</f>
        <v>0.73045574588345863</v>
      </c>
      <c r="F16" s="32">
        <f>IF(49647.84138="","-",49647.84138/5709381.88442*100)</f>
        <v>0.86958347479752762</v>
      </c>
      <c r="G16" s="32">
        <f>IF(OR(4403044.02622="",39731.53613="",43035.54744=""),"-",(43035.54744-39731.53613)/4403044.02622*100)</f>
        <v>7.5039252170196566E-2</v>
      </c>
      <c r="H16" s="32">
        <f>IF(OR(5891602.28837="",49647.84138="",43035.54744=""),"-",(49647.84138-43035.54744)/5891602.28837*100)</f>
        <v>0.11223252379157769</v>
      </c>
    </row>
    <row r="17" spans="1:8" s="2" customFormat="1" ht="22.8" x14ac:dyDescent="0.3">
      <c r="A17" s="55" t="s">
        <v>203</v>
      </c>
      <c r="B17" s="56" t="s">
        <v>130</v>
      </c>
      <c r="C17" s="20">
        <v>39821.092530000002</v>
      </c>
      <c r="D17" s="32">
        <f>IF(OR(37197.32638="",39821.09253=""),"-",39821.09253/37197.32638*100)</f>
        <v>107.05364176768019</v>
      </c>
      <c r="E17" s="32">
        <f>IF(37197.32638="","-",37197.32638/5891602.28837*100)</f>
        <v>0.63136180209291071</v>
      </c>
      <c r="F17" s="32">
        <f>IF(39821.09253="","-",39821.09253/5709381.88442*100)</f>
        <v>0.69746766525927206</v>
      </c>
      <c r="G17" s="32">
        <f>IF(OR(4403044.02622="",32344.29734="",37197.32638=""),"-",(37197.32638-32344.29734)/4403044.02622*100)</f>
        <v>0.11021986178426446</v>
      </c>
      <c r="H17" s="32">
        <f>IF(OR(5891602.28837="",39821.09253="",37197.32638=""),"-",(39821.09253-37197.32638)/5891602.28837*100)</f>
        <v>4.4533999777603916E-2</v>
      </c>
    </row>
    <row r="18" spans="1:8" s="2" customFormat="1" ht="22.8" x14ac:dyDescent="0.3">
      <c r="A18" s="55" t="s">
        <v>204</v>
      </c>
      <c r="B18" s="56" t="s">
        <v>173</v>
      </c>
      <c r="C18" s="20">
        <v>78069.345929999996</v>
      </c>
      <c r="D18" s="32">
        <f>IF(OR(80887.49706="",78069.34593=""),"-",78069.34593/80887.49706*100)</f>
        <v>96.515962005958016</v>
      </c>
      <c r="E18" s="32">
        <f>IF(80887.49706="","-",80887.49706/5891602.28837*100)</f>
        <v>1.3729286720468488</v>
      </c>
      <c r="F18" s="32">
        <f>IF(78069.34593="","-",78069.34593/5709381.88442*100)</f>
        <v>1.3673870045904424</v>
      </c>
      <c r="G18" s="32">
        <f>IF(OR(4403044.02622="",66722.30082="",80887.49706=""),"-",(80887.49706-66722.30082)/4403044.02622*100)</f>
        <v>0.3217137088715592</v>
      </c>
      <c r="H18" s="32">
        <f>IF(OR(5891602.28837="",78069.34593="",80887.49706=""),"-",(78069.34593-80887.49706)/5891602.28837*100)</f>
        <v>-4.7833356565208374E-2</v>
      </c>
    </row>
    <row r="19" spans="1:8" s="2" customFormat="1" x14ac:dyDescent="0.3">
      <c r="A19" s="53" t="s">
        <v>205</v>
      </c>
      <c r="B19" s="54" t="s">
        <v>174</v>
      </c>
      <c r="C19" s="18">
        <v>95767.182660000006</v>
      </c>
      <c r="D19" s="31">
        <f>IF(86110.69142="","-",95767.18266/86110.69142*100)</f>
        <v>111.21404448246852</v>
      </c>
      <c r="E19" s="31">
        <f>IF(86110.69142="","-",86110.69142/5891602.28837*100)</f>
        <v>1.4615835761687812</v>
      </c>
      <c r="F19" s="31">
        <f>IF(95767.18266="","-",95767.18266/5709381.88442*100)</f>
        <v>1.6773651613904736</v>
      </c>
      <c r="G19" s="31">
        <f>IF(4403044.02622="","-",(86110.69142-84619.16097)/4403044.02622*100)</f>
        <v>3.387498378662545E-2</v>
      </c>
      <c r="H19" s="31">
        <f>IF(5891602.28837="","-",(95767.18266-86110.69142)/5891602.28837*100)</f>
        <v>0.16390263238002128</v>
      </c>
    </row>
    <row r="20" spans="1:8" s="2" customFormat="1" x14ac:dyDescent="0.3">
      <c r="A20" s="55" t="s">
        <v>206</v>
      </c>
      <c r="B20" s="56" t="s">
        <v>175</v>
      </c>
      <c r="C20" s="20">
        <v>65847.744619999998</v>
      </c>
      <c r="D20" s="32">
        <f>IF(OR(56887.23407="",65847.74462=""),"-",65847.74462/56887.23407*100)</f>
        <v>115.75135563626463</v>
      </c>
      <c r="E20" s="32">
        <f>IF(56887.23407="","-",56887.23407/5891602.28837*100)</f>
        <v>0.96556473579853097</v>
      </c>
      <c r="F20" s="32">
        <f>IF(65847.74462="","-",65847.74462/5709381.88442*100)</f>
        <v>1.1533252802669949</v>
      </c>
      <c r="G20" s="32">
        <f>IF(OR(4403044.02622="",53041.37649="",56887.23407=""),"-",(56887.23407-53041.37649)/4403044.02622*100)</f>
        <v>8.7345426416316194E-2</v>
      </c>
      <c r="H20" s="32">
        <f>IF(OR(5891602.28837="",65847.74462="",56887.23407=""),"-",(65847.74462-56887.23407)/5891602.28837*100)</f>
        <v>0.15208953543398562</v>
      </c>
    </row>
    <row r="21" spans="1:8" s="2" customFormat="1" x14ac:dyDescent="0.3">
      <c r="A21" s="55" t="s">
        <v>207</v>
      </c>
      <c r="B21" s="56" t="s">
        <v>176</v>
      </c>
      <c r="C21" s="20">
        <v>29919.438040000001</v>
      </c>
      <c r="D21" s="32">
        <f>IF(OR(29223.45735="",29919.43804=""),"-",29919.43804/29223.45735*100)</f>
        <v>102.38158230788528</v>
      </c>
      <c r="E21" s="32">
        <f>IF(29223.45735="","-",29223.45735/5891602.28837*100)</f>
        <v>0.49601884037025018</v>
      </c>
      <c r="F21" s="32">
        <f>IF(29919.43804="","-",29919.43804/5709381.88442*100)</f>
        <v>0.52403988112347877</v>
      </c>
      <c r="G21" s="32">
        <f>IF(OR(4403044.02622="",31577.78448="",29223.45735=""),"-",(29223.45735-31577.78448)/4403044.02622*100)</f>
        <v>-5.3470442629690904E-2</v>
      </c>
      <c r="H21" s="32">
        <f>IF(OR(5891602.28837="",29919.43804="",29223.45735=""),"-",(29919.43804-29223.45735)/5891602.28837*100)</f>
        <v>1.1813096946035604E-2</v>
      </c>
    </row>
    <row r="22" spans="1:8" s="2" customFormat="1" ht="24" x14ac:dyDescent="0.3">
      <c r="A22" s="53" t="s">
        <v>208</v>
      </c>
      <c r="B22" s="54" t="s">
        <v>21</v>
      </c>
      <c r="C22" s="18">
        <v>158667.45344000001</v>
      </c>
      <c r="D22" s="31">
        <f>IF(208758.99588="","-",158667.45344/208758.99588*100)</f>
        <v>76.005085563453335</v>
      </c>
      <c r="E22" s="31">
        <f>IF(208758.99588="","-",208758.99588/5891602.28837*100)</f>
        <v>3.5433314345078832</v>
      </c>
      <c r="F22" s="31">
        <f>IF(158667.45344="","-",158667.45344/5709381.88442*100)</f>
        <v>2.7790653463377253</v>
      </c>
      <c r="G22" s="31">
        <f>IF(4403044.02622="","-",(208758.99588-132145.56063)/4403044.02622*100)</f>
        <v>1.7400106561226554</v>
      </c>
      <c r="H22" s="31">
        <f>IF(5891602.28837="","-",(158667.45344-208758.99588)/5891602.28837*100)</f>
        <v>-0.85021934591342829</v>
      </c>
    </row>
    <row r="23" spans="1:8" s="2" customFormat="1" x14ac:dyDescent="0.3">
      <c r="A23" s="55" t="s">
        <v>210</v>
      </c>
      <c r="B23" s="56" t="s">
        <v>177</v>
      </c>
      <c r="C23" s="20">
        <v>68176.801609999995</v>
      </c>
      <c r="D23" s="32">
        <f>IF(OR(112970.92865="",68176.80161=""),"-",68176.80161/112970.92865*100)</f>
        <v>60.348978648499404</v>
      </c>
      <c r="E23" s="32">
        <f>IF(112970.92865="","-",112970.92865/5891602.28837*100)</f>
        <v>1.9174907456500276</v>
      </c>
      <c r="F23" s="32">
        <f>IF(68176.80161="","-",68176.80161/5709381.88442*100)</f>
        <v>1.1941187853635031</v>
      </c>
      <c r="G23" s="32">
        <f>IF(OR(4403044.02622="",42357.10981="",112970.92865=""),"-",(112970.92865-42357.10981)/4403044.02622*100)</f>
        <v>1.6037500061206915</v>
      </c>
      <c r="H23" s="32">
        <f>IF(OR(5891602.28837="",68176.80161="",112970.92865=""),"-",(68176.80161-112970.92865)/5891602.28837*100)</f>
        <v>-0.76030466497074045</v>
      </c>
    </row>
    <row r="24" spans="1:8" s="2" customFormat="1" ht="22.8" x14ac:dyDescent="0.3">
      <c r="A24" s="55" t="s">
        <v>263</v>
      </c>
      <c r="B24" s="56" t="s">
        <v>178</v>
      </c>
      <c r="C24" s="20">
        <v>2814.7226000000001</v>
      </c>
      <c r="D24" s="32">
        <f>IF(OR(3024.60335="",2814.7226=""),"-",2814.7226/3024.60335*100)</f>
        <v>93.060883503947721</v>
      </c>
      <c r="E24" s="32">
        <f>IF(3024.60335="","-",3024.60335/5891602.28837*100)</f>
        <v>5.13375343744868E-2</v>
      </c>
      <c r="F24" s="32">
        <f>IF(2814.7226="","-",2814.7226/5709381.88442*100)</f>
        <v>4.929995325204875E-2</v>
      </c>
      <c r="G24" s="32">
        <f>IF(OR(4403044.02622="",1535.13221="",3024.60335=""),"-",(3024.60335-1535.13221)/4403044.02622*100)</f>
        <v>3.3828213643339523E-2</v>
      </c>
      <c r="H24" s="32">
        <f>IF(OR(5891602.28837="",2814.7226="",3024.60335=""),"-",(2814.7226-3024.60335)/5891602.28837*100)</f>
        <v>-3.5623713164465221E-3</v>
      </c>
    </row>
    <row r="25" spans="1:8" s="2" customFormat="1" x14ac:dyDescent="0.3">
      <c r="A25" s="55" t="s">
        <v>211</v>
      </c>
      <c r="B25" s="56" t="s">
        <v>179</v>
      </c>
      <c r="C25" s="20">
        <v>28706.442419999999</v>
      </c>
      <c r="D25" s="32">
        <f>IF(OR(39995.46931="",28706.44242=""),"-",28706.44242/39995.46931*100)</f>
        <v>71.774235720300879</v>
      </c>
      <c r="E25" s="32">
        <f>IF(39995.46931="","-",39995.46931/5891602.28837*100)</f>
        <v>0.67885555324993507</v>
      </c>
      <c r="F25" s="32">
        <f>IF(28706.44242="","-",28706.44242/5709381.88442*100)</f>
        <v>0.50279422538428098</v>
      </c>
      <c r="G25" s="32">
        <f>IF(OR(4403044.02622="",33026.9073="",39995.46931=""),"-",(39995.46931-33026.9073)/4403044.02622*100)</f>
        <v>0.15826691644467816</v>
      </c>
      <c r="H25" s="32">
        <f>IF(OR(5891602.28837="",28706.44242="",39995.46931=""),"-",(28706.44242-39995.46931)/5891602.28837*100)</f>
        <v>-0.19161216825997396</v>
      </c>
    </row>
    <row r="26" spans="1:8" s="2" customFormat="1" x14ac:dyDescent="0.3">
      <c r="A26" s="55" t="s">
        <v>212</v>
      </c>
      <c r="B26" s="56" t="s">
        <v>131</v>
      </c>
      <c r="C26" s="20">
        <v>248.09298000000001</v>
      </c>
      <c r="D26" s="32">
        <f>IF(OR(513.14948="",248.09298=""),"-",248.09298/513.14948*100)</f>
        <v>48.347117101239192</v>
      </c>
      <c r="E26" s="32">
        <f>IF(513.14948="","-",513.14948/5891602.28837*100)</f>
        <v>8.7098458939252419E-3</v>
      </c>
      <c r="F26" s="32">
        <f>IF(248.09298="","-",248.09298/5709381.88442*100)</f>
        <v>4.3453562053189414E-3</v>
      </c>
      <c r="G26" s="32">
        <f>IF(OR(4403044.02622="",388.48929="",513.14948=""),"-",(513.14948-388.48929)/4403044.02622*100)</f>
        <v>2.8312274248826997E-3</v>
      </c>
      <c r="H26" s="32">
        <f>IF(OR(5891602.28837="",248.09298="",513.14948=""),"-",(248.09298-513.14948)/5891602.28837*100)</f>
        <v>-4.4988865002517321E-3</v>
      </c>
    </row>
    <row r="27" spans="1:8" s="2" customFormat="1" ht="34.200000000000003" x14ac:dyDescent="0.3">
      <c r="A27" s="55" t="s">
        <v>213</v>
      </c>
      <c r="B27" s="56" t="s">
        <v>132</v>
      </c>
      <c r="C27" s="20">
        <v>5103.0785500000002</v>
      </c>
      <c r="D27" s="32">
        <f>IF(OR(5322.05125="",5103.07855=""),"-",5103.07855/5322.05125*100)</f>
        <v>95.88555822343875</v>
      </c>
      <c r="E27" s="32">
        <f>IF(5322.05125="","-",5322.05125/5891602.28837*100)</f>
        <v>9.0332832895148221E-2</v>
      </c>
      <c r="F27" s="32">
        <f>IF(5103.07855="","-",5103.07855/5709381.88442*100)</f>
        <v>8.938057837618979E-2</v>
      </c>
      <c r="G27" s="32">
        <f>IF(OR(4403044.02622="",6554.35286="",5322.05125=""),"-",(5322.05125-6554.35286)/4403044.02622*100)</f>
        <v>-2.7987492349876106E-2</v>
      </c>
      <c r="H27" s="32">
        <f>IF(OR(5891602.28837="",5103.07855="",5322.05125=""),"-",(5103.07855-5322.05125)/5891602.28837*100)</f>
        <v>-3.7166918145892418E-3</v>
      </c>
    </row>
    <row r="28" spans="1:8" s="2" customFormat="1" ht="34.200000000000003" x14ac:dyDescent="0.3">
      <c r="A28" s="55" t="s">
        <v>214</v>
      </c>
      <c r="B28" s="56" t="s">
        <v>133</v>
      </c>
      <c r="C28" s="20">
        <v>14965.612880000001</v>
      </c>
      <c r="D28" s="32">
        <f>IF(OR(13349.68362="",14965.61288=""),"-",14965.61288/13349.68362*100)</f>
        <v>112.10462589225018</v>
      </c>
      <c r="E28" s="32">
        <f>IF(13349.68362="","-",13349.68362/5891602.28837*100)</f>
        <v>0.22658833652692786</v>
      </c>
      <c r="F28" s="32">
        <f>IF(14965.61288="","-",14965.61288/5709381.88442*100)</f>
        <v>0.26212317170163008</v>
      </c>
      <c r="G28" s="32">
        <f>IF(OR(4403044.02622="",12957.04226="",13349.68362=""),"-",(13349.68362-12957.04226)/4403044.02622*100)</f>
        <v>8.917497932381134E-3</v>
      </c>
      <c r="H28" s="32">
        <f>IF(OR(5891602.28837="",14965.61288="",13349.68362=""),"-",(14965.61288-13349.68362)/5891602.28837*100)</f>
        <v>2.7427670452057479E-2</v>
      </c>
    </row>
    <row r="29" spans="1:8" s="2" customFormat="1" ht="22.8" x14ac:dyDescent="0.3">
      <c r="A29" s="55" t="s">
        <v>215</v>
      </c>
      <c r="B29" s="56" t="s">
        <v>134</v>
      </c>
      <c r="C29" s="20">
        <v>2109.71072</v>
      </c>
      <c r="D29" s="32">
        <f>IF(OR(1639.80267="",2109.71072=""),"-",2109.71072/1639.80267*100)</f>
        <v>128.65637790429992</v>
      </c>
      <c r="E29" s="32">
        <f>IF(1639.80267="","-",1639.80267/5891602.28837*100)</f>
        <v>2.7832881273010642E-2</v>
      </c>
      <c r="F29" s="32">
        <f>IF(2109.71072="","-",2109.71072/5709381.88442*100)</f>
        <v>3.695164840448082E-2</v>
      </c>
      <c r="G29" s="32">
        <f>IF(OR(4403044.02622="",924.35249="",1639.80267=""),"-",(1639.80267-924.35249)/4403044.02622*100)</f>
        <v>1.624898992014422E-2</v>
      </c>
      <c r="H29" s="32">
        <f>IF(OR(5891602.28837="",2109.71072="",1639.80267=""),"-",(2109.71072-1639.80267)/5891602.28837*100)</f>
        <v>7.9758956392490497E-3</v>
      </c>
    </row>
    <row r="30" spans="1:8" s="2" customFormat="1" ht="22.8" x14ac:dyDescent="0.3">
      <c r="A30" s="55" t="s">
        <v>216</v>
      </c>
      <c r="B30" s="56" t="s">
        <v>135</v>
      </c>
      <c r="C30" s="20">
        <v>36542.991679999999</v>
      </c>
      <c r="D30" s="32">
        <f>IF(OR(31943.30755="",36542.99168=""),"-",36542.99168/31943.30755*100)</f>
        <v>114.39952366485603</v>
      </c>
      <c r="E30" s="32">
        <f>IF(31943.30755="","-",31943.30755/5891602.28837*100)</f>
        <v>0.54218370464442189</v>
      </c>
      <c r="F30" s="32">
        <f>IF(36542.99168="","-",36542.99168/5709381.88442*100)</f>
        <v>0.64005162765027224</v>
      </c>
      <c r="G30" s="32">
        <f>IF(OR(4403044.02622="",34387.53999="",31943.30755=""),"-",(31943.30755-34387.53999)/4403044.02622*100)</f>
        <v>-5.5512332500984828E-2</v>
      </c>
      <c r="H30" s="32">
        <f>IF(OR(5891602.28837="",36542.99168="",31943.30755=""),"-",(36542.99168-31943.30755)/5891602.28837*100)</f>
        <v>7.8071870857266717E-2</v>
      </c>
    </row>
    <row r="31" spans="1:8" s="2" customFormat="1" ht="24" x14ac:dyDescent="0.3">
      <c r="A31" s="53" t="s">
        <v>217</v>
      </c>
      <c r="B31" s="54" t="s">
        <v>136</v>
      </c>
      <c r="C31" s="18">
        <v>1342287.00416</v>
      </c>
      <c r="D31" s="31">
        <f>IF(1514987.44873="","-",1342287.00416/1514987.44873*100)</f>
        <v>88.600536280695053</v>
      </c>
      <c r="E31" s="31">
        <f>IF(1514987.44873="","-",1514987.44873/5891602.28837*100)</f>
        <v>25.714353660982503</v>
      </c>
      <c r="F31" s="31">
        <f>IF(1342287.00416="","-",1342287.00416/5709381.88442*100)</f>
        <v>23.510198325021644</v>
      </c>
      <c r="G31" s="31">
        <f>IF(4403044.02622="","-",(1514987.44873-551240.53141)/4403044.02622*100)</f>
        <v>21.888196247435069</v>
      </c>
      <c r="H31" s="31">
        <f>IF(5891602.28837="","-",(1342287.00416-1514987.44873)/5891602.28837*100)</f>
        <v>-2.9312984162374649</v>
      </c>
    </row>
    <row r="32" spans="1:8" s="2" customFormat="1" x14ac:dyDescent="0.3">
      <c r="A32" s="55" t="s">
        <v>218</v>
      </c>
      <c r="B32" s="56" t="s">
        <v>180</v>
      </c>
      <c r="C32" s="20">
        <v>13185.49411</v>
      </c>
      <c r="D32" s="32">
        <f>IF(OR(21425.78418="",13185.49411=""),"-",13185.49411/21425.78418*100)</f>
        <v>61.54031049331703</v>
      </c>
      <c r="E32" s="32">
        <f>IF(21425.78418="","-",21425.78418/5891602.28837*100)</f>
        <v>0.36366650583822357</v>
      </c>
      <c r="F32" s="32">
        <f>IF(13185.49411="","-",13185.49411/5709381.88442*100)</f>
        <v>0.23094433647854468</v>
      </c>
      <c r="G32" s="32">
        <f>IF(OR(4403044.02622="",9499.66108="",21425.78418=""),"-",(21425.78418-9499.66108)/4403044.02622*100)</f>
        <v>0.27086086418805444</v>
      </c>
      <c r="H32" s="32">
        <f>IF(OR(5891602.28837="",13185.49411="",21425.78418=""),"-",(13185.49411-21425.78418)/5891602.28837*100)</f>
        <v>-0.13986500898518386</v>
      </c>
    </row>
    <row r="33" spans="1:8" s="2" customFormat="1" ht="22.8" x14ac:dyDescent="0.3">
      <c r="A33" s="55" t="s">
        <v>219</v>
      </c>
      <c r="B33" s="56" t="s">
        <v>137</v>
      </c>
      <c r="C33" s="20">
        <v>901554.63621000003</v>
      </c>
      <c r="D33" s="32">
        <f>IF(OR(944225.92991="",901554.63621=""),"-",901554.63621/944225.92991*100)</f>
        <v>95.480817424271834</v>
      </c>
      <c r="E33" s="32">
        <f>IF(944225.92991="","-",944225.92991/5891602.28837*100)</f>
        <v>16.026640694567899</v>
      </c>
      <c r="F33" s="32">
        <f>IF(901554.63621="","-",901554.63621/5709381.88442*100)</f>
        <v>15.7907572914364</v>
      </c>
      <c r="G33" s="32">
        <f>IF(OR(4403044.02622="",374537.97819="",944225.92991=""),"-",(944225.92991-374537.97819)/4403044.02622*100)</f>
        <v>12.938502279957337</v>
      </c>
      <c r="H33" s="32">
        <f>IF(OR(5891602.28837="",901554.63621="",944225.92991=""),"-",(901554.63621-944225.92991)/5891602.28837*100)</f>
        <v>-0.72427315374347123</v>
      </c>
    </row>
    <row r="34" spans="1:8" s="2" customFormat="1" ht="22.8" x14ac:dyDescent="0.3">
      <c r="A34" s="55" t="s">
        <v>264</v>
      </c>
      <c r="B34" s="56" t="s">
        <v>181</v>
      </c>
      <c r="C34" s="20">
        <v>394086.35219000001</v>
      </c>
      <c r="D34" s="32">
        <f>IF(OR(512157.37764="",394086.35219=""),"-",394086.35219/512157.37764*100)</f>
        <v>76.946339034679852</v>
      </c>
      <c r="E34" s="32">
        <f>IF(512157.37764="","-",512157.37764/5891602.28837*100)</f>
        <v>8.6930066316763543</v>
      </c>
      <c r="F34" s="32">
        <f>IF(394086.35219="","-",394086.35219/5709381.88442*100)</f>
        <v>6.9024346272124362</v>
      </c>
      <c r="G34" s="32">
        <f>IF(OR(4403044.02622="",159822.60815="",512157.37764=""),"-",(512157.37764-159822.60815)/4403044.02622*100)</f>
        <v>8.0020723706566788</v>
      </c>
      <c r="H34" s="32">
        <f>IF(OR(5891602.28837="",394086.35219="",512157.37764=""),"-",(394086.35219-512157.37764)/5891602.28837*100)</f>
        <v>-2.0040562765594641</v>
      </c>
    </row>
    <row r="35" spans="1:8" s="2" customFormat="1" x14ac:dyDescent="0.3">
      <c r="A35" s="55" t="s">
        <v>269</v>
      </c>
      <c r="B35" s="56" t="s">
        <v>271</v>
      </c>
      <c r="C35" s="20">
        <v>33460.521650000002</v>
      </c>
      <c r="D35" s="32">
        <f>IF(OR(37178.357="",33460.52165=""),"-",33460.52165/37178.357*100)</f>
        <v>90.000000941407919</v>
      </c>
      <c r="E35" s="32">
        <f>IF(37178.357="","-",37178.357/5891602.28837*100)</f>
        <v>0.63103982890002497</v>
      </c>
      <c r="F35" s="32">
        <f>IF(33460.52165="","-",33460.52165/5709381.88442*100)</f>
        <v>0.58606206989426424</v>
      </c>
      <c r="G35" s="32">
        <f>IF(OR(4403044.02622="",7380.28399="",37178.357=""),"-",(37178.357-7380.28399)/4403044.02622*100)</f>
        <v>0.67676073263299974</v>
      </c>
      <c r="H35" s="32">
        <f>IF(OR(5891602.28837="",33460.52165="",37178.357=""),"-",(33460.52165-37178.357)/5891602.28837*100)</f>
        <v>-6.310397694934354E-2</v>
      </c>
    </row>
    <row r="36" spans="1:8" s="2" customFormat="1" ht="24" x14ac:dyDescent="0.3">
      <c r="A36" s="53" t="s">
        <v>220</v>
      </c>
      <c r="B36" s="54" t="s">
        <v>138</v>
      </c>
      <c r="C36" s="18">
        <v>18582.022420000001</v>
      </c>
      <c r="D36" s="31">
        <f>IF(51553.63117="","-",18582.02242/51553.63117*100)</f>
        <v>36.044061297496384</v>
      </c>
      <c r="E36" s="31">
        <f>IF(51553.63117="","-",51553.63117/5891602.28837*100)</f>
        <v>0.87503583315130873</v>
      </c>
      <c r="F36" s="31">
        <f>IF(18582.02242="","-",18582.02242/5709381.88442*100)</f>
        <v>0.32546469646228082</v>
      </c>
      <c r="G36" s="31">
        <f>IF(4403044.02622="","-",(51553.63117-9098.97239)/4403044.02622*100)</f>
        <v>0.96421154381341012</v>
      </c>
      <c r="H36" s="31">
        <f>IF(5891602.28837="","-",(18582.02242-51553.63117)/5891602.28837*100)</f>
        <v>-0.55963738107519279</v>
      </c>
    </row>
    <row r="37" spans="1:8" s="2" customFormat="1" x14ac:dyDescent="0.3">
      <c r="A37" s="55" t="s">
        <v>221</v>
      </c>
      <c r="B37" s="56" t="s">
        <v>184</v>
      </c>
      <c r="C37" s="20">
        <v>2262.6688300000001</v>
      </c>
      <c r="D37" s="32">
        <f>IF(OR(1621.08175="",2262.66883=""),"-",2262.66883/1621.08175*100)</f>
        <v>139.57771284514183</v>
      </c>
      <c r="E37" s="32">
        <f>IF(1621.08175="","-",1621.08175/5891602.28837*100)</f>
        <v>2.7515125269063204E-2</v>
      </c>
      <c r="F37" s="32">
        <f>IF(2262.66883="","-",2262.66883/5709381.88442*100)</f>
        <v>3.9630714424173749E-2</v>
      </c>
      <c r="G37" s="32">
        <f>IF(OR(4403044.02622="",1182.66491="",1621.08175=""),"-",(1621.08175-1182.66491)/4403044.02622*100)</f>
        <v>9.9571305076497172E-3</v>
      </c>
      <c r="H37" s="32">
        <f>IF(OR(5891602.28837="",2262.66883="",1621.08175=""),"-",(2262.66883-1621.08175)/5891602.28837*100)</f>
        <v>1.0889857267970895E-2</v>
      </c>
    </row>
    <row r="38" spans="1:8" s="2" customFormat="1" ht="22.8" x14ac:dyDescent="0.3">
      <c r="A38" s="55" t="s">
        <v>222</v>
      </c>
      <c r="B38" s="56" t="s">
        <v>139</v>
      </c>
      <c r="C38" s="20">
        <v>14041.23914</v>
      </c>
      <c r="D38" s="32">
        <f>IF(OR(47509.038="",14041.23914=""),"-",14041.23914/47509.038*100)</f>
        <v>29.554879936739614</v>
      </c>
      <c r="E38" s="32">
        <f>IF(47509.038="","-",47509.038/5891602.28837*100)</f>
        <v>0.80638569398655202</v>
      </c>
      <c r="F38" s="32">
        <f>IF(14041.23914="","-",14041.23914/5709381.88442*100)</f>
        <v>0.24593273710270319</v>
      </c>
      <c r="G38" s="32">
        <f>IF(OR(4403044.02622="",6597.87793="",47509.038=""),"-",(47509.038-6597.87793)/4403044.02622*100)</f>
        <v>0.92915627975498816</v>
      </c>
      <c r="H38" s="32">
        <f>IF(OR(5891602.28837="",14041.23914="",47509.038=""),"-",(14041.23914-47509.038)/5891602.28837*100)</f>
        <v>-0.568059370301782</v>
      </c>
    </row>
    <row r="39" spans="1:8" s="2" customFormat="1" ht="57" x14ac:dyDescent="0.3">
      <c r="A39" s="55" t="s">
        <v>223</v>
      </c>
      <c r="B39" s="56" t="s">
        <v>182</v>
      </c>
      <c r="C39" s="20">
        <v>2278.11445</v>
      </c>
      <c r="D39" s="32">
        <f>IF(OR(2423.51142="",2278.11445=""),"-",2278.11445/2423.51142*100)</f>
        <v>94.000565922647894</v>
      </c>
      <c r="E39" s="32">
        <f>IF(2423.51142="","-",2423.51142/5891602.28837*100)</f>
        <v>4.1135013895693566E-2</v>
      </c>
      <c r="F39" s="32">
        <f>IF(2278.11445="","-",2278.11445/5709381.88442*100)</f>
        <v>3.9901244935403847E-2</v>
      </c>
      <c r="G39" s="32">
        <f>IF(OR(4403044.02622="",1318.42955="",2423.51142=""),"-",(2423.51142-1318.42955)/4403044.02622*100)</f>
        <v>2.5098133550772353E-2</v>
      </c>
      <c r="H39" s="32">
        <f>IF(OR(5891602.28837="",2278.11445="",2423.51142=""),"-",(2278.11445-2423.51142)/5891602.28837*100)</f>
        <v>-2.467868041381762E-3</v>
      </c>
    </row>
    <row r="40" spans="1:8" s="2" customFormat="1" ht="24" x14ac:dyDescent="0.3">
      <c r="A40" s="53" t="s">
        <v>224</v>
      </c>
      <c r="B40" s="54" t="s">
        <v>140</v>
      </c>
      <c r="C40" s="18">
        <v>741196.94068</v>
      </c>
      <c r="D40" s="31">
        <f>IF(729927.9979="","-",741196.94068/729927.9979*100)</f>
        <v>101.54384306567508</v>
      </c>
      <c r="E40" s="31">
        <f>IF(729927.9979="","-",729927.9979/5891602.28837*100)</f>
        <v>12.389295172569183</v>
      </c>
      <c r="F40" s="31">
        <f>IF(741196.94068="","-",741196.94068/5709381.88442*100)</f>
        <v>12.982087302701</v>
      </c>
      <c r="G40" s="31">
        <f>IF(4403044.02622="","-",(729927.9979-669052.78466)/4403044.02622*100)</f>
        <v>1.3825710775883642</v>
      </c>
      <c r="H40" s="31">
        <f>IF(5891602.28837="","-",(741196.94068-729927.9979)/5891602.28837*100)</f>
        <v>0.1912712744077259</v>
      </c>
    </row>
    <row r="41" spans="1:8" s="2" customFormat="1" x14ac:dyDescent="0.3">
      <c r="A41" s="55" t="s">
        <v>225</v>
      </c>
      <c r="B41" s="56" t="s">
        <v>22</v>
      </c>
      <c r="C41" s="20">
        <v>10715.568219999999</v>
      </c>
      <c r="D41" s="32">
        <f>IF(OR(12253.12437="",10715.56822=""),"-",10715.56822/12253.12437*100)</f>
        <v>87.451721670560332</v>
      </c>
      <c r="E41" s="32">
        <f>IF(12253.12437="","-",12253.12437/5891602.28837*100)</f>
        <v>0.2079760949612573</v>
      </c>
      <c r="F41" s="32">
        <f>IF(10715.56822="","-",10715.56822/5709381.88442*100)</f>
        <v>0.18768350824878416</v>
      </c>
      <c r="G41" s="32">
        <f>IF(OR(4403044.02622="",8512.59885="",12253.12437=""),"-",(12253.12437-8512.59885)/4403044.02622*100)</f>
        <v>8.4953170981831611E-2</v>
      </c>
      <c r="H41" s="32">
        <f>IF(OR(5891602.28837="",10715.56822="",12253.12437=""),"-",(10715.56822-12253.12437)/5891602.28837*100)</f>
        <v>-2.6097419254438307E-2</v>
      </c>
    </row>
    <row r="42" spans="1:8" s="2" customFormat="1" x14ac:dyDescent="0.3">
      <c r="A42" s="55" t="s">
        <v>226</v>
      </c>
      <c r="B42" s="56" t="s">
        <v>23</v>
      </c>
      <c r="C42" s="20">
        <v>24341.027460000001</v>
      </c>
      <c r="D42" s="32">
        <f>IF(OR(20188.11289="",24341.02746=""),"-",24341.02746/20188.11289*100)</f>
        <v>120.57108850454819</v>
      </c>
      <c r="E42" s="32">
        <f>IF(20188.11289="","-",20188.11289/5891602.28837*100)</f>
        <v>0.34265912568218082</v>
      </c>
      <c r="F42" s="32">
        <f>IF(24341.02746="","-",24341.02746/5709381.88442*100)</f>
        <v>0.42633384756452908</v>
      </c>
      <c r="G42" s="32">
        <f>IF(OR(4403044.02622="",10778.49844="",20188.11289=""),"-",(20188.11289-10778.49844)/4403044.02622*100)</f>
        <v>0.21370702618384052</v>
      </c>
      <c r="H42" s="32">
        <f>IF(OR(5891602.28837="",24341.02746="",20188.11289=""),"-",(24341.02746-20188.11289)/5891602.28837*100)</f>
        <v>7.0488712012992422E-2</v>
      </c>
    </row>
    <row r="43" spans="1:8" s="2" customFormat="1" x14ac:dyDescent="0.3">
      <c r="A43" s="55" t="s">
        <v>227</v>
      </c>
      <c r="B43" s="56" t="s">
        <v>141</v>
      </c>
      <c r="C43" s="20">
        <v>34780.26023</v>
      </c>
      <c r="D43" s="32">
        <f>IF(OR(33074.17414="",34780.26023=""),"-",34780.26023/33074.17414*100)</f>
        <v>105.15836338884317</v>
      </c>
      <c r="E43" s="32">
        <f>IF(33074.17414="","-",33074.17414/5891602.28837*100)</f>
        <v>0.5613782553735559</v>
      </c>
      <c r="F43" s="32">
        <f>IF(34780.26023="","-",34780.26023/5709381.88442*100)</f>
        <v>0.60917733187387291</v>
      </c>
      <c r="G43" s="32">
        <f>IF(OR(4403044.02622="",33277.36272="",33074.17414=""),"-",(33074.17414-33277.36272)/4403044.02622*100)</f>
        <v>-4.6147296913229205E-3</v>
      </c>
      <c r="H43" s="32">
        <f>IF(OR(5891602.28837="",34780.26023="",33074.17414=""),"-",(34780.26023-33074.17414)/5891602.28837*100)</f>
        <v>2.895793039811605E-2</v>
      </c>
    </row>
    <row r="44" spans="1:8" s="2" customFormat="1" x14ac:dyDescent="0.3">
      <c r="A44" s="55" t="s">
        <v>228</v>
      </c>
      <c r="B44" s="56" t="s">
        <v>142</v>
      </c>
      <c r="C44" s="20">
        <v>193142.03103000001</v>
      </c>
      <c r="D44" s="32">
        <f>IF(OR(186245.75736="",193142.03103=""),"-",193142.03103/186245.75736*100)</f>
        <v>103.70278161916463</v>
      </c>
      <c r="E44" s="32">
        <f>IF(186245.75736="","-",186245.75736/5891602.28837*100)</f>
        <v>3.1612072275762468</v>
      </c>
      <c r="F44" s="32">
        <f>IF(193142.03103="","-",193142.03103/5709381.88442*100)</f>
        <v>3.3828886373331244</v>
      </c>
      <c r="G44" s="32">
        <f>IF(OR(4403044.02622="",204223.44698="",186245.75736=""),"-",(186245.75736-204223.44698)/4403044.02622*100)</f>
        <v>-0.40830138224699541</v>
      </c>
      <c r="H44" s="32">
        <f>IF(OR(5891602.28837="",193142.03103="",186245.75736=""),"-",(193142.03103-186245.75736)/5891602.28837*100)</f>
        <v>0.11705260016639685</v>
      </c>
    </row>
    <row r="45" spans="1:8" s="2" customFormat="1" ht="34.200000000000003" x14ac:dyDescent="0.3">
      <c r="A45" s="55" t="s">
        <v>229</v>
      </c>
      <c r="B45" s="56" t="s">
        <v>143</v>
      </c>
      <c r="C45" s="20">
        <v>112742.78185</v>
      </c>
      <c r="D45" s="32">
        <f>IF(OR(96526.4438="",112742.78185=""),"-",112742.78185/96526.4438*100)</f>
        <v>116.79989173080881</v>
      </c>
      <c r="E45" s="32">
        <f>IF(96526.4438="","-",96526.4438/5891602.28837*100)</f>
        <v>1.638373384275154</v>
      </c>
      <c r="F45" s="32">
        <f>IF(112742.78185="","-",112742.78185/5709381.88442*100)</f>
        <v>1.9746933053761426</v>
      </c>
      <c r="G45" s="32">
        <f>IF(OR(4403044.02622="",88337.58577="",96526.4438=""),"-",(96526.4438-88337.58577)/4403044.02622*100)</f>
        <v>0.18598174311307303</v>
      </c>
      <c r="H45" s="32">
        <f>IF(OR(5891602.28837="",112742.78185="",96526.4438=""),"-",(112742.78185-96526.4438)/5891602.28837*100)</f>
        <v>0.27524495470461396</v>
      </c>
    </row>
    <row r="46" spans="1:8" s="2" customFormat="1" x14ac:dyDescent="0.3">
      <c r="A46" s="55" t="s">
        <v>230</v>
      </c>
      <c r="B46" s="56" t="s">
        <v>144</v>
      </c>
      <c r="C46" s="20">
        <v>102103.47523</v>
      </c>
      <c r="D46" s="32">
        <f>IF(OR(95736.89387="",102103.47523=""),"-",102103.47523/95736.89387*100)</f>
        <v>106.65008138727072</v>
      </c>
      <c r="E46" s="32">
        <f>IF(95736.89387="","-",95736.89387/5891602.28837*100)</f>
        <v>1.6249721074856709</v>
      </c>
      <c r="F46" s="32">
        <f>IF(102103.47523="","-",102103.47523/5709381.88442*100)</f>
        <v>1.7883455214061654</v>
      </c>
      <c r="G46" s="32">
        <f>IF(OR(4403044.02622="",58444.12809="",95736.89387=""),"-",(95736.89387-58444.12809)/4403044.02622*100)</f>
        <v>0.84697689957044853</v>
      </c>
      <c r="H46" s="32">
        <f>IF(OR(5891602.28837="",102103.47523="",95736.89387=""),"-",(102103.47523-95736.89387)/5891602.28837*100)</f>
        <v>0.10806196766824541</v>
      </c>
    </row>
    <row r="47" spans="1:8" s="2" customFormat="1" ht="12.75" customHeight="1" x14ac:dyDescent="0.3">
      <c r="A47" s="55" t="s">
        <v>231</v>
      </c>
      <c r="B47" s="56" t="s">
        <v>24</v>
      </c>
      <c r="C47" s="20">
        <v>46310.457329999997</v>
      </c>
      <c r="D47" s="32">
        <f>IF(OR(52783.26287="",46310.45733=""),"-",46310.45733/52783.26287*100)</f>
        <v>87.73701134023888</v>
      </c>
      <c r="E47" s="32">
        <f>IF(52783.26287="","-",52783.26287/5891602.28837*100)</f>
        <v>0.89590675484314264</v>
      </c>
      <c r="F47" s="32">
        <f>IF(46310.45733="","-",46310.45733/5709381.88442*100)</f>
        <v>0.81112909010998047</v>
      </c>
      <c r="G47" s="32">
        <f>IF(OR(4403044.02622="",44696.59132="",52783.26287=""),"-",(52783.26287-44696.59132)/4403044.02622*100)</f>
        <v>0.18366092870850492</v>
      </c>
      <c r="H47" s="32">
        <f>IF(OR(5891602.28837="",46310.45733="",52783.26287=""),"-",(46310.45733-52783.26287)/5891602.28837*100)</f>
        <v>-0.10986494374844843</v>
      </c>
    </row>
    <row r="48" spans="1:8" s="2" customFormat="1" x14ac:dyDescent="0.3">
      <c r="A48" s="55" t="s">
        <v>232</v>
      </c>
      <c r="B48" s="56" t="s">
        <v>25</v>
      </c>
      <c r="C48" s="20">
        <v>93325.431530000002</v>
      </c>
      <c r="D48" s="32">
        <f>IF(OR(99544.05784="",93325.43153=""),"-",93325.43153/99544.05784*100)</f>
        <v>93.752890483934891</v>
      </c>
      <c r="E48" s="32">
        <f>IF(99544.05784="","-",99544.05784/5891602.28837*100)</f>
        <v>1.6895922869148785</v>
      </c>
      <c r="F48" s="32">
        <f>IF(93325.43153="","-",93325.43153/5709381.88442*100)</f>
        <v>1.6345978149520939</v>
      </c>
      <c r="G48" s="32">
        <f>IF(OR(4403044.02622="",101347.87428="",99544.05784=""),"-",(99544.05784-101347.87428)/4403044.02622*100)</f>
        <v>-4.0967485886090046E-2</v>
      </c>
      <c r="H48" s="32">
        <f>IF(OR(5891602.28837="",93325.43153="",99544.05784=""),"-",(93325.43153-99544.05784)/5891602.28837*100)</f>
        <v>-0.1055506805385614</v>
      </c>
    </row>
    <row r="49" spans="1:8" s="2" customFormat="1" x14ac:dyDescent="0.3">
      <c r="A49" s="55" t="s">
        <v>233</v>
      </c>
      <c r="B49" s="56" t="s">
        <v>145</v>
      </c>
      <c r="C49" s="20">
        <v>123735.9078</v>
      </c>
      <c r="D49" s="32">
        <f>IF(OR(133576.17076="",123735.9078=""),"-",123735.9078/133576.17076*100)</f>
        <v>92.633219754681946</v>
      </c>
      <c r="E49" s="32">
        <f>IF(133576.17076="","-",133576.17076/5891602.28837*100)</f>
        <v>2.2672299354570971</v>
      </c>
      <c r="F49" s="32">
        <f>IF(123735.9078="","-",123735.9078/5709381.88442*100)</f>
        <v>2.1672382458363089</v>
      </c>
      <c r="G49" s="32">
        <f>IF(OR(4403044.02622="",119434.69821="",133576.17076=""),"-",(133576.17076-119434.69821)/4403044.02622*100)</f>
        <v>0.32117490685507444</v>
      </c>
      <c r="H49" s="32">
        <f>IF(OR(5891602.28837="",123735.9078="",133576.17076=""),"-",(123735.9078-133576.17076)/5891602.28837*100)</f>
        <v>-0.16702184700119097</v>
      </c>
    </row>
    <row r="50" spans="1:8" s="2" customFormat="1" ht="24" x14ac:dyDescent="0.3">
      <c r="A50" s="53" t="s">
        <v>234</v>
      </c>
      <c r="B50" s="54" t="s">
        <v>402</v>
      </c>
      <c r="C50" s="18">
        <v>795950.51156999997</v>
      </c>
      <c r="D50" s="31">
        <f>IF(871171.47204="","-",795950.51157/871171.47204*100)</f>
        <v>91.365539060426642</v>
      </c>
      <c r="E50" s="31">
        <f>IF(871171.47204="","-",871171.47204/5891602.28837*100)</f>
        <v>14.786664635521801</v>
      </c>
      <c r="F50" s="31">
        <f>IF(795950.51157="","-",795950.51157/5709381.88442*100)</f>
        <v>13.941097787520976</v>
      </c>
      <c r="G50" s="31">
        <f>IF(4403044.02622="","-",(871171.47204-834568.37011)/4403044.02622*100)</f>
        <v>0.83131355743957114</v>
      </c>
      <c r="H50" s="31">
        <f>IF(5891602.28837="","-",(795950.51157-871171.47204)/5891602.28837*100)</f>
        <v>-1.2767487822198376</v>
      </c>
    </row>
    <row r="51" spans="1:8" s="2" customFormat="1" x14ac:dyDescent="0.3">
      <c r="A51" s="55" t="s">
        <v>235</v>
      </c>
      <c r="B51" s="56" t="s">
        <v>146</v>
      </c>
      <c r="C51" s="20">
        <v>29697.367839999999</v>
      </c>
      <c r="D51" s="32">
        <f>IF(OR(37314.16635="",29697.36784=""),"-",29697.36784/37314.16635*100)</f>
        <v>79.587381268133299</v>
      </c>
      <c r="E51" s="32">
        <f>IF(37314.16635="","-",37314.16635/5891602.28837*100)</f>
        <v>0.63334496328202627</v>
      </c>
      <c r="F51" s="32">
        <f>IF(29697.36784="","-",29697.36784/5709381.88442*100)</f>
        <v>0.52015031471339157</v>
      </c>
      <c r="G51" s="32">
        <f>IF(OR(4403044.02622="",37030.39732="",37314.16635=""),"-",(37314.16635-37030.39732)/4403044.02622*100)</f>
        <v>6.4448374422369321E-3</v>
      </c>
      <c r="H51" s="32">
        <f>IF(OR(5891602.28837="",29697.36784="",37314.16635=""),"-",(29697.36784-37314.16635)/5891602.28837*100)</f>
        <v>-0.12928229261224117</v>
      </c>
    </row>
    <row r="52" spans="1:8" s="2" customFormat="1" x14ac:dyDescent="0.3">
      <c r="A52" s="55" t="s">
        <v>236</v>
      </c>
      <c r="B52" s="56" t="s">
        <v>26</v>
      </c>
      <c r="C52" s="20">
        <v>48305.142939999998</v>
      </c>
      <c r="D52" s="32">
        <f>IF(OR(56671.37581="",48305.14294=""),"-",48305.14294/56671.37581*100)</f>
        <v>85.237286460012626</v>
      </c>
      <c r="E52" s="32">
        <f>IF(56671.37581="","-",56671.37581/5891602.28837*100)</f>
        <v>0.96190090634374759</v>
      </c>
      <c r="F52" s="32">
        <f>IF(48305.14294="","-",48305.14294/5709381.88442*100)</f>
        <v>0.84606607016106417</v>
      </c>
      <c r="G52" s="32">
        <f>IF(OR(4403044.02622="",42479.08232="",56671.37581=""),"-",(56671.37581-42479.08232)/4403044.02622*100)</f>
        <v>0.32232912969948285</v>
      </c>
      <c r="H52" s="32">
        <f>IF(OR(5891602.28837="",48305.14294="",56671.37581=""),"-",(48305.14294-56671.37581)/5891602.28837*100)</f>
        <v>-0.1420026753420697</v>
      </c>
    </row>
    <row r="53" spans="1:8" s="2" customFormat="1" x14ac:dyDescent="0.3">
      <c r="A53" s="55" t="s">
        <v>237</v>
      </c>
      <c r="B53" s="56" t="s">
        <v>147</v>
      </c>
      <c r="C53" s="20">
        <v>69753.245890000006</v>
      </c>
      <c r="D53" s="32">
        <f>IF(OR(70490.34472="",69753.24589=""),"-",69753.24589/70490.34472*100)</f>
        <v>98.954326535176023</v>
      </c>
      <c r="E53" s="32">
        <f>IF(70490.34472="","-",70490.34472/5891602.28837*100)</f>
        <v>1.1964545682105472</v>
      </c>
      <c r="F53" s="32">
        <f>IF(69753.24589="","-",69753.24589/5709381.88442*100)</f>
        <v>1.2217302556051748</v>
      </c>
      <c r="G53" s="32">
        <f>IF(OR(4403044.02622="",70226.62663="",70490.34472=""),"-",(70490.34472-70226.62663)/4403044.02622*100)</f>
        <v>5.989449308922673E-3</v>
      </c>
      <c r="H53" s="32">
        <f>IF(OR(5891602.28837="",69753.24589="",70490.34472=""),"-",(69753.24589-70490.34472)/5891602.28837*100)</f>
        <v>-1.251100793845196E-2</v>
      </c>
    </row>
    <row r="54" spans="1:8" s="2" customFormat="1" ht="22.8" x14ac:dyDescent="0.3">
      <c r="A54" s="55" t="s">
        <v>238</v>
      </c>
      <c r="B54" s="56" t="s">
        <v>148</v>
      </c>
      <c r="C54" s="20">
        <v>81995.659880000007</v>
      </c>
      <c r="D54" s="32">
        <f>IF(OR(92997.66598="",81995.65988=""),"-",81995.65988/92997.66598*100)</f>
        <v>88.169589006280987</v>
      </c>
      <c r="E54" s="32">
        <f>IF(92997.66598="","-",92997.66598/5891602.28837*100)</f>
        <v>1.5784783396458553</v>
      </c>
      <c r="F54" s="32">
        <f>IF(81995.65988="","-",81995.65988/5709381.88442*100)</f>
        <v>1.4361565146614765</v>
      </c>
      <c r="G54" s="32">
        <f>IF(OR(4403044.02622="",69568.44816="",92997.66598=""),"-",(92997.66598-69568.44816)/4403044.02622*100)</f>
        <v>0.53211409380600527</v>
      </c>
      <c r="H54" s="32">
        <f>IF(OR(5891602.28837="",81995.65988="",92997.66598=""),"-",(81995.65988-92997.66598)/5891602.28837*100)</f>
        <v>-0.1867404750269365</v>
      </c>
    </row>
    <row r="55" spans="1:8" s="2" customFormat="1" ht="22.8" x14ac:dyDescent="0.3">
      <c r="A55" s="55" t="s">
        <v>239</v>
      </c>
      <c r="B55" s="56" t="s">
        <v>149</v>
      </c>
      <c r="C55" s="20">
        <v>199346.02538000001</v>
      </c>
      <c r="D55" s="32">
        <f>IF(OR(220990.7651="",199346.02538=""),"-",199346.02538/220990.7651*100)</f>
        <v>90.205590848918249</v>
      </c>
      <c r="E55" s="32">
        <f>IF(220990.7651="","-",220990.7651/5891602.28837*100)</f>
        <v>3.7509450618592317</v>
      </c>
      <c r="F55" s="32">
        <f>IF(199346.02538="","-",199346.02538/5709381.88442*100)</f>
        <v>3.4915517899404098</v>
      </c>
      <c r="G55" s="32">
        <f>IF(OR(4403044.02622="",209901.39892="",220990.7651=""),"-",(220990.7651-209901.39892)/4403044.02622*100)</f>
        <v>0.25185680892498752</v>
      </c>
      <c r="H55" s="32">
        <f>IF(OR(5891602.28837="",199346.02538="",220990.7651=""),"-",(199346.02538-220990.7651)/5891602.28837*100)</f>
        <v>-0.36738290639078974</v>
      </c>
    </row>
    <row r="56" spans="1:8" s="2" customFormat="1" x14ac:dyDescent="0.3">
      <c r="A56" s="55" t="s">
        <v>240</v>
      </c>
      <c r="B56" s="56" t="s">
        <v>27</v>
      </c>
      <c r="C56" s="20">
        <v>119583.41176</v>
      </c>
      <c r="D56" s="32">
        <f>IF(OR(108013.14318="",119583.41176=""),"-",119583.41176/108013.14318*100)</f>
        <v>110.71190805059581</v>
      </c>
      <c r="E56" s="32">
        <f>IF(108013.14318="","-",108013.14318/5891602.28837*100)</f>
        <v>1.8333407092535341</v>
      </c>
      <c r="F56" s="32">
        <f>IF(119583.41176="","-",119583.41176/5709381.88442*100)</f>
        <v>2.0945071494748708</v>
      </c>
      <c r="G56" s="32">
        <f>IF(OR(4403044.02622="",105485.62474="",108013.14318=""),"-",(108013.14318-105485.62474)/4403044.02622*100)</f>
        <v>5.7403887513926742E-2</v>
      </c>
      <c r="H56" s="32">
        <f>IF(OR(5891602.28837="",119583.41176="",108013.14318=""),"-",(119583.41176-108013.14318)/5891602.28837*100)</f>
        <v>0.19638577102937971</v>
      </c>
    </row>
    <row r="57" spans="1:8" s="2" customFormat="1" x14ac:dyDescent="0.3">
      <c r="A57" s="55" t="s">
        <v>241</v>
      </c>
      <c r="B57" s="56" t="s">
        <v>150</v>
      </c>
      <c r="C57" s="20">
        <v>98324.505999999994</v>
      </c>
      <c r="D57" s="32">
        <f>IF(OR(126628.83208="",98324.506=""),"-",98324.506/126628.83208*100)</f>
        <v>77.64780294102512</v>
      </c>
      <c r="E57" s="32">
        <f>IF(126628.83208="","-",126628.83208/5891602.28837*100)</f>
        <v>2.1493105929768004</v>
      </c>
      <c r="F57" s="32">
        <f>IF(98324.506="","-",98324.506/5709381.88442*100)</f>
        <v>1.7221567586556439</v>
      </c>
      <c r="G57" s="32">
        <f>IF(OR(4403044.02622="",111468.84177="",126628.83208=""),"-",(126628.83208-111468.84177)/4403044.02622*100)</f>
        <v>0.34430703439989896</v>
      </c>
      <c r="H57" s="32">
        <f>IF(OR(5891602.28837="",98324.506="",126628.83208=""),"-",(98324.506-126628.83208)/5891602.28837*100)</f>
        <v>-0.48041813915159598</v>
      </c>
    </row>
    <row r="58" spans="1:8" s="2" customFormat="1" x14ac:dyDescent="0.3">
      <c r="A58" s="55" t="s">
        <v>242</v>
      </c>
      <c r="B58" s="56" t="s">
        <v>28</v>
      </c>
      <c r="C58" s="20">
        <v>24536.027859999998</v>
      </c>
      <c r="D58" s="32">
        <f>IF(OR(23677.45261="",24536.02786=""),"-",24536.02786/23677.45261*100)</f>
        <v>103.6261301591092</v>
      </c>
      <c r="E58" s="32">
        <f>IF(23677.45261="","-",23677.45261/5891602.28837*100)</f>
        <v>0.40188477516106608</v>
      </c>
      <c r="F58" s="32">
        <f>IF(24536.02786="","-",24536.02786/5709381.88442*100)</f>
        <v>0.4297492855917544</v>
      </c>
      <c r="G58" s="32">
        <f>IF(OR(4403044.02622="",51055.8777="",23677.45261=""),"-",(23677.45261-51055.8777)/4403044.02622*100)</f>
        <v>-0.62180675294097143</v>
      </c>
      <c r="H58" s="32">
        <f>IF(OR(5891602.28837="",24536.02786="",23677.45261=""),"-",(24536.02786-23677.45261)/5891602.28837*100)</f>
        <v>1.4572865036983611E-2</v>
      </c>
    </row>
    <row r="59" spans="1:8" s="2" customFormat="1" x14ac:dyDescent="0.3">
      <c r="A59" s="55" t="s">
        <v>243</v>
      </c>
      <c r="B59" s="56" t="s">
        <v>29</v>
      </c>
      <c r="C59" s="20">
        <v>124409.12402</v>
      </c>
      <c r="D59" s="32">
        <f>IF(OR(134387.72621="",124409.12402=""),"-",124409.12402/134387.72621*100)</f>
        <v>92.574766705698252</v>
      </c>
      <c r="E59" s="32">
        <f>IF(134387.72621="","-",134387.72621/5891602.28837*100)</f>
        <v>2.281004718788993</v>
      </c>
      <c r="F59" s="32">
        <f>IF(124409.12402="","-",124409.12402/5709381.88442*100)</f>
        <v>2.1790296487171896</v>
      </c>
      <c r="G59" s="32">
        <f>IF(OR(4403044.02622="",137352.07255="",134387.72621=""),"-",(134387.72621-137352.07255)/4403044.02622*100)</f>
        <v>-6.7324930714919518E-2</v>
      </c>
      <c r="H59" s="32">
        <f>IF(OR(5891602.28837="",124409.12402="",134387.72621=""),"-",(124409.12402-134387.72621)/5891602.28837*100)</f>
        <v>-0.16936992182411417</v>
      </c>
    </row>
    <row r="60" spans="1:8" s="2" customFormat="1" ht="24" x14ac:dyDescent="0.3">
      <c r="A60" s="53" t="s">
        <v>244</v>
      </c>
      <c r="B60" s="54" t="s">
        <v>151</v>
      </c>
      <c r="C60" s="18">
        <v>1371105.3754400001</v>
      </c>
      <c r="D60" s="31">
        <f>IF(1301986.04699="","-",1371105.37544/1301986.04699*100)</f>
        <v>105.30876107388355</v>
      </c>
      <c r="E60" s="31">
        <f>IF(1301986.04699="","-",1301986.04699/5891602.28837*100)</f>
        <v>22.099014550933205</v>
      </c>
      <c r="F60" s="31">
        <f>IF(1371105.37544="","-",1371105.37544/5709381.88442*100)</f>
        <v>24.014952987844968</v>
      </c>
      <c r="G60" s="31">
        <f>IF(4403044.02622="","-",(1301986.04699-1126353.12912)/4403044.02622*100)</f>
        <v>3.9888976086568979</v>
      </c>
      <c r="H60" s="31">
        <f>IF(5891602.28837="","-",(1371105.37544-1301986.04699)/5891602.28837*100)</f>
        <v>1.1731838821918008</v>
      </c>
    </row>
    <row r="61" spans="1:8" s="2" customFormat="1" ht="22.8" x14ac:dyDescent="0.3">
      <c r="A61" s="55" t="s">
        <v>245</v>
      </c>
      <c r="B61" s="56" t="s">
        <v>152</v>
      </c>
      <c r="C61" s="20">
        <v>30537.392899999999</v>
      </c>
      <c r="D61" s="32">
        <f>IF(OR(19195.99477="",30537.3929=""),"-",30537.3929/19195.99477*100)</f>
        <v>159.08210679305159</v>
      </c>
      <c r="E61" s="32">
        <f>IF(19195.99477="","-",19195.99477/5891602.28837*100)</f>
        <v>0.3258195959339078</v>
      </c>
      <c r="F61" s="32">
        <f>IF(30537.3929="","-",30537.3929/5709381.88442*100)</f>
        <v>0.53486337957759866</v>
      </c>
      <c r="G61" s="32">
        <f>IF(OR(4403044.02622="",18457.41141="",19195.99477=""),"-",(19195.99477-18457.41141)/4403044.02622*100)</f>
        <v>1.677438053314384E-2</v>
      </c>
      <c r="H61" s="32">
        <f>IF(OR(5891602.28837="",30537.3929="",19195.99477=""),"-",(30537.3929-19195.99477)/5891602.28837*100)</f>
        <v>0.1925010816223606</v>
      </c>
    </row>
    <row r="62" spans="1:8" s="2" customFormat="1" ht="22.8" x14ac:dyDescent="0.3">
      <c r="A62" s="55" t="s">
        <v>246</v>
      </c>
      <c r="B62" s="56" t="s">
        <v>153</v>
      </c>
      <c r="C62" s="20">
        <v>147861.43362</v>
      </c>
      <c r="D62" s="32">
        <f>IF(OR(220609.51862="",147861.43362=""),"-",147861.43362/220609.51862*100)</f>
        <v>67.024049798454712</v>
      </c>
      <c r="E62" s="32">
        <f>IF(220609.51862="","-",220609.51862/5891602.28837*100)</f>
        <v>3.7444740466525093</v>
      </c>
      <c r="F62" s="32">
        <f>IF(147861.43362="","-",147861.43362/5709381.88442*100)</f>
        <v>2.5897975755219749</v>
      </c>
      <c r="G62" s="32">
        <f>IF(OR(4403044.02622="",148090.37426="",220609.51862=""),"-",(220609.51862-148090.37426)/4403044.02622*100)</f>
        <v>1.6470229216003873</v>
      </c>
      <c r="H62" s="32">
        <f>IF(OR(5891602.28837="",147861.43362="",220609.51862=""),"-",(147861.43362-220609.51862)/5891602.28837*100)</f>
        <v>-1.2347758969339195</v>
      </c>
    </row>
    <row r="63" spans="1:8" s="2" customFormat="1" ht="22.8" x14ac:dyDescent="0.3">
      <c r="A63" s="55" t="s">
        <v>247</v>
      </c>
      <c r="B63" s="56" t="s">
        <v>154</v>
      </c>
      <c r="C63" s="20">
        <v>10856.077219999999</v>
      </c>
      <c r="D63" s="32">
        <f>IF(OR(9095.49653="",10856.07722=""),"-",10856.07722/9095.49653*100)</f>
        <v>119.35661988537969</v>
      </c>
      <c r="E63" s="32">
        <f>IF(9095.49653="","-",9095.49653/5891602.28837*100)</f>
        <v>0.15438069450061956</v>
      </c>
      <c r="F63" s="32">
        <f>IF(10856.07722="","-",10856.07722/5709381.88442*100)</f>
        <v>0.19014452772242327</v>
      </c>
      <c r="G63" s="32">
        <f>IF(OR(4403044.02622="",12044.96441="",9095.49653=""),"-",(9095.49653-12044.96441)/4403044.02622*100)</f>
        <v>-6.6987017673137125E-2</v>
      </c>
      <c r="H63" s="32">
        <f>IF(OR(5891602.28837="",10856.07722="",9095.49653=""),"-",(10856.07722-9095.49653)/5891602.28837*100)</f>
        <v>2.9882884210894179E-2</v>
      </c>
    </row>
    <row r="64" spans="1:8" s="2" customFormat="1" ht="34.200000000000003" x14ac:dyDescent="0.3">
      <c r="A64" s="55" t="s">
        <v>248</v>
      </c>
      <c r="B64" s="56" t="s">
        <v>155</v>
      </c>
      <c r="C64" s="20">
        <v>162231.86572999999</v>
      </c>
      <c r="D64" s="32">
        <f>IF(OR(165700.77125="",162231.86573=""),"-",162231.86573/165700.77125*100)</f>
        <v>97.906524216012059</v>
      </c>
      <c r="E64" s="32">
        <f>IF(165700.77125="","-",165700.77125/5891602.28837*100)</f>
        <v>2.8124907816179761</v>
      </c>
      <c r="F64" s="32">
        <f>IF(162231.86573="","-",162231.86573/5709381.88442*100)</f>
        <v>2.8414961376590537</v>
      </c>
      <c r="G64" s="32">
        <f>IF(OR(4403044.02622="",160128.01521="",165700.77125=""),"-",(165700.77125-160128.01521)/4403044.02622*100)</f>
        <v>0.12656598495982271</v>
      </c>
      <c r="H64" s="32">
        <f>IF(OR(5891602.28837="",162231.86573="",165700.77125=""),"-",(162231.86573-165700.77125)/5891602.28837*100)</f>
        <v>-5.8878813440065472E-2</v>
      </c>
    </row>
    <row r="65" spans="1:8" s="2" customFormat="1" ht="24.75" customHeight="1" x14ac:dyDescent="0.3">
      <c r="A65" s="55" t="s">
        <v>249</v>
      </c>
      <c r="B65" s="56" t="s">
        <v>156</v>
      </c>
      <c r="C65" s="20">
        <v>56583.676460000002</v>
      </c>
      <c r="D65" s="32">
        <f>IF(OR(58390.97407="",56583.67646=""),"-",56583.67646/58390.97407*100)</f>
        <v>96.904833942599794</v>
      </c>
      <c r="E65" s="32">
        <f>IF(58390.97407="","-",58390.97407/5891602.28837*100)</f>
        <v>0.99108818301030854</v>
      </c>
      <c r="F65" s="32">
        <f>IF(56583.67646="","-",56583.67646/5709381.88442*100)</f>
        <v>0.99106484038855247</v>
      </c>
      <c r="G65" s="32">
        <f>IF(OR(4403044.02622="",48701.03643="",58390.97407=""),"-",(58390.97407-48701.03643)/4403044.02622*100)</f>
        <v>0.2200736032230588</v>
      </c>
      <c r="H65" s="32">
        <f>IF(OR(5891602.28837="",56583.67646="",58390.97407=""),"-",(56583.67646-58390.97407)/5891602.28837*100)</f>
        <v>-3.0675825039439487E-2</v>
      </c>
    </row>
    <row r="66" spans="1:8" s="2" customFormat="1" ht="34.200000000000003" x14ac:dyDescent="0.3">
      <c r="A66" s="55" t="s">
        <v>250</v>
      </c>
      <c r="B66" s="56" t="s">
        <v>157</v>
      </c>
      <c r="C66" s="20">
        <v>141950.60832</v>
      </c>
      <c r="D66" s="32">
        <f>IF(OR(116879.31619="",141950.60832=""),"-",141950.60832/116879.31619*100)</f>
        <v>121.45058077619473</v>
      </c>
      <c r="E66" s="32">
        <f>IF(116879.31619="","-",116879.31619/5891602.28837*100)</f>
        <v>1.9838290242489602</v>
      </c>
      <c r="F66" s="32">
        <f>IF(141950.60832="","-",141950.60832/5709381.88442*100)</f>
        <v>2.486269287877918</v>
      </c>
      <c r="G66" s="32">
        <f>IF(OR(4403044.02622="",118237.80205="",116879.31619=""),"-",(116879.31619-118237.80205)/4403044.02622*100)</f>
        <v>-3.0853333555382518E-2</v>
      </c>
      <c r="H66" s="32">
        <f>IF(OR(5891602.28837="",141950.60832="",116879.31619=""),"-",(141950.60832-116879.31619)/5891602.28837*100)</f>
        <v>0.42554284730811909</v>
      </c>
    </row>
    <row r="67" spans="1:8" s="2" customFormat="1" ht="45.6" x14ac:dyDescent="0.3">
      <c r="A67" s="55" t="s">
        <v>251</v>
      </c>
      <c r="B67" s="56" t="s">
        <v>158</v>
      </c>
      <c r="C67" s="20">
        <v>431719.90281</v>
      </c>
      <c r="D67" s="32">
        <f>IF(OR(364918.60432="",431719.90281=""),"-",431719.90281/364918.60432*100)</f>
        <v>118.30580784295159</v>
      </c>
      <c r="E67" s="32">
        <f>IF(364918.60432="","-",364918.60432/5891602.28837*100)</f>
        <v>6.1938770890959134</v>
      </c>
      <c r="F67" s="32">
        <f>IF(431719.90281="","-",431719.90281/5709381.88442*100)</f>
        <v>7.5615874283711051</v>
      </c>
      <c r="G67" s="32">
        <f>IF(OR(4403044.02622="",340701.56591="",364918.60432=""),"-",(364918.60432-340701.56591)/4403044.02622*100)</f>
        <v>0.55000672865836031</v>
      </c>
      <c r="H67" s="32">
        <f>IF(OR(5891602.28837="",431719.90281="",364918.60432=""),"-",(431719.90281-364918.60432)/5891602.28837*100)</f>
        <v>1.1338392379585009</v>
      </c>
    </row>
    <row r="68" spans="1:8" s="2" customFormat="1" ht="22.8" x14ac:dyDescent="0.3">
      <c r="A68" s="55" t="s">
        <v>252</v>
      </c>
      <c r="B68" s="56" t="s">
        <v>159</v>
      </c>
      <c r="C68" s="20">
        <v>383549.03821999999</v>
      </c>
      <c r="D68" s="32">
        <f>IF(OR(341417.89241="",383549.03822=""),"-",383549.03822/341417.89241*100)</f>
        <v>112.34005210230922</v>
      </c>
      <c r="E68" s="32">
        <f>IF(341417.89241="","-",341417.89241/5891602.28837*100)</f>
        <v>5.7949921888644376</v>
      </c>
      <c r="F68" s="32">
        <f>IF(383549.03822="","-",383549.03822/5709381.88442*100)</f>
        <v>6.7178732476565388</v>
      </c>
      <c r="G68" s="32">
        <f>IF(OR(4403044.02622="",277540.47786="",341417.89241=""),"-",(341417.89241-277540.47786)/4403044.02622*100)</f>
        <v>1.4507557537379101</v>
      </c>
      <c r="H68" s="32">
        <f>IF(OR(5891602.28837="",383549.03822="",341417.89241=""),"-",(383549.03822-341417.89241)/5891602.28837*100)</f>
        <v>0.71510505543062086</v>
      </c>
    </row>
    <row r="69" spans="1:8" s="2" customFormat="1" x14ac:dyDescent="0.3">
      <c r="A69" s="55" t="s">
        <v>253</v>
      </c>
      <c r="B69" s="56" t="s">
        <v>30</v>
      </c>
      <c r="C69" s="20">
        <v>5815.3801599999997</v>
      </c>
      <c r="D69" s="32">
        <f>IF(OR(5777.47883="",5815.38016=""),"-",5815.38016/5777.47883*100)</f>
        <v>100.65601850072032</v>
      </c>
      <c r="E69" s="32">
        <f>IF(5777.47883="","-",5777.47883/5891602.28837*100)</f>
        <v>9.8062947008570489E-2</v>
      </c>
      <c r="F69" s="32">
        <f>IF(5815.38016="","-",5815.38016/5709381.88442*100)</f>
        <v>0.10185656306980011</v>
      </c>
      <c r="G69" s="32">
        <f>IF(OR(4403044.02622="",2451.48158="",5777.47883=""),"-",(5777.47883-2451.48158)/4403044.02622*100)</f>
        <v>7.5538587172732818E-2</v>
      </c>
      <c r="H69" s="32">
        <f>IF(OR(5891602.28837="",5815.38016="",5777.47883=""),"-",(5815.38016-5777.47883)/5891602.28837*100)</f>
        <v>6.433110747277827E-4</v>
      </c>
    </row>
    <row r="70" spans="1:8" s="2" customFormat="1" x14ac:dyDescent="0.3">
      <c r="A70" s="53" t="s">
        <v>254</v>
      </c>
      <c r="B70" s="54" t="s">
        <v>31</v>
      </c>
      <c r="C70" s="18">
        <v>550642.17069000006</v>
      </c>
      <c r="D70" s="31">
        <f>IF(511370.16526="","-",550642.17069/511370.16526*100)</f>
        <v>107.67976078738045</v>
      </c>
      <c r="E70" s="31">
        <f>IF(511370.16526="","-",511370.16526/5891602.28837*100)</f>
        <v>8.6796450308508213</v>
      </c>
      <c r="F70" s="31">
        <f>IF(550642.17069="","-",550642.17069/5709381.88442*100)</f>
        <v>9.6445146223729648</v>
      </c>
      <c r="G70" s="31">
        <f>IF(4403044.02622="","-",(511370.16526-510274.70871)/4403044.02622*100)</f>
        <v>2.4879527514978059E-2</v>
      </c>
      <c r="H70" s="31">
        <f>IF(5891602.28837="","-",(550642.17069-511370.16526)/5891602.28837*100)</f>
        <v>0.666575975563097</v>
      </c>
    </row>
    <row r="71" spans="1:8" ht="34.200000000000003" x14ac:dyDescent="0.3">
      <c r="A71" s="55" t="s">
        <v>255</v>
      </c>
      <c r="B71" s="56" t="s">
        <v>185</v>
      </c>
      <c r="C71" s="20">
        <v>29990.93244</v>
      </c>
      <c r="D71" s="32">
        <f>IF(OR(40893.64746="",29990.93244=""),"-",29990.93244/40893.64746*100)</f>
        <v>73.33885408323026</v>
      </c>
      <c r="E71" s="32">
        <f>IF(40893.64746="","-",40893.64746/5891602.28837*100)</f>
        <v>0.69410061063904294</v>
      </c>
      <c r="F71" s="32">
        <f>IF(29990.93244="","-",29990.93244/5709381.88442*100)</f>
        <v>0.5252921077470839</v>
      </c>
      <c r="G71" s="32">
        <f>IF(OR(4403044.02622="",43280.50009="",40893.64746=""),"-",(40893.64746-43280.50009)/4403044.02622*100)</f>
        <v>-5.4209147484930026E-2</v>
      </c>
      <c r="H71" s="32">
        <f>IF(OR(5891602.28837="",29990.93244="",40893.64746=""),"-",(29990.93244-40893.64746)/5891602.28837*100)</f>
        <v>-0.18505517661166498</v>
      </c>
    </row>
    <row r="72" spans="1:8" x14ac:dyDescent="0.3">
      <c r="A72" s="55" t="s">
        <v>256</v>
      </c>
      <c r="B72" s="56" t="s">
        <v>160</v>
      </c>
      <c r="C72" s="20">
        <v>47142.661370000002</v>
      </c>
      <c r="D72" s="32">
        <f>IF(OR(47982.51141="",47142.66137=""),"-",47142.66137/47982.51141*100)</f>
        <v>98.249674693298843</v>
      </c>
      <c r="E72" s="32">
        <f>IF(47982.51141="","-",47982.51141/5891602.28837*100)</f>
        <v>0.81442210559116135</v>
      </c>
      <c r="F72" s="32">
        <f>IF(47142.66137="","-",47142.66137/5709381.88442*100)</f>
        <v>0.82570516956738982</v>
      </c>
      <c r="G72" s="32">
        <f>IF(OR(4403044.02622="",45491.58155="",47982.51141=""),"-",(47982.51141-45491.58155)/4403044.02622*100)</f>
        <v>5.6572903772176275E-2</v>
      </c>
      <c r="H72" s="32">
        <f>IF(OR(5891602.28837="",47142.66137="",47982.51141=""),"-",(47142.66137-47982.51141)/5891602.28837*100)</f>
        <v>-1.4255036217530472E-2</v>
      </c>
    </row>
    <row r="73" spans="1:8" x14ac:dyDescent="0.3">
      <c r="A73" s="55" t="s">
        <v>257</v>
      </c>
      <c r="B73" s="56" t="s">
        <v>161</v>
      </c>
      <c r="C73" s="20">
        <v>11971.981760000001</v>
      </c>
      <c r="D73" s="32">
        <f>IF(OR(11761.52566="",11971.98176=""),"-",11971.98176/11761.52566*100)</f>
        <v>101.78936054797505</v>
      </c>
      <c r="E73" s="32">
        <f>IF(11761.52566="","-",11761.52566/5891602.28837*100)</f>
        <v>0.19963203699640766</v>
      </c>
      <c r="F73" s="32">
        <f>IF(11971.98176="","-",11971.98176/5709381.88442*100)</f>
        <v>0.20968963019744125</v>
      </c>
      <c r="G73" s="32">
        <f>IF(OR(4403044.02622="",7948.18382="",11761.52566=""),"-",(11761.52566-7948.18382)/4403044.02622*100)</f>
        <v>8.6606943225905952E-2</v>
      </c>
      <c r="H73" s="32">
        <f>IF(OR(5891602.28837="",11971.98176="",11761.52566=""),"-",(11971.98176-11761.52566)/5891602.28837*100)</f>
        <v>3.5721369111326598E-3</v>
      </c>
    </row>
    <row r="74" spans="1:8" x14ac:dyDescent="0.3">
      <c r="A74" s="55" t="s">
        <v>258</v>
      </c>
      <c r="B74" s="56" t="s">
        <v>162</v>
      </c>
      <c r="C74" s="20">
        <v>134734.47873</v>
      </c>
      <c r="D74" s="32">
        <f>IF(OR(124487.17174="",134734.47873=""),"-",134734.47873/124487.17174*100)</f>
        <v>108.23161683791982</v>
      </c>
      <c r="E74" s="32">
        <f>IF(124487.17174="","-",124487.17174/5891602.28837*100)</f>
        <v>2.1129595252167173</v>
      </c>
      <c r="F74" s="32">
        <f>IF(134734.47873="","-",134734.47873/5709381.88442*100)</f>
        <v>2.3598785552893053</v>
      </c>
      <c r="G74" s="32">
        <f>IF(OR(4403044.02622="",121094.59223="",124487.17174=""),"-",(124487.17174-121094.59223)/4403044.02622*100)</f>
        <v>7.7050774187069154E-2</v>
      </c>
      <c r="H74" s="32">
        <f>IF(OR(5891602.28837="",134734.47873="",124487.17174=""),"-",(134734.47873-124487.17174)/5891602.28837*100)</f>
        <v>0.17393073205616988</v>
      </c>
    </row>
    <row r="75" spans="1:8" x14ac:dyDescent="0.3">
      <c r="A75" s="55" t="s">
        <v>259</v>
      </c>
      <c r="B75" s="56" t="s">
        <v>163</v>
      </c>
      <c r="C75" s="20">
        <v>41071.300629999998</v>
      </c>
      <c r="D75" s="32">
        <f>IF(OR(38129.55029="",41071.30063=""),"-",41071.30063/38129.55029*100)</f>
        <v>107.71514564852214</v>
      </c>
      <c r="E75" s="32">
        <f>IF(38129.55029="","-",38129.55029/5891602.28837*100)</f>
        <v>0.64718472876669864</v>
      </c>
      <c r="F75" s="32">
        <f>IF(41071.30063="","-",41071.30063/5709381.88442*100)</f>
        <v>0.71936509873471732</v>
      </c>
      <c r="G75" s="32">
        <f>IF(OR(4403044.02622="",32576.13868="",38129.55029=""),"-",(38129.55029-32576.13868)/4403044.02622*100)</f>
        <v>0.12612664277099192</v>
      </c>
      <c r="H75" s="32">
        <f>IF(OR(5891602.28837="",41071.30063="",38129.55029=""),"-",(41071.30063-38129.55029)/5891602.28837*100)</f>
        <v>4.9931244439343818E-2</v>
      </c>
    </row>
    <row r="76" spans="1:8" ht="22.8" x14ac:dyDescent="0.3">
      <c r="A76" s="55" t="s">
        <v>260</v>
      </c>
      <c r="B76" s="56" t="s">
        <v>293</v>
      </c>
      <c r="C76" s="20">
        <v>52307.312859999998</v>
      </c>
      <c r="D76" s="32">
        <f>IF(OR(46610.51357="",52307.31286=""),"-",52307.31286/46610.51357*100)</f>
        <v>112.22213370690393</v>
      </c>
      <c r="E76" s="32">
        <f>IF(46610.51357="","-",46610.51357/5891602.28837*100)</f>
        <v>0.79113475907918918</v>
      </c>
      <c r="F76" s="32">
        <f>IF(52307.31286="","-",52307.31286/5709381.88442*100)</f>
        <v>0.91616419988892972</v>
      </c>
      <c r="G76" s="32">
        <f>IF(OR(4403044.02622="",61681.41066="",46610.51357=""),"-",(46610.51357-61681.41066)/4403044.02622*100)</f>
        <v>-0.34228358835962669</v>
      </c>
      <c r="H76" s="32">
        <f>IF(OR(5891602.28837="",52307.31286="",46610.51357=""),"-",(52307.31286-46610.51357)/5891602.28837*100)</f>
        <v>9.6693548056450709E-2</v>
      </c>
    </row>
    <row r="77" spans="1:8" ht="22.8" x14ac:dyDescent="0.3">
      <c r="A77" s="55" t="s">
        <v>261</v>
      </c>
      <c r="B77" s="56" t="s">
        <v>164</v>
      </c>
      <c r="C77" s="20">
        <v>12922.63139</v>
      </c>
      <c r="D77" s="32">
        <f>IF(OR(9359.2986="",12922.63139=""),"-",12922.63139/9359.2986*100)</f>
        <v>138.0726477729859</v>
      </c>
      <c r="E77" s="32">
        <f>IF(9359.2986="","-",9359.2986/5891602.28837*100)</f>
        <v>0.15885828916991257</v>
      </c>
      <c r="F77" s="32">
        <f>IF(12922.63139="","-",12922.63139/5709381.88442*100)</f>
        <v>0.22634028782106547</v>
      </c>
      <c r="G77" s="32">
        <f>IF(OR(4403044.02622="",11250.96816="",9359.2986=""),"-",(9359.2986-11250.96816)/4403044.02622*100)</f>
        <v>-4.2962767320407484E-2</v>
      </c>
      <c r="H77" s="32">
        <f>IF(OR(5891602.28837="",12922.63139="",9359.2986=""),"-",(12922.63139-9359.2986)/5891602.28837*100)</f>
        <v>6.0481556893852213E-2</v>
      </c>
    </row>
    <row r="78" spans="1:8" x14ac:dyDescent="0.3">
      <c r="A78" s="55" t="s">
        <v>262</v>
      </c>
      <c r="B78" s="56" t="s">
        <v>32</v>
      </c>
      <c r="C78" s="20">
        <v>220500.87151</v>
      </c>
      <c r="D78" s="32">
        <f>IF(OR(192145.94653="",220500.87151=""),"-",220500.87151/192145.94653*100)</f>
        <v>114.75697275538046</v>
      </c>
      <c r="E78" s="32">
        <f>IF(192145.94653="","-",192145.94653/5891602.28837*100)</f>
        <v>3.2613529753916919</v>
      </c>
      <c r="F78" s="32">
        <f>IF(220500.87151="","-",220500.87151/5709381.88442*100)</f>
        <v>3.8620795731270317</v>
      </c>
      <c r="G78" s="32">
        <f>IF(OR(4403044.02622="",186951.33352="",192145.94653=""),"-",(192145.94653-186951.33352)/4403044.02622*100)</f>
        <v>0.11797776672379905</v>
      </c>
      <c r="H78" s="32">
        <f>IF(OR(5891602.28837="",220500.87151="",192145.94653=""),"-",(220500.87151-192145.94653)/5891602.28837*100)</f>
        <v>0.48127697003534198</v>
      </c>
    </row>
    <row r="79" spans="1:8" ht="24" x14ac:dyDescent="0.3">
      <c r="A79" s="58" t="s">
        <v>265</v>
      </c>
      <c r="B79" s="59" t="s">
        <v>165</v>
      </c>
      <c r="C79" s="60">
        <v>3597.77385</v>
      </c>
      <c r="D79" s="67">
        <f>IF(15938.5805="","-",3597.77385/15938.5805*100)</f>
        <v>22.572736951072901</v>
      </c>
      <c r="E79" s="67">
        <f>IF(15938.5805="","-",15938.5805/5891602.28837*100)</f>
        <v>0.27053048932822049</v>
      </c>
      <c r="F79" s="67">
        <f>IF(3597.77385="","-",3597.77385/5709381.88442*100)</f>
        <v>6.3015120074867578E-2</v>
      </c>
      <c r="G79" s="67">
        <f>IF(4403044.02622="","-",(15938.5805-141.80982)/4403044.02622*100)</f>
        <v>0.35876931018474234</v>
      </c>
      <c r="H79" s="67">
        <f>IF(5891602.28837="","-",(3597.77385-15938.5805)/5891602.28837*100)</f>
        <v>-0.20946435359971097</v>
      </c>
    </row>
    <row r="80" spans="1:8" x14ac:dyDescent="0.3">
      <c r="A80" s="22" t="s">
        <v>268</v>
      </c>
      <c r="B80" s="23"/>
    </row>
    <row r="81" spans="1:2" x14ac:dyDescent="0.3">
      <c r="A81" s="23" t="s">
        <v>326</v>
      </c>
      <c r="B81" s="23"/>
    </row>
  </sheetData>
  <mergeCells count="8">
    <mergeCell ref="B1:H1"/>
    <mergeCell ref="B2:H2"/>
    <mergeCell ref="A4:A5"/>
    <mergeCell ref="B4:B5"/>
    <mergeCell ref="C4:D4"/>
    <mergeCell ref="E4:F4"/>
    <mergeCell ref="G4:H4"/>
    <mergeCell ref="A3:H3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E82"/>
  <sheetViews>
    <sheetView zoomScale="99" zoomScaleNormal="99" workbookViewId="0">
      <selection activeCell="B1" sqref="B1:E1"/>
    </sheetView>
  </sheetViews>
  <sheetFormatPr defaultRowHeight="15.6" x14ac:dyDescent="0.3"/>
  <cols>
    <col min="1" max="1" width="5.59765625" style="42" customWidth="1"/>
    <col min="2" max="2" width="42.8984375" style="42" customWidth="1"/>
    <col min="3" max="4" width="13.5" style="42" customWidth="1"/>
    <col min="5" max="5" width="11.3984375" style="42" customWidth="1"/>
  </cols>
  <sheetData>
    <row r="1" spans="1:5" s="49" customFormat="1" ht="13.2" x14ac:dyDescent="0.25">
      <c r="A1" s="48"/>
      <c r="B1" s="92" t="s">
        <v>348</v>
      </c>
      <c r="C1" s="92"/>
      <c r="D1" s="92"/>
      <c r="E1" s="92"/>
    </row>
    <row r="2" spans="1:5" s="49" customFormat="1" ht="13.2" x14ac:dyDescent="0.25">
      <c r="A2" s="48"/>
      <c r="B2" s="92" t="s">
        <v>267</v>
      </c>
      <c r="C2" s="92"/>
      <c r="D2" s="92"/>
      <c r="E2" s="92"/>
    </row>
    <row r="3" spans="1:5" x14ac:dyDescent="0.3">
      <c r="A3" s="102"/>
      <c r="B3" s="102"/>
      <c r="C3" s="102"/>
      <c r="D3" s="102"/>
      <c r="E3" s="102"/>
    </row>
    <row r="4" spans="1:5" ht="69.75" customHeight="1" x14ac:dyDescent="0.3">
      <c r="A4" s="38" t="s">
        <v>266</v>
      </c>
      <c r="B4" s="64"/>
      <c r="C4" s="38" t="s">
        <v>366</v>
      </c>
      <c r="D4" s="38" t="s">
        <v>367</v>
      </c>
      <c r="E4" s="39" t="s">
        <v>373</v>
      </c>
    </row>
    <row r="5" spans="1:5" s="49" customFormat="1" ht="15" customHeight="1" x14ac:dyDescent="0.25">
      <c r="A5" s="69"/>
      <c r="B5" s="62" t="s">
        <v>272</v>
      </c>
      <c r="C5" s="43">
        <v>-2932572.68725</v>
      </c>
      <c r="D5" s="43">
        <v>-3041392.0320600001</v>
      </c>
      <c r="E5" s="43">
        <f>IF(-2932572.68725="","-",-3041392.03206/-2932572.68725*100)</f>
        <v>103.71071262046176</v>
      </c>
    </row>
    <row r="6" spans="1:5" ht="12.75" customHeight="1" x14ac:dyDescent="0.3">
      <c r="A6" s="65"/>
      <c r="B6" s="66" t="s">
        <v>114</v>
      </c>
      <c r="C6" s="80"/>
      <c r="D6" s="80"/>
      <c r="E6" s="31"/>
    </row>
    <row r="7" spans="1:5" x14ac:dyDescent="0.3">
      <c r="A7" s="53" t="s">
        <v>194</v>
      </c>
      <c r="B7" s="54" t="s">
        <v>166</v>
      </c>
      <c r="C7" s="31">
        <v>103160.74794</v>
      </c>
      <c r="D7" s="31">
        <v>-82320.079759999993</v>
      </c>
      <c r="E7" s="31" t="s">
        <v>19</v>
      </c>
    </row>
    <row r="8" spans="1:5" x14ac:dyDescent="0.3">
      <c r="A8" s="55" t="s">
        <v>195</v>
      </c>
      <c r="B8" s="56" t="s">
        <v>20</v>
      </c>
      <c r="C8" s="32">
        <v>-2376.4509600000001</v>
      </c>
      <c r="D8" s="32">
        <v>-203.40316000000001</v>
      </c>
      <c r="E8" s="32">
        <f>IF(OR(-2376.45096="",-203.40316="",-2376.45096=0,-203.40316=0),"-",-203.40316/-2376.45096*100)</f>
        <v>8.5591145545877367</v>
      </c>
    </row>
    <row r="9" spans="1:5" x14ac:dyDescent="0.3">
      <c r="A9" s="55" t="s">
        <v>196</v>
      </c>
      <c r="B9" s="56" t="s">
        <v>167</v>
      </c>
      <c r="C9" s="32">
        <v>-52506.424700000003</v>
      </c>
      <c r="D9" s="32">
        <v>-52095.78888</v>
      </c>
      <c r="E9" s="32">
        <f>IF(OR(-52506.4247="",-52095.78888="",-52506.4247=0,-52095.78888=0),"-",-52095.78888/-52506.4247*100)</f>
        <v>99.217932239061781</v>
      </c>
    </row>
    <row r="10" spans="1:5" x14ac:dyDescent="0.3">
      <c r="A10" s="55" t="s">
        <v>197</v>
      </c>
      <c r="B10" s="56" t="s">
        <v>168</v>
      </c>
      <c r="C10" s="32">
        <v>-67509.366110000003</v>
      </c>
      <c r="D10" s="32">
        <v>-70691.676070000001</v>
      </c>
      <c r="E10" s="32">
        <f>IF(OR(-67509.36611="",-70691.67607="",-67509.36611=0,-70691.67607=0),"-",-70691.67607/-67509.36611*100)</f>
        <v>104.71387918946644</v>
      </c>
    </row>
    <row r="11" spans="1:5" x14ac:dyDescent="0.3">
      <c r="A11" s="55" t="s">
        <v>198</v>
      </c>
      <c r="B11" s="56" t="s">
        <v>169</v>
      </c>
      <c r="C11" s="32">
        <v>-50962.67643</v>
      </c>
      <c r="D11" s="32">
        <v>-57012.126210000002</v>
      </c>
      <c r="E11" s="32">
        <f>IF(OR(-50962.67643="",-57012.12621="",-50962.67643=0,-57012.12621=0),"-",-57012.12621/-50962.67643*100)</f>
        <v>111.87035337186273</v>
      </c>
    </row>
    <row r="12" spans="1:5" x14ac:dyDescent="0.3">
      <c r="A12" s="55" t="s">
        <v>199</v>
      </c>
      <c r="B12" s="56" t="s">
        <v>170</v>
      </c>
      <c r="C12" s="32">
        <v>277810.12365999998</v>
      </c>
      <c r="D12" s="32">
        <v>155654.67027</v>
      </c>
      <c r="E12" s="32">
        <f>IF(OR(277810.12366="",155654.67027="",277810.12366=0,155654.67027=0),"-",155654.67027/277810.12366*100)</f>
        <v>56.029156972155249</v>
      </c>
    </row>
    <row r="13" spans="1:5" x14ac:dyDescent="0.3">
      <c r="A13" s="55" t="s">
        <v>200</v>
      </c>
      <c r="B13" s="56" t="s">
        <v>171</v>
      </c>
      <c r="C13" s="32">
        <v>105634.31289</v>
      </c>
      <c r="D13" s="32">
        <v>56697.806490000003</v>
      </c>
      <c r="E13" s="32">
        <f>IF(OR(105634.31289="",56697.80649="",105634.31289=0,56697.80649=0),"-",56697.80649/105634.31289*100)</f>
        <v>53.673664303606571</v>
      </c>
    </row>
    <row r="14" spans="1:5" x14ac:dyDescent="0.3">
      <c r="A14" s="55" t="s">
        <v>201</v>
      </c>
      <c r="B14" s="56" t="s">
        <v>129</v>
      </c>
      <c r="C14" s="32">
        <v>2043.7039299999999</v>
      </c>
      <c r="D14" s="32">
        <v>-4021.74809</v>
      </c>
      <c r="E14" s="32" t="s">
        <v>19</v>
      </c>
    </row>
    <row r="15" spans="1:5" ht="17.25" customHeight="1" x14ac:dyDescent="0.3">
      <c r="A15" s="55" t="s">
        <v>202</v>
      </c>
      <c r="B15" s="56" t="s">
        <v>172</v>
      </c>
      <c r="C15" s="32">
        <v>-35952.438699999999</v>
      </c>
      <c r="D15" s="32">
        <v>-42207.076410000001</v>
      </c>
      <c r="E15" s="32">
        <f>IF(OR(-35952.4387="",-42207.07641="",-35952.4387=0,-42207.07641=0),"-",-42207.07641/-35952.4387*100)</f>
        <v>117.39697760753015</v>
      </c>
    </row>
    <row r="16" spans="1:5" ht="15.75" customHeight="1" x14ac:dyDescent="0.3">
      <c r="A16" s="55" t="s">
        <v>203</v>
      </c>
      <c r="B16" s="56" t="s">
        <v>130</v>
      </c>
      <c r="C16" s="32">
        <v>2329.0626299999999</v>
      </c>
      <c r="D16" s="32">
        <v>2652.11463</v>
      </c>
      <c r="E16" s="32">
        <f>IF(OR(2329.06263="",2652.11463="",2329.06263=0,2652.11463=0),"-",2652.11463/2329.06263*100)</f>
        <v>113.87047286057739</v>
      </c>
    </row>
    <row r="17" spans="1:5" x14ac:dyDescent="0.3">
      <c r="A17" s="55" t="s">
        <v>204</v>
      </c>
      <c r="B17" s="56" t="s">
        <v>173</v>
      </c>
      <c r="C17" s="32">
        <v>-75349.098270000002</v>
      </c>
      <c r="D17" s="32">
        <v>-71092.852329999994</v>
      </c>
      <c r="E17" s="32">
        <f>IF(OR(-75349.09827="",-71092.85233="",-75349.09827=0,-71092.85233=0),"-",-71092.85233/-75349.09827*100)</f>
        <v>94.351298107445814</v>
      </c>
    </row>
    <row r="18" spans="1:5" x14ac:dyDescent="0.3">
      <c r="A18" s="53" t="s">
        <v>205</v>
      </c>
      <c r="B18" s="54" t="s">
        <v>174</v>
      </c>
      <c r="C18" s="31">
        <v>27958.331040000001</v>
      </c>
      <c r="D18" s="31">
        <v>45502.435189999997</v>
      </c>
      <c r="E18" s="31" t="s">
        <v>99</v>
      </c>
    </row>
    <row r="19" spans="1:5" x14ac:dyDescent="0.3">
      <c r="A19" s="55" t="s">
        <v>206</v>
      </c>
      <c r="B19" s="56" t="s">
        <v>175</v>
      </c>
      <c r="C19" s="32">
        <v>50670.373610000002</v>
      </c>
      <c r="D19" s="32">
        <v>67835.261750000005</v>
      </c>
      <c r="E19" s="32">
        <f>IF(OR(50670.37361="",67835.26175="",50670.37361=0,67835.26175=0),"-",67835.26175/50670.37361*100)</f>
        <v>133.87559024552453</v>
      </c>
    </row>
    <row r="20" spans="1:5" x14ac:dyDescent="0.3">
      <c r="A20" s="55" t="s">
        <v>207</v>
      </c>
      <c r="B20" s="56" t="s">
        <v>176</v>
      </c>
      <c r="C20" s="32">
        <v>-22712.042570000001</v>
      </c>
      <c r="D20" s="32">
        <v>-22332.826560000001</v>
      </c>
      <c r="E20" s="32">
        <f>IF(OR(-22712.04257="",-22332.82656="",-22712.04257=0,-22332.82656=0),"-",-22332.82656/-22712.04257*100)</f>
        <v>98.330330665631536</v>
      </c>
    </row>
    <row r="21" spans="1:5" ht="16.5" customHeight="1" x14ac:dyDescent="0.3">
      <c r="A21" s="53" t="s">
        <v>208</v>
      </c>
      <c r="B21" s="54" t="s">
        <v>21</v>
      </c>
      <c r="C21" s="31">
        <v>154547.79474000001</v>
      </c>
      <c r="D21" s="31">
        <v>61491.216610000003</v>
      </c>
      <c r="E21" s="31">
        <f>IF(154547.79474="","-",61491.21661/154547.79474*100)</f>
        <v>39.787831792390413</v>
      </c>
    </row>
    <row r="22" spans="1:5" x14ac:dyDescent="0.3">
      <c r="A22" s="55" t="s">
        <v>209</v>
      </c>
      <c r="B22" s="56" t="s">
        <v>183</v>
      </c>
      <c r="C22" s="32">
        <v>847.87945000000002</v>
      </c>
      <c r="D22" s="32">
        <v>889.10536999999999</v>
      </c>
      <c r="E22" s="32">
        <f>IF(OR(847.87945="",889.10537="",847.87945=0,889.10537=0),"-",889.10537/847.87945*100)</f>
        <v>104.86223837598612</v>
      </c>
    </row>
    <row r="23" spans="1:5" x14ac:dyDescent="0.3">
      <c r="A23" s="55" t="s">
        <v>210</v>
      </c>
      <c r="B23" s="56" t="s">
        <v>177</v>
      </c>
      <c r="C23" s="32">
        <v>183841.79663</v>
      </c>
      <c r="D23" s="32">
        <v>103049.53242</v>
      </c>
      <c r="E23" s="32">
        <f>IF(OR(183841.79663="",103049.53242="",183841.79663=0,103049.53242=0),"-",103049.53242/183841.79663*100)</f>
        <v>56.053375407006868</v>
      </c>
    </row>
    <row r="24" spans="1:5" ht="17.25" customHeight="1" x14ac:dyDescent="0.3">
      <c r="A24" s="55" t="s">
        <v>263</v>
      </c>
      <c r="B24" s="56" t="s">
        <v>178</v>
      </c>
      <c r="C24" s="32">
        <v>-2973.9132100000002</v>
      </c>
      <c r="D24" s="32">
        <v>-2794.4148700000001</v>
      </c>
      <c r="E24" s="32">
        <f>IF(OR(-2973.91321="",-2794.41487="",-2973.91321=0,-2794.41487=0),"-",-2794.41487/-2973.91321*100)</f>
        <v>93.964237443230559</v>
      </c>
    </row>
    <row r="25" spans="1:5" x14ac:dyDescent="0.3">
      <c r="A25" s="55" t="s">
        <v>211</v>
      </c>
      <c r="B25" s="56" t="s">
        <v>179</v>
      </c>
      <c r="C25" s="32">
        <v>-37695.686139999998</v>
      </c>
      <c r="D25" s="32">
        <v>-26312.197120000001</v>
      </c>
      <c r="E25" s="32">
        <f>IF(OR(-37695.68614="",-26312.19712="",-37695.68614=0,-26312.19712=0),"-",-26312.19712/-37695.68614*100)</f>
        <v>69.801613432045627</v>
      </c>
    </row>
    <row r="26" spans="1:5" x14ac:dyDescent="0.3">
      <c r="A26" s="55" t="s">
        <v>212</v>
      </c>
      <c r="B26" s="56" t="s">
        <v>131</v>
      </c>
      <c r="C26" s="32">
        <v>3036.87979</v>
      </c>
      <c r="D26" s="32">
        <v>1989.86491</v>
      </c>
      <c r="E26" s="32">
        <f>IF(OR(3036.87979="",1989.86491="",3036.87979=0,1989.86491=0),"-",1989.86491/3036.87979*100)</f>
        <v>65.523334725079792</v>
      </c>
    </row>
    <row r="27" spans="1:5" ht="28.5" customHeight="1" x14ac:dyDescent="0.3">
      <c r="A27" s="55" t="s">
        <v>213</v>
      </c>
      <c r="B27" s="56" t="s">
        <v>132</v>
      </c>
      <c r="C27" s="32">
        <v>-5252.3563199999999</v>
      </c>
      <c r="D27" s="32">
        <v>-4907.3841400000001</v>
      </c>
      <c r="E27" s="32">
        <f>IF(OR(-5252.35632="",-4907.38414="",-5252.35632=0,-4907.38414=0),"-",-4907.38414/-5252.35632*100)</f>
        <v>93.432049179786034</v>
      </c>
    </row>
    <row r="28" spans="1:5" ht="22.8" x14ac:dyDescent="0.3">
      <c r="A28" s="55" t="s">
        <v>214</v>
      </c>
      <c r="B28" s="56" t="s">
        <v>133</v>
      </c>
      <c r="C28" s="32">
        <v>-861.62455</v>
      </c>
      <c r="D28" s="32">
        <v>28.475829999999998</v>
      </c>
      <c r="E28" s="32" t="s">
        <v>19</v>
      </c>
    </row>
    <row r="29" spans="1:5" x14ac:dyDescent="0.3">
      <c r="A29" s="55" t="s">
        <v>215</v>
      </c>
      <c r="B29" s="56" t="s">
        <v>134</v>
      </c>
      <c r="C29" s="32">
        <v>43173.776039999997</v>
      </c>
      <c r="D29" s="32">
        <v>22883.215619999999</v>
      </c>
      <c r="E29" s="32">
        <f>IF(OR(43173.77604="",22883.21562="",43173.77604=0,22883.21562=0),"-",22883.21562/43173.77604*100)</f>
        <v>53.002581008431996</v>
      </c>
    </row>
    <row r="30" spans="1:5" x14ac:dyDescent="0.3">
      <c r="A30" s="55" t="s">
        <v>216</v>
      </c>
      <c r="B30" s="56" t="s">
        <v>135</v>
      </c>
      <c r="C30" s="32">
        <v>-29568.95695</v>
      </c>
      <c r="D30" s="32">
        <v>-33334.98141</v>
      </c>
      <c r="E30" s="32">
        <f>IF(OR(-29568.95695="",-33334.98141="",-29568.95695=0,-33334.98141=0),"-",-33334.98141/-29568.95695*100)</f>
        <v>112.73641294269596</v>
      </c>
    </row>
    <row r="31" spans="1:5" ht="15.75" customHeight="1" x14ac:dyDescent="0.3">
      <c r="A31" s="53" t="s">
        <v>217</v>
      </c>
      <c r="B31" s="54" t="s">
        <v>136</v>
      </c>
      <c r="C31" s="31">
        <v>-1177500.5026199999</v>
      </c>
      <c r="D31" s="31">
        <v>-996211.99861000001</v>
      </c>
      <c r="E31" s="31">
        <f>IF(-1177500.50262="","-",-996211.99861/-1177500.50262*100)</f>
        <v>84.603955275889604</v>
      </c>
    </row>
    <row r="32" spans="1:5" x14ac:dyDescent="0.3">
      <c r="A32" s="55" t="s">
        <v>218</v>
      </c>
      <c r="B32" s="56" t="s">
        <v>180</v>
      </c>
      <c r="C32" s="32">
        <v>-20738.251459999999</v>
      </c>
      <c r="D32" s="32">
        <v>-13069.07662</v>
      </c>
      <c r="E32" s="32">
        <f>IF(OR(-20738.25146="",-13069.07662="",-20738.25146=0,-13069.07662=0),"-",-13069.07662/-20738.25146*100)</f>
        <v>63.019182910418813</v>
      </c>
    </row>
    <row r="33" spans="1:5" x14ac:dyDescent="0.3">
      <c r="A33" s="55" t="s">
        <v>219</v>
      </c>
      <c r="B33" s="56" t="s">
        <v>137</v>
      </c>
      <c r="C33" s="32">
        <v>-621665.60707999999</v>
      </c>
      <c r="D33" s="32">
        <v>-587013.53925000003</v>
      </c>
      <c r="E33" s="32">
        <f>IF(OR(-621665.60708="",-587013.53925="",-621665.60708=0,-587013.53925=0),"-",-587013.53925/-621665.60708*100)</f>
        <v>94.425931331031364</v>
      </c>
    </row>
    <row r="34" spans="1:5" x14ac:dyDescent="0.3">
      <c r="A34" s="55" t="s">
        <v>264</v>
      </c>
      <c r="B34" s="56" t="s">
        <v>181</v>
      </c>
      <c r="C34" s="32">
        <v>-506554.19498999999</v>
      </c>
      <c r="D34" s="32">
        <v>-389826.38957</v>
      </c>
      <c r="E34" s="32">
        <f>IF(OR(-506554.19499="",-389826.38957="",-506554.19499=0,-389826.38957=0),"-",-389826.38957/-506554.19499*100)</f>
        <v>76.956502073326163</v>
      </c>
    </row>
    <row r="35" spans="1:5" x14ac:dyDescent="0.3">
      <c r="A35" s="55" t="s">
        <v>269</v>
      </c>
      <c r="B35" s="56" t="s">
        <v>271</v>
      </c>
      <c r="C35" s="32">
        <v>-28542.449089999998</v>
      </c>
      <c r="D35" s="32">
        <v>-6302.9931699999997</v>
      </c>
      <c r="E35" s="32">
        <f>IF(OR(-28542.44909="",-6302.99317="",-28542.44909=0,-6302.99317=0),"-",-6302.99317/-28542.44909*100)</f>
        <v>22.082874353652741</v>
      </c>
    </row>
    <row r="36" spans="1:5" x14ac:dyDescent="0.3">
      <c r="A36" s="53" t="s">
        <v>220</v>
      </c>
      <c r="B36" s="54" t="s">
        <v>138</v>
      </c>
      <c r="C36" s="31">
        <v>229568.97094</v>
      </c>
      <c r="D36" s="31">
        <v>153196.82604000001</v>
      </c>
      <c r="E36" s="31">
        <f>IF(229568.97094="","-",153196.82604/229568.97094*100)</f>
        <v>66.732374768556781</v>
      </c>
    </row>
    <row r="37" spans="1:5" x14ac:dyDescent="0.3">
      <c r="A37" s="55" t="s">
        <v>221</v>
      </c>
      <c r="B37" s="56" t="s">
        <v>184</v>
      </c>
      <c r="C37" s="32">
        <v>-1619.4858099999999</v>
      </c>
      <c r="D37" s="32">
        <v>-2260.7358199999999</v>
      </c>
      <c r="E37" s="32">
        <f>IF(OR(-1619.48581="",-2260.73582="",-1619.48581=0,-2260.73582=0),"-",-2260.73582/-1619.48581*100)</f>
        <v>139.595901738713</v>
      </c>
    </row>
    <row r="38" spans="1:5" ht="14.25" customHeight="1" x14ac:dyDescent="0.3">
      <c r="A38" s="55" t="s">
        <v>222</v>
      </c>
      <c r="B38" s="56" t="s">
        <v>139</v>
      </c>
      <c r="C38" s="32">
        <v>233599.8505</v>
      </c>
      <c r="D38" s="32">
        <v>157726.51389999999</v>
      </c>
      <c r="E38" s="32">
        <f>IF(OR(233599.8505="",157726.5139="",233599.8505=0,157726.5139=0),"-",157726.5139/233599.8505*100)</f>
        <v>67.519954983875294</v>
      </c>
    </row>
    <row r="39" spans="1:5" ht="40.5" customHeight="1" x14ac:dyDescent="0.3">
      <c r="A39" s="55" t="s">
        <v>223</v>
      </c>
      <c r="B39" s="56" t="s">
        <v>182</v>
      </c>
      <c r="C39" s="32">
        <v>-2411.3937500000002</v>
      </c>
      <c r="D39" s="32">
        <v>-2268.9520400000001</v>
      </c>
      <c r="E39" s="32">
        <f>IF(OR(-2411.39375="",-2268.95204="",-2411.39375=0,-2268.95204=0),"-",-2268.95204/-2411.39375*100)</f>
        <v>94.092971751295281</v>
      </c>
    </row>
    <row r="40" spans="1:5" ht="15" customHeight="1" x14ac:dyDescent="0.3">
      <c r="A40" s="53" t="s">
        <v>224</v>
      </c>
      <c r="B40" s="54" t="s">
        <v>140</v>
      </c>
      <c r="C40" s="31">
        <v>-637747.84860999999</v>
      </c>
      <c r="D40" s="31">
        <v>-651815.03777000005</v>
      </c>
      <c r="E40" s="31">
        <f>IF(-637747.84861="","-",-651815.03777/-637747.84861*100)</f>
        <v>102.20576034723756</v>
      </c>
    </row>
    <row r="41" spans="1:5" x14ac:dyDescent="0.3">
      <c r="A41" s="55" t="s">
        <v>225</v>
      </c>
      <c r="B41" s="56" t="s">
        <v>22</v>
      </c>
      <c r="C41" s="32">
        <v>19066.05269</v>
      </c>
      <c r="D41" s="32">
        <v>7749.1213399999997</v>
      </c>
      <c r="E41" s="32">
        <f>IF(OR(19066.05269="",7749.12134="",19066.05269=0,7749.12134=0),"-",7749.12134/19066.05269*100)</f>
        <v>40.643553576584601</v>
      </c>
    </row>
    <row r="42" spans="1:5" x14ac:dyDescent="0.3">
      <c r="A42" s="55" t="s">
        <v>226</v>
      </c>
      <c r="B42" s="56" t="s">
        <v>23</v>
      </c>
      <c r="C42" s="32">
        <v>-15495.74899</v>
      </c>
      <c r="D42" s="32">
        <v>-18098.884849999999</v>
      </c>
      <c r="E42" s="32">
        <f>IF(OR(-15495.74899="",-18098.88485="",-15495.74899=0,-18098.88485=0),"-",-18098.88485/-15495.74899*100)</f>
        <v>116.79903218411644</v>
      </c>
    </row>
    <row r="43" spans="1:5" x14ac:dyDescent="0.3">
      <c r="A43" s="55" t="s">
        <v>227</v>
      </c>
      <c r="B43" s="56" t="s">
        <v>141</v>
      </c>
      <c r="C43" s="32">
        <v>-31250.584559999999</v>
      </c>
      <c r="D43" s="32">
        <v>-31271.871050000002</v>
      </c>
      <c r="E43" s="32">
        <f>IF(OR(-31250.58456="",-31271.87105="",-31250.58456=0,-31271.87105=0),"-",-31271.87105/-31250.58456*100)</f>
        <v>100.06811549383703</v>
      </c>
    </row>
    <row r="44" spans="1:5" x14ac:dyDescent="0.3">
      <c r="A44" s="55" t="s">
        <v>228</v>
      </c>
      <c r="B44" s="56" t="s">
        <v>142</v>
      </c>
      <c r="C44" s="32">
        <v>-154016.37823999999</v>
      </c>
      <c r="D44" s="32">
        <v>-164673.66084999999</v>
      </c>
      <c r="E44" s="32">
        <f>IF(OR(-154016.37824="",-164673.66085="",-154016.37824=0,-164673.66085=0),"-",-164673.66085/-154016.37824*100)</f>
        <v>106.91957747077588</v>
      </c>
    </row>
    <row r="45" spans="1:5" ht="28.5" customHeight="1" x14ac:dyDescent="0.3">
      <c r="A45" s="55" t="s">
        <v>229</v>
      </c>
      <c r="B45" s="56" t="s">
        <v>143</v>
      </c>
      <c r="C45" s="32">
        <v>-84479.009439999994</v>
      </c>
      <c r="D45" s="32">
        <v>-100068.54383</v>
      </c>
      <c r="E45" s="32">
        <f>IF(OR(-84479.00944="",-100068.54383="",-84479.00944=0,-100068.54383=0),"-",-100068.54383/-84479.00944*100)</f>
        <v>118.45373719855492</v>
      </c>
    </row>
    <row r="46" spans="1:5" x14ac:dyDescent="0.3">
      <c r="A46" s="55" t="s">
        <v>230</v>
      </c>
      <c r="B46" s="56" t="s">
        <v>144</v>
      </c>
      <c r="C46" s="32">
        <v>-95665.675910000005</v>
      </c>
      <c r="D46" s="32">
        <v>-101805.84566000001</v>
      </c>
      <c r="E46" s="32">
        <f>IF(OR(-95665.67591="",-101805.84566="",-95665.67591=0,-101805.84566=0),"-",-101805.84566/-95665.67591*100)</f>
        <v>106.41836237667574</v>
      </c>
    </row>
    <row r="47" spans="1:5" x14ac:dyDescent="0.3">
      <c r="A47" s="55" t="s">
        <v>231</v>
      </c>
      <c r="B47" s="56" t="s">
        <v>24</v>
      </c>
      <c r="C47" s="32">
        <v>-49561.930899999999</v>
      </c>
      <c r="D47" s="32">
        <v>-34507.855880000003</v>
      </c>
      <c r="E47" s="32">
        <f>IF(OR(-49561.9309="",-34507.85588="",-49561.9309=0,-34507.85588=0),"-",-34507.85588/-49561.9309*100)</f>
        <v>69.625729372057222</v>
      </c>
    </row>
    <row r="48" spans="1:5" x14ac:dyDescent="0.3">
      <c r="A48" s="55" t="s">
        <v>232</v>
      </c>
      <c r="B48" s="56" t="s">
        <v>25</v>
      </c>
      <c r="C48" s="32">
        <v>-95974.990820000006</v>
      </c>
      <c r="D48" s="32">
        <v>-90021.161330000003</v>
      </c>
      <c r="E48" s="32">
        <f>IF(OR(-95974.99082="",-90021.16133="",-95974.99082=0,-90021.16133=0),"-",-90021.16133/-95974.99082*100)</f>
        <v>93.796478187566237</v>
      </c>
    </row>
    <row r="49" spans="1:5" x14ac:dyDescent="0.3">
      <c r="A49" s="55" t="s">
        <v>233</v>
      </c>
      <c r="B49" s="56" t="s">
        <v>145</v>
      </c>
      <c r="C49" s="32">
        <v>-130369.58244</v>
      </c>
      <c r="D49" s="32">
        <v>-119116.33566</v>
      </c>
      <c r="E49" s="32">
        <f>IF(OR(-130369.58244="",-119116.33566="",-130369.58244=0,-119116.33566=0),"-",-119116.33566/-130369.58244*100)</f>
        <v>91.368196039763276</v>
      </c>
    </row>
    <row r="50" spans="1:5" ht="24" x14ac:dyDescent="0.3">
      <c r="A50" s="53" t="s">
        <v>234</v>
      </c>
      <c r="B50" s="54" t="s">
        <v>405</v>
      </c>
      <c r="C50" s="31">
        <v>-679853.00344</v>
      </c>
      <c r="D50" s="31">
        <v>-602718.35519000003</v>
      </c>
      <c r="E50" s="31">
        <f>IF(-679853.00344="","-",-602718.35519/-679853.00344*100)</f>
        <v>88.654216741015333</v>
      </c>
    </row>
    <row r="51" spans="1:5" x14ac:dyDescent="0.3">
      <c r="A51" s="55" t="s">
        <v>235</v>
      </c>
      <c r="B51" s="56" t="s">
        <v>146</v>
      </c>
      <c r="C51" s="32">
        <v>-35718.81914</v>
      </c>
      <c r="D51" s="32">
        <v>-29106.161499999998</v>
      </c>
      <c r="E51" s="32">
        <f>IF(OR(-35718.81914="",-29106.1615="",-35718.81914=0,-29106.1615=0),"-",-29106.1615/-35718.81914*100)</f>
        <v>81.486908584290902</v>
      </c>
    </row>
    <row r="52" spans="1:5" x14ac:dyDescent="0.3">
      <c r="A52" s="55" t="s">
        <v>236</v>
      </c>
      <c r="B52" s="56" t="s">
        <v>26</v>
      </c>
      <c r="C52" s="32">
        <v>-55942.170689999999</v>
      </c>
      <c r="D52" s="32">
        <v>-46496.530850000003</v>
      </c>
      <c r="E52" s="32">
        <f>IF(OR(-55942.17069="",-46496.53085="",-55942.17069=0,-46496.53085=0),"-",-46496.53085/-55942.17069*100)</f>
        <v>83.115349791586723</v>
      </c>
    </row>
    <row r="53" spans="1:5" x14ac:dyDescent="0.3">
      <c r="A53" s="55" t="s">
        <v>237</v>
      </c>
      <c r="B53" s="56" t="s">
        <v>147</v>
      </c>
      <c r="C53" s="32">
        <v>-51680.764750000002</v>
      </c>
      <c r="D53" s="32">
        <v>-54679.711389999997</v>
      </c>
      <c r="E53" s="32">
        <f>IF(OR(-51680.76475="",-54679.71139="",-51680.76475=0,-54679.71139=0),"-",-54679.71139/-51680.76475*100)</f>
        <v>105.80282945600179</v>
      </c>
    </row>
    <row r="54" spans="1:5" ht="22.8" x14ac:dyDescent="0.3">
      <c r="A54" s="55" t="s">
        <v>238</v>
      </c>
      <c r="B54" s="56" t="s">
        <v>148</v>
      </c>
      <c r="C54" s="32">
        <v>-79963.62599</v>
      </c>
      <c r="D54" s="32">
        <v>-68480.669450000001</v>
      </c>
      <c r="E54" s="32">
        <f>IF(OR(-79963.62599="",-68480.66945="",-79963.62599=0,-68480.66945=0),"-",-68480.66945/-79963.62599*100)</f>
        <v>85.639775087943079</v>
      </c>
    </row>
    <row r="55" spans="1:5" ht="22.8" x14ac:dyDescent="0.3">
      <c r="A55" s="55" t="s">
        <v>239</v>
      </c>
      <c r="B55" s="56" t="s">
        <v>149</v>
      </c>
      <c r="C55" s="32">
        <v>-160634.27588</v>
      </c>
      <c r="D55" s="32">
        <v>-144419.43361000001</v>
      </c>
      <c r="E55" s="32">
        <f>IF(OR(-160634.27588="",-144419.43361="",-160634.27588=0,-144419.43361=0),"-",-144419.43361/-160634.27588*100)</f>
        <v>89.905739493535549</v>
      </c>
    </row>
    <row r="56" spans="1:5" x14ac:dyDescent="0.3">
      <c r="A56" s="55" t="s">
        <v>240</v>
      </c>
      <c r="B56" s="56" t="s">
        <v>27</v>
      </c>
      <c r="C56" s="32">
        <v>-47846.360639999999</v>
      </c>
      <c r="D56" s="32">
        <v>-43285.215490000002</v>
      </c>
      <c r="E56" s="32">
        <f>IF(OR(-47846.36064="",-43285.21549="",-47846.36064=0,-43285.21549=0),"-",-43285.21549/-47846.36064*100)</f>
        <v>90.467101177624713</v>
      </c>
    </row>
    <row r="57" spans="1:5" x14ac:dyDescent="0.3">
      <c r="A57" s="55" t="s">
        <v>241</v>
      </c>
      <c r="B57" s="56" t="s">
        <v>150</v>
      </c>
      <c r="C57" s="32">
        <v>-119811.93149</v>
      </c>
      <c r="D57" s="32">
        <v>-91167.694470000002</v>
      </c>
      <c r="E57" s="32">
        <f>IF(OR(-119811.93149="",-91167.69447="",-119811.93149=0,-91167.69447=0),"-",-91167.69447/-119811.93149*100)</f>
        <v>76.092333489848826</v>
      </c>
    </row>
    <row r="58" spans="1:5" x14ac:dyDescent="0.3">
      <c r="A58" s="55" t="s">
        <v>242</v>
      </c>
      <c r="B58" s="56" t="s">
        <v>28</v>
      </c>
      <c r="C58" s="32">
        <v>-22379.271059999999</v>
      </c>
      <c r="D58" s="32">
        <v>-23585.869480000001</v>
      </c>
      <c r="E58" s="32">
        <f>IF(OR(-22379.27106="",-23585.86948="",-22379.27106=0,-23585.86948=0),"-",-23585.86948/-22379.27106*100)</f>
        <v>105.39158946135933</v>
      </c>
    </row>
    <row r="59" spans="1:5" x14ac:dyDescent="0.3">
      <c r="A59" s="55" t="s">
        <v>243</v>
      </c>
      <c r="B59" s="56" t="s">
        <v>29</v>
      </c>
      <c r="C59" s="32">
        <v>-105875.7838</v>
      </c>
      <c r="D59" s="32">
        <v>-101497.06895</v>
      </c>
      <c r="E59" s="32">
        <f>IF(OR(-105875.7838="",-101497.06895="",-105875.7838=0,-101497.06895=0),"-",-101497.06895/-105875.7838*100)</f>
        <v>95.864290498881772</v>
      </c>
    </row>
    <row r="60" spans="1:5" x14ac:dyDescent="0.3">
      <c r="A60" s="53" t="s">
        <v>244</v>
      </c>
      <c r="B60" s="54" t="s">
        <v>151</v>
      </c>
      <c r="C60" s="31">
        <v>-842849.25231000001</v>
      </c>
      <c r="D60" s="31">
        <v>-834042.47004000004</v>
      </c>
      <c r="E60" s="31">
        <f>IF(-842849.25231="","-",-834042.47004/-842849.25231*100)</f>
        <v>98.955117745449357</v>
      </c>
    </row>
    <row r="61" spans="1:5" ht="16.5" customHeight="1" x14ac:dyDescent="0.3">
      <c r="A61" s="55" t="s">
        <v>245</v>
      </c>
      <c r="B61" s="56" t="s">
        <v>152</v>
      </c>
      <c r="C61" s="32">
        <v>-16191.22453</v>
      </c>
      <c r="D61" s="32">
        <v>-26389.10845</v>
      </c>
      <c r="E61" s="32" t="s">
        <v>99</v>
      </c>
    </row>
    <row r="62" spans="1:5" ht="15" customHeight="1" x14ac:dyDescent="0.3">
      <c r="A62" s="55" t="s">
        <v>246</v>
      </c>
      <c r="B62" s="56" t="s">
        <v>153</v>
      </c>
      <c r="C62" s="32">
        <v>-211716.87984000001</v>
      </c>
      <c r="D62" s="32">
        <v>-124973.84968</v>
      </c>
      <c r="E62" s="32">
        <f>IF(OR(-211716.87984="",-124973.84968="",-211716.87984=0,-124973.84968=0),"-",-124973.84968/-211716.87984*100)</f>
        <v>59.02876037774881</v>
      </c>
    </row>
    <row r="63" spans="1:5" x14ac:dyDescent="0.3">
      <c r="A63" s="55" t="s">
        <v>247</v>
      </c>
      <c r="B63" s="56" t="s">
        <v>154</v>
      </c>
      <c r="C63" s="32">
        <v>-5391.4935599999999</v>
      </c>
      <c r="D63" s="32">
        <v>-7533.0778200000004</v>
      </c>
      <c r="E63" s="32">
        <f>IF(OR(-5391.49356="",-7533.07782="",-5391.49356=0,-7533.07782=0),"-",-7533.07782/-5391.49356*100)</f>
        <v>139.72153979536611</v>
      </c>
    </row>
    <row r="64" spans="1:5" ht="22.8" x14ac:dyDescent="0.3">
      <c r="A64" s="55" t="s">
        <v>248</v>
      </c>
      <c r="B64" s="56" t="s">
        <v>155</v>
      </c>
      <c r="C64" s="32">
        <v>-147644.87005999999</v>
      </c>
      <c r="D64" s="32">
        <v>-134780.08837000001</v>
      </c>
      <c r="E64" s="32">
        <f>IF(OR(-147644.87006="",-134780.08837="",-147644.87006=0,-134780.08837=0),"-",-134780.08837/-147644.87006*100)</f>
        <v>91.286672076874751</v>
      </c>
    </row>
    <row r="65" spans="1:5" ht="27.75" customHeight="1" x14ac:dyDescent="0.3">
      <c r="A65" s="55" t="s">
        <v>249</v>
      </c>
      <c r="B65" s="56" t="s">
        <v>156</v>
      </c>
      <c r="C65" s="32">
        <v>-53885.552940000001</v>
      </c>
      <c r="D65" s="32">
        <v>-49659.377639999999</v>
      </c>
      <c r="E65" s="32">
        <f>IF(OR(-53885.55294="",-49659.37764="",-53885.55294=0,-49659.37764=0),"-",-49659.37764/-53885.55294*100)</f>
        <v>92.157127338554503</v>
      </c>
    </row>
    <row r="66" spans="1:5" ht="29.25" customHeight="1" x14ac:dyDescent="0.3">
      <c r="A66" s="55" t="s">
        <v>250</v>
      </c>
      <c r="B66" s="56" t="s">
        <v>157</v>
      </c>
      <c r="C66" s="32">
        <v>-114917.03946</v>
      </c>
      <c r="D66" s="32">
        <v>-139380.38436</v>
      </c>
      <c r="E66" s="32">
        <f>IF(OR(-114917.03946="",-139380.38436="",-114917.03946=0,-139380.38436=0),"-",-139380.38436/-114917.03946*100)</f>
        <v>121.2878307820618</v>
      </c>
    </row>
    <row r="67" spans="1:5" ht="15" customHeight="1" x14ac:dyDescent="0.3">
      <c r="A67" s="55" t="s">
        <v>251</v>
      </c>
      <c r="B67" s="56" t="s">
        <v>158</v>
      </c>
      <c r="C67" s="32">
        <v>-9701.6220599999997</v>
      </c>
      <c r="D67" s="32">
        <v>-16390.235769999999</v>
      </c>
      <c r="E67" s="32" t="s">
        <v>98</v>
      </c>
    </row>
    <row r="68" spans="1:5" x14ac:dyDescent="0.3">
      <c r="A68" s="55" t="s">
        <v>252</v>
      </c>
      <c r="B68" s="56" t="s">
        <v>159</v>
      </c>
      <c r="C68" s="32">
        <v>-280027.27967999998</v>
      </c>
      <c r="D68" s="32">
        <v>-335540.75666000001</v>
      </c>
      <c r="E68" s="32">
        <f>IF(OR(-280027.27968="",-335540.75666="",-280027.27968=0,-335540.75666=0),"-",-335540.75666/-280027.27968*100)</f>
        <v>119.82431034699113</v>
      </c>
    </row>
    <row r="69" spans="1:5" x14ac:dyDescent="0.3">
      <c r="A69" s="55" t="s">
        <v>253</v>
      </c>
      <c r="B69" s="56" t="s">
        <v>30</v>
      </c>
      <c r="C69" s="32">
        <v>-3373.29018</v>
      </c>
      <c r="D69" s="32">
        <v>604.40871000000004</v>
      </c>
      <c r="E69" s="32" t="s">
        <v>19</v>
      </c>
    </row>
    <row r="70" spans="1:5" x14ac:dyDescent="0.3">
      <c r="A70" s="53" t="s">
        <v>254</v>
      </c>
      <c r="B70" s="54" t="s">
        <v>31</v>
      </c>
      <c r="C70" s="31">
        <v>-96278.299220000001</v>
      </c>
      <c r="D70" s="31">
        <v>-136189.37774</v>
      </c>
      <c r="E70" s="31">
        <f>IF(-96278.29922="","-",-136189.37774/-96278.29922*100)</f>
        <v>141.45386742738515</v>
      </c>
    </row>
    <row r="71" spans="1:5" ht="22.8" x14ac:dyDescent="0.3">
      <c r="A71" s="55" t="s">
        <v>255</v>
      </c>
      <c r="B71" s="56" t="s">
        <v>185</v>
      </c>
      <c r="C71" s="32">
        <v>-29019.913560000001</v>
      </c>
      <c r="D71" s="32">
        <v>-20551.212670000001</v>
      </c>
      <c r="E71" s="32">
        <f>IF(OR(-29019.91356="",-20551.21267="",-29019.91356=0,-20551.21267=0),"-",-20551.21267/-29019.91356*100)</f>
        <v>70.817621932296333</v>
      </c>
    </row>
    <row r="72" spans="1:5" x14ac:dyDescent="0.3">
      <c r="A72" s="55" t="s">
        <v>256</v>
      </c>
      <c r="B72" s="56" t="s">
        <v>160</v>
      </c>
      <c r="C72" s="32">
        <v>49747.924290000003</v>
      </c>
      <c r="D72" s="32">
        <v>48883.235009999997</v>
      </c>
      <c r="E72" s="32">
        <f>IF(OR(49747.92429="",48883.23501="",49747.92429=0,48883.23501=0),"-",48883.23501/49747.92429*100)</f>
        <v>98.261858575325888</v>
      </c>
    </row>
    <row r="73" spans="1:5" x14ac:dyDescent="0.3">
      <c r="A73" s="55" t="s">
        <v>257</v>
      </c>
      <c r="B73" s="56" t="s">
        <v>161</v>
      </c>
      <c r="C73" s="32">
        <v>-1495.7516000000001</v>
      </c>
      <c r="D73" s="32">
        <v>-2677.3212400000002</v>
      </c>
      <c r="E73" s="32" t="s">
        <v>187</v>
      </c>
    </row>
    <row r="74" spans="1:5" x14ac:dyDescent="0.3">
      <c r="A74" s="55" t="s">
        <v>258</v>
      </c>
      <c r="B74" s="56" t="s">
        <v>162</v>
      </c>
      <c r="C74" s="32">
        <v>73857.98947</v>
      </c>
      <c r="D74" s="32">
        <v>62356.605409999996</v>
      </c>
      <c r="E74" s="32">
        <f>IF(OR(73857.98947="",62356.60541="",73857.98947=0,62356.60541=0),"-",62356.60541/73857.98947*100)</f>
        <v>84.427704920573703</v>
      </c>
    </row>
    <row r="75" spans="1:5" x14ac:dyDescent="0.3">
      <c r="A75" s="55" t="s">
        <v>259</v>
      </c>
      <c r="B75" s="56" t="s">
        <v>163</v>
      </c>
      <c r="C75" s="32">
        <v>-12071.954100000001</v>
      </c>
      <c r="D75" s="32">
        <v>-19909.928759999999</v>
      </c>
      <c r="E75" s="32" t="s">
        <v>99</v>
      </c>
    </row>
    <row r="76" spans="1:5" x14ac:dyDescent="0.3">
      <c r="A76" s="55" t="s">
        <v>260</v>
      </c>
      <c r="B76" s="56" t="s">
        <v>293</v>
      </c>
      <c r="C76" s="32">
        <v>-32394.631079999999</v>
      </c>
      <c r="D76" s="32">
        <v>-33614.441529999996</v>
      </c>
      <c r="E76" s="32">
        <f>IF(OR(-32394.63108="",-33614.44153="",-32394.63108=0,-33614.44153=0),"-",-33614.44153/-32394.63108*100)</f>
        <v>103.76547103434399</v>
      </c>
    </row>
    <row r="77" spans="1:5" ht="22.8" x14ac:dyDescent="0.3">
      <c r="A77" s="55" t="s">
        <v>261</v>
      </c>
      <c r="B77" s="56" t="s">
        <v>164</v>
      </c>
      <c r="C77" s="32">
        <v>-5978.3081099999999</v>
      </c>
      <c r="D77" s="32">
        <v>-8086.3210900000004</v>
      </c>
      <c r="E77" s="32">
        <f>IF(OR(-5978.30811="",-8086.32109="",-5978.30811=0,-8086.32109=0),"-",-8086.32109/-5978.30811*100)</f>
        <v>135.2610293951544</v>
      </c>
    </row>
    <row r="78" spans="1:5" x14ac:dyDescent="0.3">
      <c r="A78" s="55" t="s">
        <v>262</v>
      </c>
      <c r="B78" s="56" t="s">
        <v>32</v>
      </c>
      <c r="C78" s="32">
        <v>-138923.65453</v>
      </c>
      <c r="D78" s="32">
        <v>-162589.99286999999</v>
      </c>
      <c r="E78" s="32">
        <f>IF(OR(-138923.65453="",-162589.99287="",-138923.65453=0,-162589.99287=0),"-",-162589.99287/-138923.65453*100)</f>
        <v>117.03549940437921</v>
      </c>
    </row>
    <row r="79" spans="1:5" x14ac:dyDescent="0.3">
      <c r="A79" s="58" t="s">
        <v>265</v>
      </c>
      <c r="B79" s="59" t="s">
        <v>165</v>
      </c>
      <c r="C79" s="67">
        <v>-13579.62571</v>
      </c>
      <c r="D79" s="67">
        <v>1714.8092099999999</v>
      </c>
      <c r="E79" s="67" t="s">
        <v>19</v>
      </c>
    </row>
    <row r="80" spans="1:5" s="28" customFormat="1" ht="10.199999999999999" x14ac:dyDescent="0.2">
      <c r="A80" s="10" t="s">
        <v>268</v>
      </c>
      <c r="B80" s="11"/>
      <c r="C80" s="51"/>
      <c r="D80" s="51"/>
      <c r="E80" s="51"/>
    </row>
    <row r="81" spans="3:5" x14ac:dyDescent="0.3">
      <c r="C81" s="32"/>
      <c r="D81" s="32"/>
      <c r="E81" s="68"/>
    </row>
    <row r="82" spans="3:5" x14ac:dyDescent="0.3">
      <c r="C82" s="32"/>
      <c r="D82" s="32"/>
      <c r="E82" s="68"/>
    </row>
  </sheetData>
  <mergeCells count="3">
    <mergeCell ref="B1:E1"/>
    <mergeCell ref="B2:E2"/>
    <mergeCell ref="A3:E3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Comerciala_Tari'!Print_Titles</vt:lpstr>
      <vt:lpstr>Balanta_Comerciala_Gr_Marf_CSCI!Print_Titles</vt:lpstr>
      <vt:lpstr>Export_Grupe_Marfuri_CSCI!Print_Titles</vt:lpstr>
      <vt:lpstr>Export_Tari!Print_Titles</vt:lpstr>
      <vt:lpstr>Import_Grupe_Marfuri_CSCI!Print_Titles</vt:lpstr>
      <vt:lpstr>Import_Tari!Print_Titles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Corina Vicol</cp:lastModifiedBy>
  <cp:lastPrinted>2023-10-12T13:46:13Z</cp:lastPrinted>
  <dcterms:created xsi:type="dcterms:W3CDTF">2016-09-01T07:59:47Z</dcterms:created>
  <dcterms:modified xsi:type="dcterms:W3CDTF">2023-10-16T16:36:11Z</dcterms:modified>
</cp:coreProperties>
</file>