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orinaVicol\Desktop\EXTERN\"/>
    </mc:Choice>
  </mc:AlternateContent>
  <xr:revisionPtr revIDLastSave="0" documentId="13_ncr:1_{4E7F8732-5B0C-4DC6-B7A5-D67B49EBC4E8}" xr6:coauthVersionLast="47" xr6:coauthVersionMax="47" xr10:uidLastSave="{00000000-0000-0000-0000-000000000000}"/>
  <bookViews>
    <workbookView xWindow="384" yWindow="384" windowWidth="21624" windowHeight="11400" xr2:uid="{00000000-000D-0000-FFFF-FFFF00000000}"/>
  </bookViews>
  <sheets>
    <sheet name="Export_Tari" sheetId="1" r:id="rId1"/>
    <sheet name="Import_Tari" sheetId="2" r:id="rId2"/>
    <sheet name="Balanta Comerciala_Tari" sheetId="3" r:id="rId3"/>
    <sheet name="Export_Moduri_Transport" sheetId="7" r:id="rId4"/>
    <sheet name="Import_Moduri_Transport" sheetId="8" r:id="rId5"/>
    <sheet name="Export_Grupe_Marfuri_CSCI" sheetId="5" r:id="rId6"/>
    <sheet name="Import_Grupe_Marfuri_CSCI" sheetId="6" r:id="rId7"/>
    <sheet name="Balanta_Comerciala_Gr_Marf_CSCI" sheetId="4" r:id="rId8"/>
  </sheets>
  <definedNames>
    <definedName name="_xlnm.Print_Titles" localSheetId="2">'Balanta Comerciala_Tari'!$3:$3</definedName>
    <definedName name="_xlnm.Print_Titles" localSheetId="7">Balanta_Comerciala_Gr_Marf_CSCI!$4:$4</definedName>
    <definedName name="_xlnm.Print_Titles" localSheetId="5">Export_Grupe_Marfuri_CSCI!$4:$5</definedName>
    <definedName name="_xlnm.Print_Titles" localSheetId="0">Export_Tari!$3:$4</definedName>
    <definedName name="_xlnm.Print_Titles" localSheetId="6">Import_Grupe_Marfuri_CSCI!$4:$5</definedName>
    <definedName name="_xlnm.Print_Titles" localSheetId="1">Import_Tari!$3:$4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6" i="5" l="1"/>
  <c r="E39" i="1" l="1"/>
  <c r="E5" i="4"/>
  <c r="E55" i="4"/>
  <c r="E50" i="4"/>
  <c r="E31" i="4"/>
  <c r="E8" i="4"/>
  <c r="E9" i="4"/>
  <c r="E10" i="4"/>
  <c r="E11" i="4"/>
  <c r="E12" i="4"/>
  <c r="E13" i="4"/>
  <c r="E15" i="4"/>
  <c r="E16" i="4"/>
  <c r="E17" i="4"/>
  <c r="E18" i="4"/>
  <c r="E19" i="4"/>
  <c r="E20" i="4"/>
  <c r="E22" i="4"/>
  <c r="E23" i="4"/>
  <c r="E24" i="4"/>
  <c r="E25" i="4"/>
  <c r="E26" i="4"/>
  <c r="E27" i="4"/>
  <c r="E28" i="4"/>
  <c r="E29" i="4"/>
  <c r="E30" i="4"/>
  <c r="E32" i="4"/>
  <c r="E33" i="4"/>
  <c r="E34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1" i="4"/>
  <c r="E52" i="4"/>
  <c r="E53" i="4"/>
  <c r="E54" i="4"/>
  <c r="E56" i="4"/>
  <c r="E57" i="4"/>
  <c r="E58" i="4"/>
  <c r="E59" i="4"/>
  <c r="E60" i="4"/>
  <c r="E61" i="4"/>
  <c r="E62" i="4"/>
  <c r="E63" i="4"/>
  <c r="E64" i="4"/>
  <c r="E65" i="4"/>
  <c r="E66" i="4"/>
  <c r="E67" i="4"/>
  <c r="E68" i="4"/>
  <c r="D70" i="4"/>
  <c r="E71" i="4"/>
  <c r="E72" i="4"/>
  <c r="E74" i="4"/>
  <c r="E75" i="4"/>
  <c r="E76" i="4"/>
  <c r="E77" i="4"/>
  <c r="D78" i="4"/>
  <c r="E78" i="4"/>
  <c r="F78" i="6"/>
  <c r="F77" i="6"/>
  <c r="F76" i="6"/>
  <c r="F75" i="6"/>
  <c r="F74" i="6"/>
  <c r="F73" i="6"/>
  <c r="F72" i="6"/>
  <c r="F71" i="6"/>
  <c r="F70" i="6"/>
  <c r="F69" i="6"/>
  <c r="F68" i="6"/>
  <c r="F67" i="6"/>
  <c r="F66" i="6"/>
  <c r="F65" i="6"/>
  <c r="F64" i="6"/>
  <c r="F63" i="6"/>
  <c r="F62" i="6"/>
  <c r="F61" i="6"/>
  <c r="F60" i="6"/>
  <c r="F59" i="6"/>
  <c r="F58" i="6"/>
  <c r="F57" i="6"/>
  <c r="F56" i="6"/>
  <c r="F55" i="6"/>
  <c r="F53" i="6"/>
  <c r="F52" i="6"/>
  <c r="F51" i="6"/>
  <c r="F50" i="6"/>
  <c r="F48" i="6"/>
  <c r="F47" i="6"/>
  <c r="F46" i="6"/>
  <c r="F45" i="6"/>
  <c r="F44" i="6"/>
  <c r="F43" i="6"/>
  <c r="F42" i="6"/>
  <c r="F41" i="6"/>
  <c r="F40" i="6"/>
  <c r="F39" i="6"/>
  <c r="F38" i="6"/>
  <c r="F37" i="6"/>
  <c r="F36" i="6"/>
  <c r="F35" i="6"/>
  <c r="F33" i="6"/>
  <c r="F32" i="6"/>
  <c r="F31" i="6"/>
  <c r="F29" i="6"/>
  <c r="F28" i="6"/>
  <c r="F27" i="6"/>
  <c r="F26" i="6"/>
  <c r="F25" i="6"/>
  <c r="F24" i="6"/>
  <c r="F23" i="6"/>
  <c r="F22" i="6"/>
  <c r="F21" i="6"/>
  <c r="F20" i="6"/>
  <c r="F19" i="6"/>
  <c r="F18" i="6"/>
  <c r="F17" i="6"/>
  <c r="F16" i="6"/>
  <c r="F15" i="6"/>
  <c r="F14" i="6"/>
  <c r="F13" i="6"/>
  <c r="F12" i="6"/>
  <c r="F11" i="6"/>
  <c r="F10" i="6"/>
  <c r="F9" i="6"/>
  <c r="F8" i="6"/>
  <c r="F7" i="6"/>
  <c r="H6" i="6"/>
  <c r="D6" i="6"/>
  <c r="G6" i="6"/>
  <c r="F54" i="6"/>
  <c r="F49" i="6"/>
  <c r="F34" i="6"/>
  <c r="F30" i="6"/>
  <c r="H54" i="6"/>
  <c r="G54" i="6"/>
  <c r="E54" i="6"/>
  <c r="D54" i="6"/>
  <c r="H49" i="6"/>
  <c r="G49" i="6"/>
  <c r="E49" i="6"/>
  <c r="D49" i="6"/>
  <c r="H34" i="6"/>
  <c r="G34" i="6"/>
  <c r="E34" i="6"/>
  <c r="H30" i="6"/>
  <c r="G30" i="6"/>
  <c r="E30" i="6"/>
  <c r="D30" i="6"/>
  <c r="E39" i="8"/>
  <c r="D39" i="8"/>
  <c r="E38" i="8"/>
  <c r="D38" i="8"/>
  <c r="E37" i="8"/>
  <c r="D37" i="8"/>
  <c r="E36" i="8"/>
  <c r="D36" i="8"/>
  <c r="E35" i="8"/>
  <c r="D35" i="8"/>
  <c r="E34" i="8"/>
  <c r="D34" i="8"/>
  <c r="E32" i="8"/>
  <c r="D32" i="8"/>
  <c r="D31" i="8"/>
  <c r="E30" i="8"/>
  <c r="D30" i="8"/>
  <c r="E29" i="8"/>
  <c r="D29" i="8"/>
  <c r="E28" i="8"/>
  <c r="D28" i="8"/>
  <c r="E27" i="8"/>
  <c r="D27" i="8"/>
  <c r="E26" i="8"/>
  <c r="D26" i="8"/>
  <c r="E25" i="8"/>
  <c r="D25" i="8"/>
  <c r="E23" i="8"/>
  <c r="D23" i="8"/>
  <c r="E22" i="8"/>
  <c r="D22" i="8"/>
  <c r="E21" i="8"/>
  <c r="E20" i="8"/>
  <c r="D20" i="8"/>
  <c r="E19" i="8"/>
  <c r="D19" i="8"/>
  <c r="E18" i="8"/>
  <c r="D18" i="8"/>
  <c r="E17" i="8"/>
  <c r="D17" i="8"/>
  <c r="E16" i="8"/>
  <c r="D16" i="8"/>
  <c r="E14" i="8"/>
  <c r="D14" i="8"/>
  <c r="E13" i="8"/>
  <c r="D13" i="8"/>
  <c r="E12" i="8"/>
  <c r="D12" i="8"/>
  <c r="E11" i="8"/>
  <c r="D11" i="8"/>
  <c r="E10" i="8"/>
  <c r="D10" i="8"/>
  <c r="E9" i="8"/>
  <c r="D9" i="8"/>
  <c r="E8" i="8"/>
  <c r="D8" i="8"/>
  <c r="E7" i="8"/>
  <c r="D7" i="8"/>
  <c r="E39" i="7"/>
  <c r="E38" i="7"/>
  <c r="D38" i="7"/>
  <c r="E37" i="7"/>
  <c r="D37" i="7"/>
  <c r="E36" i="7"/>
  <c r="D36" i="7"/>
  <c r="E35" i="7"/>
  <c r="D35" i="7"/>
  <c r="E34" i="7"/>
  <c r="D34" i="7"/>
  <c r="E32" i="7"/>
  <c r="D32" i="7"/>
  <c r="E31" i="7"/>
  <c r="D31" i="7"/>
  <c r="E30" i="7"/>
  <c r="D30" i="7"/>
  <c r="E29" i="7"/>
  <c r="D29" i="7"/>
  <c r="E28" i="7"/>
  <c r="D28" i="7"/>
  <c r="E27" i="7"/>
  <c r="D27" i="7"/>
  <c r="E26" i="7"/>
  <c r="D26" i="7"/>
  <c r="E25" i="7"/>
  <c r="D25" i="7"/>
  <c r="E23" i="7"/>
  <c r="D23" i="7"/>
  <c r="E22" i="7"/>
  <c r="D22" i="7"/>
  <c r="E21" i="7"/>
  <c r="E20" i="7"/>
  <c r="D20" i="7"/>
  <c r="E19" i="7"/>
  <c r="D19" i="7"/>
  <c r="E18" i="7"/>
  <c r="D18" i="7"/>
  <c r="E17" i="7"/>
  <c r="D17" i="7"/>
  <c r="E16" i="7"/>
  <c r="D16" i="7"/>
  <c r="E14" i="7"/>
  <c r="D14" i="7"/>
  <c r="E13" i="7"/>
  <c r="D13" i="7"/>
  <c r="E12" i="7"/>
  <c r="D12" i="7"/>
  <c r="E11" i="7"/>
  <c r="D11" i="7"/>
  <c r="E10" i="7"/>
  <c r="D10" i="7"/>
  <c r="E9" i="7"/>
  <c r="D9" i="7"/>
  <c r="E8" i="7"/>
  <c r="D8" i="7"/>
  <c r="E7" i="7"/>
  <c r="D7" i="7"/>
  <c r="D125" i="3" l="1"/>
  <c r="D35" i="3"/>
  <c r="D6" i="3"/>
  <c r="D4" i="3"/>
  <c r="G115" i="2"/>
  <c r="F115" i="2"/>
  <c r="E115" i="2"/>
  <c r="D115" i="2"/>
  <c r="C115" i="2"/>
  <c r="G114" i="2"/>
  <c r="F114" i="2"/>
  <c r="E114" i="2"/>
  <c r="D114" i="2"/>
  <c r="G113" i="2"/>
  <c r="F113" i="2"/>
  <c r="E113" i="2"/>
  <c r="D113" i="2"/>
  <c r="C113" i="2"/>
  <c r="G112" i="2"/>
  <c r="F112" i="2"/>
  <c r="E112" i="2"/>
  <c r="D112" i="2"/>
  <c r="G111" i="2"/>
  <c r="F111" i="2"/>
  <c r="E111" i="2"/>
  <c r="D111" i="2"/>
  <c r="C111" i="2"/>
  <c r="G110" i="2"/>
  <c r="F110" i="2"/>
  <c r="E110" i="2"/>
  <c r="D110" i="2"/>
  <c r="G109" i="2"/>
  <c r="F109" i="2"/>
  <c r="E109" i="2"/>
  <c r="D109" i="2"/>
  <c r="C109" i="2"/>
  <c r="G108" i="2"/>
  <c r="F108" i="2"/>
  <c r="E108" i="2"/>
  <c r="D108" i="2"/>
  <c r="C108" i="2"/>
  <c r="G107" i="2"/>
  <c r="F107" i="2"/>
  <c r="E107" i="2"/>
  <c r="D107" i="2"/>
  <c r="G106" i="2"/>
  <c r="F106" i="2"/>
  <c r="E106" i="2"/>
  <c r="D106" i="2"/>
  <c r="C106" i="2"/>
  <c r="G105" i="2"/>
  <c r="F105" i="2"/>
  <c r="E105" i="2"/>
  <c r="D105" i="2"/>
  <c r="C105" i="2"/>
  <c r="G104" i="2"/>
  <c r="F104" i="2"/>
  <c r="E104" i="2"/>
  <c r="D104" i="2"/>
  <c r="G103" i="2"/>
  <c r="F103" i="2"/>
  <c r="E103" i="2"/>
  <c r="D103" i="2"/>
  <c r="G102" i="2"/>
  <c r="F102" i="2"/>
  <c r="E102" i="2"/>
  <c r="D102" i="2"/>
  <c r="C102" i="2"/>
  <c r="G101" i="2"/>
  <c r="F101" i="2"/>
  <c r="E101" i="2"/>
  <c r="D101" i="2"/>
  <c r="G100" i="2"/>
  <c r="F100" i="2"/>
  <c r="E100" i="2"/>
  <c r="D100" i="2"/>
  <c r="G99" i="2"/>
  <c r="F99" i="2"/>
  <c r="E99" i="2"/>
  <c r="D99" i="2"/>
  <c r="C99" i="2"/>
  <c r="G98" i="2"/>
  <c r="F98" i="2"/>
  <c r="E98" i="2"/>
  <c r="D98" i="2"/>
  <c r="G97" i="2"/>
  <c r="F97" i="2"/>
  <c r="E97" i="2"/>
  <c r="D97" i="2"/>
  <c r="C97" i="2"/>
  <c r="G96" i="2"/>
  <c r="F96" i="2"/>
  <c r="E96" i="2"/>
  <c r="D96" i="2"/>
  <c r="G95" i="2"/>
  <c r="F95" i="2"/>
  <c r="E95" i="2"/>
  <c r="D95" i="2"/>
  <c r="G94" i="2"/>
  <c r="F94" i="2"/>
  <c r="E94" i="2"/>
  <c r="D94" i="2"/>
  <c r="G93" i="2"/>
  <c r="F93" i="2"/>
  <c r="E93" i="2"/>
  <c r="D93" i="2"/>
  <c r="C93" i="2"/>
  <c r="G92" i="2"/>
  <c r="F92" i="2"/>
  <c r="E92" i="2"/>
  <c r="D92" i="2"/>
  <c r="C92" i="2"/>
  <c r="G91" i="2"/>
  <c r="F91" i="2"/>
  <c r="E91" i="2"/>
  <c r="D91" i="2"/>
  <c r="G90" i="2"/>
  <c r="F90" i="2"/>
  <c r="E90" i="2"/>
  <c r="D90" i="2"/>
  <c r="G89" i="2"/>
  <c r="F89" i="2"/>
  <c r="E89" i="2"/>
  <c r="D89" i="2"/>
  <c r="C89" i="2"/>
  <c r="G88" i="2"/>
  <c r="F88" i="2"/>
  <c r="E88" i="2"/>
  <c r="D88" i="2"/>
  <c r="C88" i="2"/>
  <c r="G87" i="2"/>
  <c r="F87" i="2"/>
  <c r="E87" i="2"/>
  <c r="D87" i="2"/>
  <c r="C87" i="2"/>
  <c r="G86" i="2"/>
  <c r="F86" i="2"/>
  <c r="E86" i="2"/>
  <c r="D86" i="2"/>
  <c r="C86" i="2"/>
  <c r="G85" i="2"/>
  <c r="F85" i="2"/>
  <c r="E85" i="2"/>
  <c r="D85" i="2"/>
  <c r="G84" i="2"/>
  <c r="F84" i="2"/>
  <c r="E84" i="2"/>
  <c r="D84" i="2"/>
  <c r="C84" i="2"/>
  <c r="G83" i="2"/>
  <c r="F83" i="2"/>
  <c r="E83" i="2"/>
  <c r="D83" i="2"/>
  <c r="G82" i="2"/>
  <c r="F82" i="2"/>
  <c r="E82" i="2"/>
  <c r="D82" i="2"/>
  <c r="C82" i="2"/>
  <c r="G81" i="2"/>
  <c r="F81" i="2"/>
  <c r="E81" i="2"/>
  <c r="D81" i="2"/>
  <c r="C81" i="2"/>
  <c r="G80" i="2"/>
  <c r="F80" i="2"/>
  <c r="E80" i="2"/>
  <c r="D80" i="2"/>
  <c r="C80" i="2"/>
  <c r="G79" i="2"/>
  <c r="F79" i="2"/>
  <c r="E79" i="2"/>
  <c r="D79" i="2"/>
  <c r="C79" i="2"/>
  <c r="G78" i="2"/>
  <c r="F78" i="2"/>
  <c r="E78" i="2"/>
  <c r="D78" i="2"/>
  <c r="C78" i="2"/>
  <c r="G77" i="2"/>
  <c r="F77" i="2"/>
  <c r="E77" i="2"/>
  <c r="D77" i="2"/>
  <c r="G76" i="2"/>
  <c r="F76" i="2"/>
  <c r="E76" i="2"/>
  <c r="D76" i="2"/>
  <c r="G75" i="2"/>
  <c r="F75" i="2"/>
  <c r="E75" i="2"/>
  <c r="D75" i="2"/>
  <c r="C75" i="2"/>
  <c r="G74" i="2"/>
  <c r="F74" i="2"/>
  <c r="E74" i="2"/>
  <c r="D74" i="2"/>
  <c r="C74" i="2"/>
  <c r="G73" i="2"/>
  <c r="F73" i="2"/>
  <c r="E73" i="2"/>
  <c r="D73" i="2"/>
  <c r="G72" i="2"/>
  <c r="F72" i="2"/>
  <c r="E72" i="2"/>
  <c r="D72" i="2"/>
  <c r="G71" i="2"/>
  <c r="F71" i="2"/>
  <c r="E71" i="2"/>
  <c r="D71" i="2"/>
  <c r="G70" i="2"/>
  <c r="F70" i="2"/>
  <c r="E70" i="2"/>
  <c r="D70" i="2"/>
  <c r="C70" i="2"/>
  <c r="G69" i="2"/>
  <c r="F69" i="2"/>
  <c r="E69" i="2"/>
  <c r="D69" i="2"/>
  <c r="C69" i="2"/>
  <c r="G68" i="2"/>
  <c r="F68" i="2"/>
  <c r="E68" i="2"/>
  <c r="D68" i="2"/>
  <c r="C68" i="2"/>
  <c r="G67" i="2"/>
  <c r="F67" i="2"/>
  <c r="E67" i="2"/>
  <c r="D67" i="2"/>
  <c r="C67" i="2"/>
  <c r="G66" i="2"/>
  <c r="F66" i="2"/>
  <c r="E66" i="2"/>
  <c r="D66" i="2"/>
  <c r="C66" i="2"/>
  <c r="G65" i="2"/>
  <c r="F65" i="2"/>
  <c r="E65" i="2"/>
  <c r="D65" i="2"/>
  <c r="C65" i="2"/>
  <c r="G64" i="2"/>
  <c r="F64" i="2"/>
  <c r="E64" i="2"/>
  <c r="D64" i="2"/>
  <c r="C64" i="2"/>
  <c r="G63" i="2"/>
  <c r="F63" i="2"/>
  <c r="E63" i="2"/>
  <c r="D63" i="2"/>
  <c r="C63" i="2"/>
  <c r="G62" i="2"/>
  <c r="F62" i="2"/>
  <c r="E62" i="2"/>
  <c r="D62" i="2"/>
  <c r="C62" i="2"/>
  <c r="G61" i="2"/>
  <c r="F61" i="2"/>
  <c r="E61" i="2"/>
  <c r="D61" i="2"/>
  <c r="G60" i="2"/>
  <c r="F60" i="2"/>
  <c r="E60" i="2"/>
  <c r="D60" i="2"/>
  <c r="G59" i="2"/>
  <c r="F59" i="2"/>
  <c r="E59" i="2"/>
  <c r="D59" i="2"/>
  <c r="G58" i="2"/>
  <c r="F58" i="2"/>
  <c r="E58" i="2"/>
  <c r="D58" i="2"/>
  <c r="C58" i="2"/>
  <c r="G57" i="2"/>
  <c r="F57" i="2"/>
  <c r="E57" i="2"/>
  <c r="D57" i="2"/>
  <c r="C57" i="2"/>
  <c r="G56" i="2"/>
  <c r="F56" i="2"/>
  <c r="E56" i="2"/>
  <c r="D56" i="2"/>
  <c r="C56" i="2"/>
  <c r="G55" i="2"/>
  <c r="F55" i="2"/>
  <c r="E55" i="2"/>
  <c r="D55" i="2"/>
  <c r="C55" i="2"/>
  <c r="G54" i="2"/>
  <c r="F54" i="2"/>
  <c r="E54" i="2"/>
  <c r="D54" i="2"/>
  <c r="C54" i="2"/>
  <c r="G53" i="2"/>
  <c r="F53" i="2"/>
  <c r="E53" i="2"/>
  <c r="D53" i="2"/>
  <c r="C53" i="2"/>
  <c r="G52" i="2"/>
  <c r="F52" i="2"/>
  <c r="E52" i="2"/>
  <c r="D52" i="2"/>
  <c r="G51" i="2"/>
  <c r="F51" i="2"/>
  <c r="E51" i="2"/>
  <c r="D51" i="2"/>
  <c r="C51" i="2"/>
  <c r="G50" i="2"/>
  <c r="F50" i="2"/>
  <c r="E50" i="2"/>
  <c r="D50" i="2"/>
  <c r="G49" i="2"/>
  <c r="F49" i="2"/>
  <c r="E49" i="2"/>
  <c r="D49" i="2"/>
  <c r="C49" i="2"/>
  <c r="G48" i="2"/>
  <c r="F48" i="2"/>
  <c r="E48" i="2"/>
  <c r="D48" i="2"/>
  <c r="C48" i="2"/>
  <c r="G47" i="2"/>
  <c r="F47" i="2"/>
  <c r="E47" i="2"/>
  <c r="D47" i="2"/>
  <c r="C47" i="2"/>
  <c r="G46" i="2"/>
  <c r="F46" i="2"/>
  <c r="E46" i="2"/>
  <c r="D46" i="2"/>
  <c r="C46" i="2"/>
  <c r="G45" i="2"/>
  <c r="F45" i="2"/>
  <c r="E45" i="2"/>
  <c r="D45" i="2"/>
  <c r="C45" i="2"/>
  <c r="G44" i="2"/>
  <c r="F44" i="2"/>
  <c r="E44" i="2"/>
  <c r="D44" i="2"/>
  <c r="C44" i="2"/>
  <c r="G43" i="2"/>
  <c r="F43" i="2"/>
  <c r="E43" i="2"/>
  <c r="D43" i="2"/>
  <c r="G42" i="2"/>
  <c r="F42" i="2"/>
  <c r="E42" i="2"/>
  <c r="D42" i="2"/>
  <c r="C42" i="2"/>
  <c r="G41" i="2"/>
  <c r="F41" i="2"/>
  <c r="E41" i="2"/>
  <c r="D41" i="2"/>
  <c r="G40" i="2"/>
  <c r="F40" i="2"/>
  <c r="E40" i="2"/>
  <c r="D40" i="2"/>
  <c r="G39" i="2"/>
  <c r="F39" i="2"/>
  <c r="E39" i="2"/>
  <c r="D39" i="2"/>
  <c r="C39" i="2"/>
  <c r="G38" i="2"/>
  <c r="F38" i="2"/>
  <c r="E38" i="2"/>
  <c r="D38" i="2"/>
  <c r="G37" i="2"/>
  <c r="F37" i="2"/>
  <c r="E37" i="2"/>
  <c r="D37" i="2"/>
  <c r="C37" i="2"/>
  <c r="G36" i="2"/>
  <c r="F36" i="2"/>
  <c r="E36" i="2"/>
  <c r="D36" i="2"/>
  <c r="G35" i="2"/>
  <c r="F35" i="2"/>
  <c r="E35" i="2"/>
  <c r="D35" i="2"/>
  <c r="C35" i="2"/>
  <c r="G34" i="2"/>
  <c r="F34" i="2"/>
  <c r="E34" i="2"/>
  <c r="D34" i="2"/>
  <c r="C34" i="2"/>
  <c r="G33" i="2"/>
  <c r="F33" i="2"/>
  <c r="E33" i="2"/>
  <c r="D33" i="2"/>
  <c r="G32" i="2"/>
  <c r="F32" i="2"/>
  <c r="E32" i="2"/>
  <c r="D32" i="2"/>
  <c r="C32" i="2"/>
  <c r="G31" i="2"/>
  <c r="F31" i="2"/>
  <c r="E31" i="2"/>
  <c r="D31" i="2"/>
  <c r="G30" i="2"/>
  <c r="F30" i="2"/>
  <c r="E30" i="2"/>
  <c r="D30" i="2"/>
  <c r="C30" i="2"/>
  <c r="G29" i="2"/>
  <c r="F29" i="2"/>
  <c r="E29" i="2"/>
  <c r="D29" i="2"/>
  <c r="C29" i="2"/>
  <c r="G28" i="2"/>
  <c r="F28" i="2"/>
  <c r="E28" i="2"/>
  <c r="D28" i="2"/>
  <c r="C28" i="2"/>
  <c r="G27" i="2"/>
  <c r="F27" i="2"/>
  <c r="E27" i="2"/>
  <c r="D27" i="2"/>
  <c r="C27" i="2"/>
  <c r="G26" i="2"/>
  <c r="F26" i="2"/>
  <c r="E26" i="2"/>
  <c r="D26" i="2"/>
  <c r="C26" i="2"/>
  <c r="G25" i="2"/>
  <c r="F25" i="2"/>
  <c r="E25" i="2"/>
  <c r="D25" i="2"/>
  <c r="C25" i="2"/>
  <c r="G24" i="2"/>
  <c r="F24" i="2"/>
  <c r="E24" i="2"/>
  <c r="D24" i="2"/>
  <c r="C24" i="2"/>
  <c r="G23" i="2"/>
  <c r="F23" i="2"/>
  <c r="E23" i="2"/>
  <c r="D23" i="2"/>
  <c r="C23" i="2"/>
  <c r="G22" i="2"/>
  <c r="F22" i="2"/>
  <c r="E22" i="2"/>
  <c r="D22" i="2"/>
  <c r="C22" i="2"/>
  <c r="G21" i="2"/>
  <c r="F21" i="2"/>
  <c r="E21" i="2"/>
  <c r="D21" i="2"/>
  <c r="C21" i="2"/>
  <c r="G20" i="2"/>
  <c r="F20" i="2"/>
  <c r="E20" i="2"/>
  <c r="D20" i="2"/>
  <c r="G19" i="2"/>
  <c r="F19" i="2"/>
  <c r="E19" i="2"/>
  <c r="D19" i="2"/>
  <c r="C19" i="2"/>
  <c r="G18" i="2"/>
  <c r="F18" i="2"/>
  <c r="E18" i="2"/>
  <c r="D18" i="2"/>
  <c r="C18" i="2"/>
  <c r="G17" i="2"/>
  <c r="F17" i="2"/>
  <c r="E17" i="2"/>
  <c r="D17" i="2"/>
  <c r="C17" i="2"/>
  <c r="G16" i="2"/>
  <c r="F16" i="2"/>
  <c r="E16" i="2"/>
  <c r="D16" i="2"/>
  <c r="C16" i="2"/>
  <c r="G15" i="2"/>
  <c r="F15" i="2"/>
  <c r="E15" i="2"/>
  <c r="D15" i="2"/>
  <c r="C15" i="2"/>
  <c r="G14" i="2"/>
  <c r="F14" i="2"/>
  <c r="E14" i="2"/>
  <c r="D14" i="2"/>
  <c r="G13" i="2"/>
  <c r="F13" i="2"/>
  <c r="E13" i="2"/>
  <c r="D13" i="2"/>
  <c r="C13" i="2"/>
  <c r="G12" i="2"/>
  <c r="F12" i="2"/>
  <c r="E12" i="2"/>
  <c r="D12" i="2"/>
  <c r="C12" i="2"/>
  <c r="G11" i="2"/>
  <c r="F11" i="2"/>
  <c r="E11" i="2"/>
  <c r="D11" i="2"/>
  <c r="C11" i="2"/>
  <c r="G10" i="2"/>
  <c r="F10" i="2"/>
  <c r="E10" i="2"/>
  <c r="D10" i="2"/>
  <c r="C10" i="2"/>
  <c r="G9" i="2"/>
  <c r="F9" i="2"/>
  <c r="E9" i="2"/>
  <c r="D9" i="2"/>
  <c r="C9" i="2"/>
  <c r="G8" i="2"/>
  <c r="F8" i="2"/>
  <c r="E8" i="2"/>
  <c r="D8" i="2"/>
  <c r="C8" i="2"/>
  <c r="G7" i="2"/>
  <c r="F7" i="2"/>
  <c r="E7" i="2"/>
  <c r="D7" i="2"/>
  <c r="C7" i="2"/>
  <c r="G5" i="2"/>
  <c r="F5" i="2"/>
  <c r="C5" i="2"/>
  <c r="G51" i="1" l="1"/>
  <c r="F51" i="1"/>
  <c r="E51" i="1"/>
  <c r="D51" i="1"/>
  <c r="C51" i="1"/>
  <c r="G46" i="1"/>
  <c r="F46" i="1"/>
  <c r="E46" i="1"/>
  <c r="D46" i="1"/>
  <c r="C46" i="1"/>
  <c r="G8" i="1"/>
  <c r="F8" i="1"/>
  <c r="E8" i="1"/>
  <c r="D8" i="1"/>
  <c r="C8" i="1"/>
  <c r="G7" i="1"/>
  <c r="F7" i="1"/>
  <c r="E7" i="1"/>
  <c r="D7" i="1"/>
  <c r="C7" i="1"/>
  <c r="F78" i="5" l="1"/>
  <c r="F77" i="5"/>
  <c r="F76" i="5"/>
  <c r="F75" i="5"/>
  <c r="F74" i="5"/>
  <c r="F73" i="5"/>
  <c r="F72" i="5"/>
  <c r="F71" i="5"/>
  <c r="F70" i="5"/>
  <c r="F69" i="5"/>
  <c r="F68" i="5"/>
  <c r="F67" i="5"/>
  <c r="F66" i="5"/>
  <c r="F65" i="5"/>
  <c r="F64" i="5"/>
  <c r="F63" i="5"/>
  <c r="F62" i="5"/>
  <c r="F61" i="5"/>
  <c r="F60" i="5"/>
  <c r="F59" i="5"/>
  <c r="F58" i="5"/>
  <c r="F57" i="5"/>
  <c r="F56" i="5"/>
  <c r="F55" i="5"/>
  <c r="F54" i="5"/>
  <c r="F53" i="5"/>
  <c r="F52" i="5"/>
  <c r="F51" i="5"/>
  <c r="F50" i="5"/>
  <c r="F49" i="5"/>
  <c r="F48" i="5"/>
  <c r="F47" i="5"/>
  <c r="F46" i="5"/>
  <c r="F45" i="5"/>
  <c r="F44" i="5"/>
  <c r="F43" i="5"/>
  <c r="F42" i="5"/>
  <c r="F41" i="5"/>
  <c r="F40" i="5"/>
  <c r="F39" i="5"/>
  <c r="F38" i="5"/>
  <c r="F37" i="5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F7" i="5"/>
  <c r="H69" i="5"/>
  <c r="G69" i="5"/>
  <c r="E69" i="5"/>
  <c r="D69" i="5"/>
  <c r="C69" i="5"/>
  <c r="H77" i="5"/>
  <c r="G77" i="5"/>
  <c r="E77" i="5"/>
  <c r="D77" i="5"/>
  <c r="C77" i="5"/>
  <c r="H6" i="5"/>
  <c r="G6" i="5"/>
  <c r="D6" i="5"/>
  <c r="D30" i="3"/>
  <c r="D29" i="3"/>
  <c r="D27" i="3"/>
  <c r="D26" i="3"/>
  <c r="D25" i="3"/>
  <c r="D24" i="3"/>
  <c r="D23" i="3"/>
  <c r="D22" i="3"/>
  <c r="D21" i="3"/>
  <c r="D19" i="3"/>
  <c r="D14" i="3"/>
  <c r="D12" i="3"/>
  <c r="D10" i="3"/>
  <c r="D8" i="3"/>
  <c r="D7" i="3"/>
  <c r="G105" i="1"/>
  <c r="F105" i="1"/>
  <c r="E105" i="1"/>
  <c r="D105" i="1"/>
  <c r="C105" i="1"/>
  <c r="G104" i="1"/>
  <c r="F104" i="1"/>
  <c r="E104" i="1"/>
  <c r="D104" i="1"/>
  <c r="C104" i="1"/>
  <c r="G103" i="1"/>
  <c r="F103" i="1"/>
  <c r="E103" i="1"/>
  <c r="D103" i="1"/>
  <c r="C103" i="1"/>
  <c r="G102" i="1"/>
  <c r="F102" i="1"/>
  <c r="E102" i="1"/>
  <c r="D102" i="1"/>
  <c r="C102" i="1"/>
  <c r="G101" i="1"/>
  <c r="F101" i="1"/>
  <c r="E101" i="1"/>
  <c r="D101" i="1"/>
  <c r="C101" i="1"/>
  <c r="G100" i="1"/>
  <c r="F100" i="1"/>
  <c r="E100" i="1"/>
  <c r="D100" i="1"/>
  <c r="C100" i="1"/>
  <c r="G99" i="1"/>
  <c r="F99" i="1"/>
  <c r="E99" i="1"/>
  <c r="D99" i="1"/>
  <c r="C99" i="1"/>
  <c r="G98" i="1"/>
  <c r="F98" i="1"/>
  <c r="E98" i="1"/>
  <c r="D98" i="1"/>
  <c r="G97" i="1"/>
  <c r="F97" i="1"/>
  <c r="E97" i="1"/>
  <c r="D97" i="1"/>
  <c r="C97" i="1"/>
  <c r="G96" i="1"/>
  <c r="F96" i="1"/>
  <c r="E96" i="1"/>
  <c r="D96" i="1"/>
  <c r="C96" i="1"/>
  <c r="G95" i="1"/>
  <c r="F95" i="1"/>
  <c r="E95" i="1"/>
  <c r="D95" i="1"/>
  <c r="C95" i="1"/>
  <c r="G94" i="1"/>
  <c r="F94" i="1"/>
  <c r="E94" i="1"/>
  <c r="D94" i="1"/>
  <c r="C94" i="1"/>
  <c r="G93" i="1"/>
  <c r="F93" i="1"/>
  <c r="E93" i="1"/>
  <c r="D93" i="1"/>
  <c r="C93" i="1"/>
  <c r="G92" i="1"/>
  <c r="F92" i="1"/>
  <c r="E92" i="1"/>
  <c r="D92" i="1"/>
  <c r="C92" i="1"/>
  <c r="G91" i="1"/>
  <c r="F91" i="1"/>
  <c r="E91" i="1"/>
  <c r="D91" i="1"/>
  <c r="C91" i="1"/>
  <c r="G90" i="1"/>
  <c r="F90" i="1"/>
  <c r="E90" i="1"/>
  <c r="D90" i="1"/>
  <c r="G89" i="1"/>
  <c r="F89" i="1"/>
  <c r="E89" i="1"/>
  <c r="D89" i="1"/>
  <c r="C89" i="1"/>
  <c r="G88" i="1"/>
  <c r="F88" i="1"/>
  <c r="E88" i="1"/>
  <c r="D88" i="1"/>
  <c r="C88" i="1"/>
  <c r="G87" i="1"/>
  <c r="F87" i="1"/>
  <c r="E87" i="1"/>
  <c r="D87" i="1"/>
  <c r="C87" i="1"/>
  <c r="G86" i="1"/>
  <c r="F86" i="1"/>
  <c r="E86" i="1"/>
  <c r="D86" i="1"/>
  <c r="G85" i="1"/>
  <c r="F85" i="1"/>
  <c r="E85" i="1"/>
  <c r="D85" i="1"/>
  <c r="G84" i="1"/>
  <c r="F84" i="1"/>
  <c r="E84" i="1"/>
  <c r="D84" i="1"/>
  <c r="C84" i="1"/>
  <c r="G83" i="1"/>
  <c r="F83" i="1"/>
  <c r="E83" i="1"/>
  <c r="D83" i="1"/>
  <c r="C83" i="1"/>
  <c r="G82" i="1"/>
  <c r="F82" i="1"/>
  <c r="E82" i="1"/>
  <c r="D82" i="1"/>
  <c r="C82" i="1"/>
  <c r="G81" i="1"/>
  <c r="F81" i="1"/>
  <c r="E81" i="1"/>
  <c r="D81" i="1"/>
  <c r="G80" i="1"/>
  <c r="F80" i="1"/>
  <c r="E80" i="1"/>
  <c r="D80" i="1"/>
  <c r="C80" i="1"/>
  <c r="G79" i="1"/>
  <c r="F79" i="1"/>
  <c r="E79" i="1"/>
  <c r="D79" i="1"/>
  <c r="C79" i="1"/>
  <c r="G78" i="1"/>
  <c r="F78" i="1"/>
  <c r="E78" i="1"/>
  <c r="D78" i="1"/>
  <c r="C78" i="1"/>
  <c r="G77" i="1"/>
  <c r="F77" i="1"/>
  <c r="E77" i="1"/>
  <c r="D77" i="1"/>
  <c r="C77" i="1"/>
  <c r="G76" i="1"/>
  <c r="F76" i="1"/>
  <c r="E76" i="1"/>
  <c r="D76" i="1"/>
  <c r="G75" i="1"/>
  <c r="F75" i="1"/>
  <c r="E75" i="1"/>
  <c r="D75" i="1"/>
  <c r="G74" i="1"/>
  <c r="F74" i="1"/>
  <c r="E74" i="1"/>
  <c r="D74" i="1"/>
  <c r="G73" i="1"/>
  <c r="F73" i="1"/>
  <c r="E73" i="1"/>
  <c r="D73" i="1"/>
  <c r="C73" i="1"/>
  <c r="G72" i="1"/>
  <c r="F72" i="1"/>
  <c r="E72" i="1"/>
  <c r="D72" i="1"/>
  <c r="G71" i="1"/>
  <c r="F71" i="1"/>
  <c r="E71" i="1"/>
  <c r="D71" i="1"/>
  <c r="C71" i="1"/>
  <c r="G70" i="1"/>
  <c r="F70" i="1"/>
  <c r="E70" i="1"/>
  <c r="D70" i="1"/>
  <c r="G69" i="1"/>
  <c r="F69" i="1"/>
  <c r="E69" i="1"/>
  <c r="D69" i="1"/>
  <c r="G68" i="1"/>
  <c r="F68" i="1"/>
  <c r="E68" i="1"/>
  <c r="D68" i="1"/>
  <c r="C68" i="1"/>
  <c r="G67" i="1"/>
  <c r="F67" i="1"/>
  <c r="E67" i="1"/>
  <c r="D67" i="1"/>
  <c r="C67" i="1"/>
  <c r="G66" i="1"/>
  <c r="F66" i="1"/>
  <c r="E66" i="1"/>
  <c r="D66" i="1"/>
  <c r="C66" i="1"/>
  <c r="G65" i="1"/>
  <c r="F65" i="1"/>
  <c r="E65" i="1"/>
  <c r="D65" i="1"/>
  <c r="G64" i="1"/>
  <c r="F64" i="1"/>
  <c r="E64" i="1"/>
  <c r="D64" i="1"/>
  <c r="C64" i="1"/>
  <c r="G63" i="1"/>
  <c r="F63" i="1"/>
  <c r="E63" i="1"/>
  <c r="D63" i="1"/>
  <c r="C63" i="1"/>
  <c r="G62" i="1"/>
  <c r="F62" i="1"/>
  <c r="E62" i="1"/>
  <c r="D62" i="1"/>
  <c r="C62" i="1"/>
  <c r="G61" i="1"/>
  <c r="F61" i="1"/>
  <c r="E61" i="1"/>
  <c r="D61" i="1"/>
  <c r="G60" i="1"/>
  <c r="F60" i="1"/>
  <c r="E60" i="1"/>
  <c r="D60" i="1"/>
  <c r="C60" i="1"/>
  <c r="G59" i="1"/>
  <c r="F59" i="1"/>
  <c r="E59" i="1"/>
  <c r="D59" i="1"/>
  <c r="C59" i="1"/>
  <c r="G58" i="1"/>
  <c r="F58" i="1"/>
  <c r="E58" i="1"/>
  <c r="D58" i="1"/>
  <c r="C58" i="1"/>
  <c r="G57" i="1"/>
  <c r="F57" i="1"/>
  <c r="E57" i="1"/>
  <c r="D57" i="1"/>
  <c r="C57" i="1"/>
  <c r="G56" i="1"/>
  <c r="F56" i="1"/>
  <c r="E56" i="1"/>
  <c r="D56" i="1"/>
  <c r="C56" i="1"/>
  <c r="G55" i="1"/>
  <c r="F55" i="1"/>
  <c r="E55" i="1"/>
  <c r="D55" i="1"/>
  <c r="C55" i="1"/>
  <c r="G54" i="1"/>
  <c r="F54" i="1"/>
  <c r="E54" i="1"/>
  <c r="D54" i="1"/>
  <c r="C54" i="1"/>
  <c r="G53" i="1"/>
  <c r="F53" i="1"/>
  <c r="E53" i="1"/>
  <c r="D53" i="1"/>
  <c r="C53" i="1"/>
  <c r="G52" i="1"/>
  <c r="F52" i="1"/>
  <c r="E52" i="1"/>
  <c r="D52" i="1"/>
  <c r="G50" i="1"/>
  <c r="F50" i="1"/>
  <c r="E50" i="1"/>
  <c r="D50" i="1"/>
  <c r="C50" i="1"/>
  <c r="G49" i="1"/>
  <c r="F49" i="1"/>
  <c r="E49" i="1"/>
  <c r="D49" i="1"/>
  <c r="C49" i="1"/>
  <c r="G48" i="1"/>
  <c r="F48" i="1"/>
  <c r="E48" i="1"/>
  <c r="D48" i="1"/>
  <c r="C48" i="1"/>
  <c r="G47" i="1"/>
  <c r="F47" i="1"/>
  <c r="E47" i="1"/>
  <c r="D47" i="1"/>
  <c r="C47" i="1"/>
  <c r="G45" i="1"/>
  <c r="F45" i="1"/>
  <c r="E45" i="1"/>
  <c r="D45" i="1"/>
  <c r="G44" i="1"/>
  <c r="F44" i="1"/>
  <c r="E44" i="1"/>
  <c r="D44" i="1"/>
  <c r="C44" i="1"/>
  <c r="G43" i="1"/>
  <c r="F43" i="1"/>
  <c r="E43" i="1"/>
  <c r="D43" i="1"/>
  <c r="G42" i="1"/>
  <c r="F42" i="1"/>
  <c r="E42" i="1"/>
  <c r="D42" i="1"/>
  <c r="C42" i="1"/>
  <c r="G41" i="1"/>
  <c r="F41" i="1"/>
  <c r="E41" i="1"/>
  <c r="D41" i="1"/>
  <c r="G40" i="1"/>
  <c r="F40" i="1"/>
  <c r="E40" i="1"/>
  <c r="D40" i="1"/>
  <c r="C40" i="1"/>
  <c r="G39" i="1"/>
  <c r="F39" i="1"/>
  <c r="D39" i="1"/>
  <c r="G38" i="1"/>
  <c r="F38" i="1"/>
  <c r="E38" i="1"/>
  <c r="D38" i="1"/>
  <c r="C38" i="1"/>
  <c r="G37" i="1"/>
  <c r="F37" i="1"/>
  <c r="E37" i="1"/>
  <c r="D37" i="1"/>
  <c r="C37" i="1"/>
  <c r="G36" i="1"/>
  <c r="F36" i="1"/>
  <c r="E36" i="1"/>
  <c r="D36" i="1"/>
  <c r="G35" i="1"/>
  <c r="F35" i="1"/>
  <c r="E35" i="1"/>
  <c r="D35" i="1"/>
  <c r="G34" i="1"/>
  <c r="F34" i="1"/>
  <c r="E34" i="1"/>
  <c r="D34" i="1"/>
  <c r="C34" i="1"/>
  <c r="G33" i="1"/>
  <c r="F33" i="1"/>
  <c r="E33" i="1"/>
  <c r="D33" i="1"/>
  <c r="C33" i="1"/>
  <c r="G32" i="1"/>
  <c r="F32" i="1"/>
  <c r="E32" i="1"/>
  <c r="D32" i="1"/>
  <c r="G31" i="1"/>
  <c r="F31" i="1"/>
  <c r="E31" i="1"/>
  <c r="D31" i="1"/>
  <c r="G30" i="1"/>
  <c r="F30" i="1"/>
  <c r="E30" i="1"/>
  <c r="D30" i="1"/>
  <c r="C30" i="1"/>
  <c r="G29" i="1"/>
  <c r="F29" i="1"/>
  <c r="E29" i="1"/>
  <c r="D29" i="1"/>
  <c r="C29" i="1"/>
  <c r="G28" i="1"/>
  <c r="F28" i="1"/>
  <c r="E28" i="1"/>
  <c r="D28" i="1"/>
  <c r="C28" i="1"/>
  <c r="G27" i="1"/>
  <c r="F27" i="1"/>
  <c r="E27" i="1"/>
  <c r="D27" i="1"/>
  <c r="C27" i="1"/>
  <c r="G26" i="1"/>
  <c r="F26" i="1"/>
  <c r="E26" i="1"/>
  <c r="D26" i="1"/>
  <c r="C26" i="1"/>
  <c r="G25" i="1"/>
  <c r="F25" i="1"/>
  <c r="E25" i="1"/>
  <c r="D25" i="1"/>
  <c r="C25" i="1"/>
  <c r="G24" i="1"/>
  <c r="F24" i="1"/>
  <c r="E24" i="1"/>
  <c r="D24" i="1"/>
  <c r="C24" i="1"/>
  <c r="G23" i="1"/>
  <c r="F23" i="1"/>
  <c r="E23" i="1"/>
  <c r="D23" i="1"/>
  <c r="C23" i="1"/>
  <c r="G22" i="1"/>
  <c r="F22" i="1"/>
  <c r="E22" i="1"/>
  <c r="D22" i="1"/>
  <c r="C22" i="1"/>
  <c r="G21" i="1"/>
  <c r="F21" i="1"/>
  <c r="E21" i="1"/>
  <c r="D21" i="1"/>
  <c r="C21" i="1"/>
  <c r="G20" i="1"/>
  <c r="F20" i="1"/>
  <c r="E20" i="1"/>
  <c r="D20" i="1"/>
  <c r="G19" i="1"/>
  <c r="F19" i="1"/>
  <c r="E19" i="1"/>
  <c r="D19" i="1"/>
  <c r="C19" i="1"/>
  <c r="G18" i="1"/>
  <c r="F18" i="1"/>
  <c r="E18" i="1"/>
  <c r="D18" i="1"/>
  <c r="C18" i="1"/>
  <c r="G17" i="1"/>
  <c r="F17" i="1"/>
  <c r="E17" i="1"/>
  <c r="D17" i="1"/>
  <c r="C17" i="1"/>
  <c r="G16" i="1"/>
  <c r="F16" i="1"/>
  <c r="E16" i="1"/>
  <c r="D16" i="1"/>
  <c r="C16" i="1"/>
  <c r="G15" i="1"/>
  <c r="F15" i="1"/>
  <c r="E15" i="1"/>
  <c r="D15" i="1"/>
  <c r="C15" i="1"/>
  <c r="G14" i="1"/>
  <c r="F14" i="1"/>
  <c r="E14" i="1"/>
  <c r="D14" i="1"/>
  <c r="G13" i="1"/>
  <c r="F13" i="1"/>
  <c r="E13" i="1"/>
  <c r="D13" i="1"/>
  <c r="G12" i="1"/>
  <c r="F12" i="1"/>
  <c r="E12" i="1"/>
  <c r="D12" i="1"/>
  <c r="C12" i="1"/>
  <c r="G11" i="1"/>
  <c r="F11" i="1"/>
  <c r="E11" i="1"/>
  <c r="D11" i="1"/>
  <c r="G10" i="1"/>
  <c r="F10" i="1"/>
  <c r="E10" i="1"/>
  <c r="D10" i="1"/>
  <c r="C10" i="1"/>
  <c r="G9" i="1"/>
  <c r="F9" i="1"/>
  <c r="E9" i="1"/>
  <c r="D9" i="1"/>
  <c r="C9" i="1"/>
  <c r="G5" i="1"/>
  <c r="F5" i="1"/>
  <c r="C5" i="1"/>
  <c r="H78" i="6" l="1"/>
  <c r="G78" i="6"/>
  <c r="E78" i="6"/>
  <c r="D78" i="6"/>
  <c r="H77" i="6"/>
  <c r="G77" i="6"/>
  <c r="E77" i="6"/>
  <c r="D77" i="6"/>
  <c r="H76" i="6"/>
  <c r="G76" i="6"/>
  <c r="E76" i="6"/>
  <c r="D76" i="6"/>
  <c r="H75" i="6"/>
  <c r="G75" i="6"/>
  <c r="E75" i="6"/>
  <c r="D75" i="6"/>
  <c r="H74" i="6"/>
  <c r="G74" i="6"/>
  <c r="E74" i="6"/>
  <c r="D74" i="6"/>
  <c r="H73" i="6"/>
  <c r="G73" i="6"/>
  <c r="E73" i="6"/>
  <c r="D73" i="6"/>
  <c r="H72" i="6"/>
  <c r="G72" i="6"/>
  <c r="E72" i="6"/>
  <c r="D72" i="6"/>
  <c r="H71" i="6"/>
  <c r="G71" i="6"/>
  <c r="E71" i="6"/>
  <c r="D71" i="6"/>
  <c r="H70" i="6"/>
  <c r="G70" i="6"/>
  <c r="E70" i="6"/>
  <c r="D70" i="6"/>
  <c r="H69" i="6"/>
  <c r="G69" i="6"/>
  <c r="E69" i="6"/>
  <c r="D69" i="6"/>
  <c r="H68" i="6"/>
  <c r="G68" i="6"/>
  <c r="E68" i="6"/>
  <c r="D68" i="6"/>
  <c r="H67" i="6"/>
  <c r="G67" i="6"/>
  <c r="E67" i="6"/>
  <c r="D67" i="6"/>
  <c r="H66" i="6"/>
  <c r="G66" i="6"/>
  <c r="E66" i="6"/>
  <c r="D66" i="6"/>
  <c r="H65" i="6"/>
  <c r="G65" i="6"/>
  <c r="E65" i="6"/>
  <c r="D65" i="6"/>
  <c r="H64" i="6"/>
  <c r="G64" i="6"/>
  <c r="E64" i="6"/>
  <c r="D64" i="6"/>
  <c r="H63" i="6"/>
  <c r="G63" i="6"/>
  <c r="E63" i="6"/>
  <c r="D63" i="6"/>
  <c r="H62" i="6"/>
  <c r="G62" i="6"/>
  <c r="E62" i="6"/>
  <c r="D62" i="6"/>
  <c r="H61" i="6"/>
  <c r="G61" i="6"/>
  <c r="E61" i="6"/>
  <c r="D61" i="6"/>
  <c r="H60" i="6"/>
  <c r="G60" i="6"/>
  <c r="E60" i="6"/>
  <c r="H59" i="6"/>
  <c r="G59" i="6"/>
  <c r="E59" i="6"/>
  <c r="D59" i="6"/>
  <c r="H58" i="6"/>
  <c r="G58" i="6"/>
  <c r="E58" i="6"/>
  <c r="D58" i="6"/>
  <c r="H57" i="6"/>
  <c r="G57" i="6"/>
  <c r="E57" i="6"/>
  <c r="D57" i="6"/>
  <c r="H56" i="6"/>
  <c r="G56" i="6"/>
  <c r="E56" i="6"/>
  <c r="D56" i="6"/>
  <c r="H55" i="6"/>
  <c r="G55" i="6"/>
  <c r="E55" i="6"/>
  <c r="D55" i="6"/>
  <c r="H53" i="6"/>
  <c r="G53" i="6"/>
  <c r="E53" i="6"/>
  <c r="D53" i="6"/>
  <c r="H52" i="6"/>
  <c r="G52" i="6"/>
  <c r="E52" i="6"/>
  <c r="D52" i="6"/>
  <c r="H51" i="6"/>
  <c r="G51" i="6"/>
  <c r="E51" i="6"/>
  <c r="D51" i="6"/>
  <c r="H50" i="6"/>
  <c r="G50" i="6"/>
  <c r="E50" i="6"/>
  <c r="D50" i="6"/>
  <c r="H48" i="6"/>
  <c r="G48" i="6"/>
  <c r="E48" i="6"/>
  <c r="D48" i="6"/>
  <c r="H47" i="6"/>
  <c r="G47" i="6"/>
  <c r="E47" i="6"/>
  <c r="D47" i="6"/>
  <c r="H46" i="6"/>
  <c r="G46" i="6"/>
  <c r="E46" i="6"/>
  <c r="D46" i="6"/>
  <c r="H45" i="6"/>
  <c r="G45" i="6"/>
  <c r="E45" i="6"/>
  <c r="D45" i="6"/>
  <c r="H44" i="6"/>
  <c r="G44" i="6"/>
  <c r="E44" i="6"/>
  <c r="D44" i="6"/>
  <c r="H43" i="6"/>
  <c r="G43" i="6"/>
  <c r="E43" i="6"/>
  <c r="D43" i="6"/>
  <c r="H42" i="6"/>
  <c r="G42" i="6"/>
  <c r="E42" i="6"/>
  <c r="D42" i="6"/>
  <c r="H41" i="6"/>
  <c r="G41" i="6"/>
  <c r="E41" i="6"/>
  <c r="D41" i="6"/>
  <c r="H40" i="6"/>
  <c r="G40" i="6"/>
  <c r="E40" i="6"/>
  <c r="D40" i="6"/>
  <c r="H39" i="6"/>
  <c r="G39" i="6"/>
  <c r="E39" i="6"/>
  <c r="D39" i="6"/>
  <c r="H38" i="6"/>
  <c r="G38" i="6"/>
  <c r="E38" i="6"/>
  <c r="D38" i="6"/>
  <c r="H37" i="6"/>
  <c r="G37" i="6"/>
  <c r="E37" i="6"/>
  <c r="D37" i="6"/>
  <c r="H36" i="6"/>
  <c r="G36" i="6"/>
  <c r="E36" i="6"/>
  <c r="D36" i="6"/>
  <c r="H35" i="6"/>
  <c r="G35" i="6"/>
  <c r="E35" i="6"/>
  <c r="D35" i="6"/>
  <c r="H33" i="6"/>
  <c r="G33" i="6"/>
  <c r="E33" i="6"/>
  <c r="D33" i="6"/>
  <c r="H32" i="6"/>
  <c r="G32" i="6"/>
  <c r="E32" i="6"/>
  <c r="D32" i="6"/>
  <c r="H31" i="6"/>
  <c r="G31" i="6"/>
  <c r="E31" i="6"/>
  <c r="D31" i="6"/>
  <c r="H29" i="6"/>
  <c r="G29" i="6"/>
  <c r="E29" i="6"/>
  <c r="D29" i="6"/>
  <c r="H28" i="6"/>
  <c r="G28" i="6"/>
  <c r="E28" i="6"/>
  <c r="H27" i="6"/>
  <c r="G27" i="6"/>
  <c r="E27" i="6"/>
  <c r="D27" i="6"/>
  <c r="H26" i="6"/>
  <c r="G26" i="6"/>
  <c r="E26" i="6"/>
  <c r="D26" i="6"/>
  <c r="H25" i="6"/>
  <c r="G25" i="6"/>
  <c r="E25" i="6"/>
  <c r="D25" i="6"/>
  <c r="H24" i="6"/>
  <c r="G24" i="6"/>
  <c r="E24" i="6"/>
  <c r="D24" i="6"/>
  <c r="H23" i="6"/>
  <c r="G23" i="6"/>
  <c r="E23" i="6"/>
  <c r="D23" i="6"/>
  <c r="H22" i="6"/>
  <c r="G22" i="6"/>
  <c r="E22" i="6"/>
  <c r="D22" i="6"/>
  <c r="H21" i="6"/>
  <c r="G21" i="6"/>
  <c r="E21" i="6"/>
  <c r="D21" i="6"/>
  <c r="H20" i="6"/>
  <c r="G20" i="6"/>
  <c r="E20" i="6"/>
  <c r="D20" i="6"/>
  <c r="H19" i="6"/>
  <c r="G19" i="6"/>
  <c r="E19" i="6"/>
  <c r="D19" i="6"/>
  <c r="H18" i="6"/>
  <c r="G18" i="6"/>
  <c r="E18" i="6"/>
  <c r="D18" i="6"/>
  <c r="H17" i="6"/>
  <c r="G17" i="6"/>
  <c r="E17" i="6"/>
  <c r="D17" i="6"/>
  <c r="H16" i="6"/>
  <c r="G16" i="6"/>
  <c r="E16" i="6"/>
  <c r="D16" i="6"/>
  <c r="H15" i="6"/>
  <c r="G15" i="6"/>
  <c r="E15" i="6"/>
  <c r="D15" i="6"/>
  <c r="H14" i="6"/>
  <c r="G14" i="6"/>
  <c r="E14" i="6"/>
  <c r="D14" i="6"/>
  <c r="H13" i="6"/>
  <c r="G13" i="6"/>
  <c r="E13" i="6"/>
  <c r="D13" i="6"/>
  <c r="H12" i="6"/>
  <c r="G12" i="6"/>
  <c r="E12" i="6"/>
  <c r="D12" i="6"/>
  <c r="H11" i="6"/>
  <c r="G11" i="6"/>
  <c r="E11" i="6"/>
  <c r="D11" i="6"/>
  <c r="H10" i="6"/>
  <c r="G10" i="6"/>
  <c r="E10" i="6"/>
  <c r="D10" i="6"/>
  <c r="H9" i="6"/>
  <c r="G9" i="6"/>
  <c r="E9" i="6"/>
  <c r="D9" i="6"/>
  <c r="H8" i="6"/>
  <c r="G8" i="6"/>
  <c r="E8" i="6"/>
  <c r="D8" i="6"/>
  <c r="H7" i="6"/>
  <c r="G7" i="6"/>
  <c r="E7" i="6"/>
  <c r="D7" i="6"/>
  <c r="H78" i="5"/>
  <c r="E78" i="5"/>
  <c r="H76" i="5"/>
  <c r="G76" i="5"/>
  <c r="E76" i="5"/>
  <c r="D76" i="5"/>
  <c r="H75" i="5"/>
  <c r="G75" i="5"/>
  <c r="E75" i="5"/>
  <c r="H74" i="5"/>
  <c r="G74" i="5"/>
  <c r="E74" i="5"/>
  <c r="D74" i="5"/>
  <c r="H73" i="5"/>
  <c r="G73" i="5"/>
  <c r="E73" i="5"/>
  <c r="D73" i="5"/>
  <c r="H72" i="5"/>
  <c r="G72" i="5"/>
  <c r="E72" i="5"/>
  <c r="D72" i="5"/>
  <c r="H71" i="5"/>
  <c r="G71" i="5"/>
  <c r="E71" i="5"/>
  <c r="D71" i="5"/>
  <c r="H70" i="5"/>
  <c r="G70" i="5"/>
  <c r="E70" i="5"/>
  <c r="D70" i="5"/>
  <c r="H68" i="5"/>
  <c r="G68" i="5"/>
  <c r="E68" i="5"/>
  <c r="H67" i="5"/>
  <c r="G67" i="5"/>
  <c r="E67" i="5"/>
  <c r="D67" i="5"/>
  <c r="H66" i="5"/>
  <c r="G66" i="5"/>
  <c r="E66" i="5"/>
  <c r="H65" i="5"/>
  <c r="G65" i="5"/>
  <c r="E65" i="5"/>
  <c r="H64" i="5"/>
  <c r="G64" i="5"/>
  <c r="E64" i="5"/>
  <c r="H63" i="5"/>
  <c r="G63" i="5"/>
  <c r="E63" i="5"/>
  <c r="D63" i="5"/>
  <c r="H62" i="5"/>
  <c r="G62" i="5"/>
  <c r="E62" i="5"/>
  <c r="D62" i="5"/>
  <c r="H61" i="5"/>
  <c r="G61" i="5"/>
  <c r="E61" i="5"/>
  <c r="H60" i="5"/>
  <c r="G60" i="5"/>
  <c r="E60" i="5"/>
  <c r="H59" i="5"/>
  <c r="G59" i="5"/>
  <c r="E59" i="5"/>
  <c r="D59" i="5"/>
  <c r="H58" i="5"/>
  <c r="G58" i="5"/>
  <c r="E58" i="5"/>
  <c r="D58" i="5"/>
  <c r="H57" i="5"/>
  <c r="G57" i="5"/>
  <c r="E57" i="5"/>
  <c r="D57" i="5"/>
  <c r="H56" i="5"/>
  <c r="G56" i="5"/>
  <c r="E56" i="5"/>
  <c r="D56" i="5"/>
  <c r="H55" i="5"/>
  <c r="G55" i="5"/>
  <c r="E55" i="5"/>
  <c r="D55" i="5"/>
  <c r="H54" i="5"/>
  <c r="G54" i="5"/>
  <c r="E54" i="5"/>
  <c r="D54" i="5"/>
  <c r="H53" i="5"/>
  <c r="G53" i="5"/>
  <c r="E53" i="5"/>
  <c r="D53" i="5"/>
  <c r="H52" i="5"/>
  <c r="G52" i="5"/>
  <c r="E52" i="5"/>
  <c r="D52" i="5"/>
  <c r="H51" i="5"/>
  <c r="G51" i="5"/>
  <c r="E51" i="5"/>
  <c r="H50" i="5"/>
  <c r="G50" i="5"/>
  <c r="E50" i="5"/>
  <c r="D50" i="5"/>
  <c r="H49" i="5"/>
  <c r="G49" i="5"/>
  <c r="E49" i="5"/>
  <c r="D49" i="5"/>
  <c r="H48" i="5"/>
  <c r="G48" i="5"/>
  <c r="E48" i="5"/>
  <c r="D48" i="5"/>
  <c r="H47" i="5"/>
  <c r="G47" i="5"/>
  <c r="E47" i="5"/>
  <c r="D47" i="5"/>
  <c r="H46" i="5"/>
  <c r="G46" i="5"/>
  <c r="E46" i="5"/>
  <c r="H45" i="5"/>
  <c r="G45" i="5"/>
  <c r="E45" i="5"/>
  <c r="H44" i="5"/>
  <c r="G44" i="5"/>
  <c r="E44" i="5"/>
  <c r="D44" i="5"/>
  <c r="H43" i="5"/>
  <c r="G43" i="5"/>
  <c r="E43" i="5"/>
  <c r="D43" i="5"/>
  <c r="H42" i="5"/>
  <c r="G42" i="5"/>
  <c r="E42" i="5"/>
  <c r="D42" i="5"/>
  <c r="H41" i="5"/>
  <c r="G41" i="5"/>
  <c r="E41" i="5"/>
  <c r="H40" i="5"/>
  <c r="G40" i="5"/>
  <c r="E40" i="5"/>
  <c r="D40" i="5"/>
  <c r="H39" i="5"/>
  <c r="G39" i="5"/>
  <c r="E39" i="5"/>
  <c r="D39" i="5"/>
  <c r="H38" i="5"/>
  <c r="G38" i="5"/>
  <c r="E38" i="5"/>
  <c r="D38" i="5"/>
  <c r="H37" i="5"/>
  <c r="G37" i="5"/>
  <c r="E37" i="5"/>
  <c r="D37" i="5"/>
  <c r="H36" i="5"/>
  <c r="G36" i="5"/>
  <c r="E36" i="5"/>
  <c r="D36" i="5"/>
  <c r="H35" i="5"/>
  <c r="G35" i="5"/>
  <c r="E35" i="5"/>
  <c r="H34" i="5"/>
  <c r="G34" i="5"/>
  <c r="E34" i="5"/>
  <c r="D34" i="5"/>
  <c r="H33" i="5"/>
  <c r="G33" i="5"/>
  <c r="E33" i="5"/>
  <c r="H32" i="5"/>
  <c r="G32" i="5"/>
  <c r="E32" i="5"/>
  <c r="D32" i="5"/>
  <c r="H31" i="5"/>
  <c r="G31" i="5"/>
  <c r="E31" i="5"/>
  <c r="H30" i="5"/>
  <c r="G30" i="5"/>
  <c r="E30" i="5"/>
  <c r="D30" i="5"/>
  <c r="H29" i="5"/>
  <c r="G29" i="5"/>
  <c r="E29" i="5"/>
  <c r="D29" i="5"/>
  <c r="H28" i="5"/>
  <c r="G28" i="5"/>
  <c r="E28" i="5"/>
  <c r="H27" i="5"/>
  <c r="G27" i="5"/>
  <c r="E27" i="5"/>
  <c r="D27" i="5"/>
  <c r="H26" i="5"/>
  <c r="G26" i="5"/>
  <c r="E26" i="5"/>
  <c r="D26" i="5"/>
  <c r="H25" i="5"/>
  <c r="G25" i="5"/>
  <c r="E25" i="5"/>
  <c r="D25" i="5"/>
  <c r="H24" i="5"/>
  <c r="G24" i="5"/>
  <c r="E24" i="5"/>
  <c r="H23" i="5"/>
  <c r="G23" i="5"/>
  <c r="E23" i="5"/>
  <c r="D23" i="5"/>
  <c r="H22" i="5"/>
  <c r="G22" i="5"/>
  <c r="E22" i="5"/>
  <c r="D22" i="5"/>
  <c r="H21" i="5"/>
  <c r="G21" i="5"/>
  <c r="E21" i="5"/>
  <c r="D21" i="5"/>
  <c r="H20" i="5"/>
  <c r="G20" i="5"/>
  <c r="E20" i="5"/>
  <c r="D20" i="5"/>
  <c r="H19" i="5"/>
  <c r="G19" i="5"/>
  <c r="E19" i="5"/>
  <c r="D19" i="5"/>
  <c r="H18" i="5"/>
  <c r="G18" i="5"/>
  <c r="E18" i="5"/>
  <c r="D18" i="5"/>
  <c r="H17" i="5"/>
  <c r="G17" i="5"/>
  <c r="E17" i="5"/>
  <c r="H16" i="5"/>
  <c r="G16" i="5"/>
  <c r="E16" i="5"/>
  <c r="D16" i="5"/>
  <c r="H15" i="5"/>
  <c r="G15" i="5"/>
  <c r="E15" i="5"/>
  <c r="D15" i="5"/>
  <c r="H14" i="5"/>
  <c r="G14" i="5"/>
  <c r="E14" i="5"/>
  <c r="D14" i="5"/>
  <c r="H13" i="5"/>
  <c r="G13" i="5"/>
  <c r="E13" i="5"/>
  <c r="D13" i="5"/>
  <c r="H12" i="5"/>
  <c r="G12" i="5"/>
  <c r="E12" i="5"/>
  <c r="D12" i="5"/>
  <c r="H11" i="5"/>
  <c r="G11" i="5"/>
  <c r="E11" i="5"/>
  <c r="H10" i="5"/>
  <c r="G10" i="5"/>
  <c r="E10" i="5"/>
  <c r="D10" i="5"/>
  <c r="H9" i="5"/>
  <c r="G9" i="5"/>
  <c r="E9" i="5"/>
  <c r="H8" i="5"/>
  <c r="G8" i="5"/>
  <c r="E8" i="5"/>
  <c r="D8" i="5"/>
  <c r="H7" i="5"/>
  <c r="G7" i="5"/>
  <c r="E7" i="5"/>
  <c r="D7" i="5"/>
  <c r="D71" i="3" l="1"/>
  <c r="D130" i="3"/>
  <c r="D128" i="3"/>
  <c r="D126" i="3"/>
  <c r="D124" i="3"/>
  <c r="D122" i="3"/>
  <c r="D119" i="3"/>
  <c r="D118" i="3"/>
  <c r="D117" i="3"/>
  <c r="D116" i="3"/>
  <c r="D114" i="3"/>
  <c r="D112" i="3"/>
  <c r="D111" i="3"/>
  <c r="D110" i="3"/>
  <c r="D109" i="3"/>
  <c r="D108" i="3"/>
  <c r="D107" i="3"/>
  <c r="D105" i="3"/>
  <c r="D104" i="3"/>
  <c r="D100" i="3"/>
  <c r="D98" i="3"/>
  <c r="D95" i="3"/>
  <c r="D94" i="3"/>
  <c r="D90" i="3"/>
  <c r="D89" i="3"/>
  <c r="D88" i="3"/>
  <c r="D86" i="3"/>
  <c r="D82" i="3"/>
  <c r="D80" i="3"/>
  <c r="D79" i="3"/>
  <c r="D78" i="3"/>
  <c r="D76" i="3"/>
  <c r="D74" i="3"/>
  <c r="D73" i="3"/>
  <c r="D67" i="3"/>
  <c r="D65" i="3"/>
  <c r="D64" i="3"/>
  <c r="D63" i="3"/>
  <c r="D61" i="3"/>
  <c r="D60" i="3"/>
  <c r="D59" i="3"/>
  <c r="D58" i="3"/>
  <c r="D57" i="3"/>
  <c r="D55" i="3"/>
  <c r="D54" i="3"/>
  <c r="D52" i="3"/>
  <c r="D51" i="3"/>
  <c r="D49" i="3"/>
  <c r="D47" i="3"/>
  <c r="D42" i="3"/>
  <c r="D41" i="3"/>
  <c r="D37" i="3"/>
  <c r="D36" i="3"/>
</calcChain>
</file>

<file path=xl/sharedStrings.xml><?xml version="1.0" encoding="utf-8"?>
<sst xmlns="http://schemas.openxmlformats.org/spreadsheetml/2006/main" count="1100" uniqueCount="403">
  <si>
    <t>Structura, %</t>
  </si>
  <si>
    <t>Gradul de influenţă a ţărilor, grupelor de ţări  la creşterea (+),  scăderea (-) exporturilor, %</t>
  </si>
  <si>
    <t>România</t>
  </si>
  <si>
    <t>Italia</t>
  </si>
  <si>
    <t>Germania</t>
  </si>
  <si>
    <t>Polonia</t>
  </si>
  <si>
    <t>Bulgaria</t>
  </si>
  <si>
    <t>Austria</t>
  </si>
  <si>
    <t>Grecia</t>
  </si>
  <si>
    <t>Belarus</t>
  </si>
  <si>
    <t>Ucraina</t>
  </si>
  <si>
    <t>Kazahstan</t>
  </si>
  <si>
    <t>Azerbaidjan</t>
  </si>
  <si>
    <t>Uzbekistan</t>
  </si>
  <si>
    <t>Turkmenistan</t>
  </si>
  <si>
    <t>Armenia</t>
  </si>
  <si>
    <t>Tadjikistan</t>
  </si>
  <si>
    <t>Statele Unite ale Americii</t>
  </si>
  <si>
    <t>de 2,0 ori</t>
  </si>
  <si>
    <t>¹ În preţuri curente</t>
  </si>
  <si>
    <t>x</t>
  </si>
  <si>
    <t>Animale vii</t>
  </si>
  <si>
    <t>Materiale brute necomestibile, exclusiv combustibili</t>
  </si>
  <si>
    <t>Produse chimice organice</t>
  </si>
  <si>
    <t>Produse chimice anorganice</t>
  </si>
  <si>
    <t>Materiale plastice sub forme primare</t>
  </si>
  <si>
    <t>Materiale plastice prelucrate</t>
  </si>
  <si>
    <t>Cauciuc prelucrat</t>
  </si>
  <si>
    <t>Articole din minerale nemetalice</t>
  </si>
  <si>
    <t>Metale neferoase</t>
  </si>
  <si>
    <t>Articole prelucrate din metal</t>
  </si>
  <si>
    <t>Alte echipamente de transport</t>
  </si>
  <si>
    <t>Articole manufacturate diverse</t>
  </si>
  <si>
    <t>Alte articole diverse</t>
  </si>
  <si>
    <t>Coreea de Sud</t>
  </si>
  <si>
    <t>Arabia Saudită</t>
  </si>
  <si>
    <t>Hong Kong, RAS a Chinei</t>
  </si>
  <si>
    <t>Africa de Sud</t>
  </si>
  <si>
    <t>Spania</t>
  </si>
  <si>
    <t>Belgia</t>
  </si>
  <si>
    <t>Ungaria</t>
  </si>
  <si>
    <t>Lituania</t>
  </si>
  <si>
    <t>Slovacia</t>
  </si>
  <si>
    <t>Letonia</t>
  </si>
  <si>
    <t>Estonia</t>
  </si>
  <si>
    <t>Cipru</t>
  </si>
  <si>
    <t>Danemarca</t>
  </si>
  <si>
    <t>Finlanda</t>
  </si>
  <si>
    <t>Suedia</t>
  </si>
  <si>
    <t>Portugalia</t>
  </si>
  <si>
    <t>Slovenia</t>
  </si>
  <si>
    <t>Irlanda</t>
  </si>
  <si>
    <t>Luxemburg</t>
  </si>
  <si>
    <t>Malta</t>
  </si>
  <si>
    <t>Turcia</t>
  </si>
  <si>
    <t>Irak</t>
  </si>
  <si>
    <t>Georgia</t>
  </si>
  <si>
    <t>China</t>
  </si>
  <si>
    <t>Liban</t>
  </si>
  <si>
    <t>Malaysia</t>
  </si>
  <si>
    <t>Israel</t>
  </si>
  <si>
    <t>Egipt</t>
  </si>
  <si>
    <t>Myanmar</t>
  </si>
  <si>
    <t>Indonezia</t>
  </si>
  <si>
    <t>Serbia</t>
  </si>
  <si>
    <t>Iordania</t>
  </si>
  <si>
    <t>Canada</t>
  </si>
  <si>
    <t>India</t>
  </si>
  <si>
    <t>Bangladesh</t>
  </si>
  <si>
    <t>Vietnam</t>
  </si>
  <si>
    <t>Iran</t>
  </si>
  <si>
    <t>Pakistan</t>
  </si>
  <si>
    <t>Emiratele Arabe Unite</t>
  </si>
  <si>
    <t>Japonia</t>
  </si>
  <si>
    <t>Nigeria</t>
  </si>
  <si>
    <t>Norvegia</t>
  </si>
  <si>
    <t>Ecuador</t>
  </si>
  <si>
    <t>Islanda</t>
  </si>
  <si>
    <t>Argentina</t>
  </si>
  <si>
    <t>Thailanda</t>
  </si>
  <si>
    <t>Brazilia</t>
  </si>
  <si>
    <t>Mexic</t>
  </si>
  <si>
    <t>Maroc</t>
  </si>
  <si>
    <t>Singapore</t>
  </si>
  <si>
    <t>Filipine</t>
  </si>
  <si>
    <t>Chile</t>
  </si>
  <si>
    <t>Costa Rica</t>
  </si>
  <si>
    <t>Tunisia</t>
  </si>
  <si>
    <t>Columbia</t>
  </si>
  <si>
    <t>Australia</t>
  </si>
  <si>
    <t>Noua Zeelandă</t>
  </si>
  <si>
    <t>de 2,1 ori</t>
  </si>
  <si>
    <t>Mongolia</t>
  </si>
  <si>
    <t>Peru</t>
  </si>
  <si>
    <t>Kenya</t>
  </si>
  <si>
    <t>mii dolari        SUA</t>
  </si>
  <si>
    <t>EXPORT - total</t>
  </si>
  <si>
    <t>Oman</t>
  </si>
  <si>
    <t>Albania</t>
  </si>
  <si>
    <t>de 1,7 ori</t>
  </si>
  <si>
    <t>de 1,6 ori</t>
  </si>
  <si>
    <t>de 1,9 ori</t>
  </si>
  <si>
    <t>Gradul de influenţă a grupelor de mărfuri  la creşterea (+),  scăderea (-) exporturilor, %</t>
  </si>
  <si>
    <t>Qatar</t>
  </si>
  <si>
    <t>Ponderea, %</t>
  </si>
  <si>
    <t>Transport maritim</t>
  </si>
  <si>
    <t>Transport feroviar</t>
  </si>
  <si>
    <t>Transport rutier</t>
  </si>
  <si>
    <t>Transport aerian</t>
  </si>
  <si>
    <t>Expedieri poștale</t>
  </si>
  <si>
    <t>Instalații fixe de transport</t>
  </si>
  <si>
    <t>Autopropulsie</t>
  </si>
  <si>
    <t>Gradul de influenţă a grupelor de mărfuri  la creşterea (+),  scăderea (-) importurilor, %</t>
  </si>
  <si>
    <t>Gradul de influenţă a ţărilor, grupelor de ţări  la creşterea (+),  scăderea (-) importurilor, %</t>
  </si>
  <si>
    <t>mii dolari             SUA</t>
  </si>
  <si>
    <t>Siria</t>
  </si>
  <si>
    <t>IMPORT - total</t>
  </si>
  <si>
    <t>Etiopia</t>
  </si>
  <si>
    <t>Bahrain</t>
  </si>
  <si>
    <t xml:space="preserve">   din care:</t>
  </si>
  <si>
    <t xml:space="preserve">IMPORT - total      </t>
  </si>
  <si>
    <t>Macedonia de Nord</t>
  </si>
  <si>
    <t>Cote D'Ivoire</t>
  </si>
  <si>
    <t xml:space="preserve">     din care:</t>
  </si>
  <si>
    <t>Zimbabwe</t>
  </si>
  <si>
    <t>Camerun</t>
  </si>
  <si>
    <t xml:space="preserve">EXPORT - total      </t>
  </si>
  <si>
    <r>
      <rPr>
        <b/>
        <sz val="12"/>
        <color indexed="8"/>
        <rFont val="Times New Roman"/>
        <family val="1"/>
        <charset val="204"/>
      </rPr>
      <t>Anexa 6.</t>
    </r>
    <r>
      <rPr>
        <b/>
        <i/>
        <sz val="12"/>
        <color indexed="8"/>
        <rFont val="Times New Roman"/>
        <family val="1"/>
        <charset val="204"/>
      </rPr>
      <t xml:space="preserve">  Exporturile structurate pe grupe de mărfuri, </t>
    </r>
  </si>
  <si>
    <r>
      <rPr>
        <b/>
        <sz val="12"/>
        <color indexed="8"/>
        <rFont val="Times New Roman"/>
        <family val="1"/>
        <charset val="204"/>
      </rPr>
      <t>Anexa 7.</t>
    </r>
    <r>
      <rPr>
        <b/>
        <i/>
        <sz val="12"/>
        <color indexed="8"/>
        <rFont val="Times New Roman"/>
        <family val="1"/>
        <charset val="204"/>
      </rPr>
      <t xml:space="preserve">  Importurile structurate pe grupe de mărfuri, </t>
    </r>
  </si>
  <si>
    <r>
      <rPr>
        <b/>
        <sz val="12"/>
        <color indexed="8"/>
        <rFont val="Times New Roman"/>
        <family val="1"/>
        <charset val="204"/>
      </rPr>
      <t xml:space="preserve">Anexa 8.  </t>
    </r>
    <r>
      <rPr>
        <b/>
        <i/>
        <sz val="12"/>
        <color indexed="8"/>
        <rFont val="Times New Roman"/>
        <family val="1"/>
        <charset val="204"/>
      </rPr>
      <t xml:space="preserve">Balanţa comercială structurată pe grupe de mărfuri, </t>
    </r>
  </si>
  <si>
    <t>Mali</t>
  </si>
  <si>
    <t>Ţările Uniunii Europene (UE-27) - total</t>
  </si>
  <si>
    <t>Celelalte țări ale lumii - total</t>
  </si>
  <si>
    <t>Ţările CSI - total</t>
  </si>
  <si>
    <t>Celelalte ţări ale lumii - total</t>
  </si>
  <si>
    <t>Liberia</t>
  </si>
  <si>
    <t>Cambodgia</t>
  </si>
  <si>
    <t>Ghana</t>
  </si>
  <si>
    <t>Zahăr, preparate pe bază de zahăr; miere</t>
  </si>
  <si>
    <t>Hrană destinată animalelor (exclusiv cereale nemăcinate)</t>
  </si>
  <si>
    <t>Pastă de hârtie şi deşeuri de hârtie</t>
  </si>
  <si>
    <t>Fibre textile (cu excepţia lânii în fuior şi a lânii pieptănate) şi deşeurile lor (neprelucrate în fire sau ţesături)</t>
  </si>
  <si>
    <t>Îngrăşăminte naturale şi minerale naturale (exclusiv cărbune, petrol şi pietre preţioase)</t>
  </si>
  <si>
    <t>Minereuri metalifere şi deşeuri de metale</t>
  </si>
  <si>
    <t>Alte materii brute de origine animală sau vegetală</t>
  </si>
  <si>
    <t>Combustibili minerali, lubrifianţi şi materiale derivate</t>
  </si>
  <si>
    <t>Petrol, produse petroliere şi produse înrudite</t>
  </si>
  <si>
    <t>Uleiuri, grăsimi şi ceruri de origine animală sau vegetală</t>
  </si>
  <si>
    <t>Grăsimi şi uleiuri vegetale fixate, brute, rafinate sau fracţionate</t>
  </si>
  <si>
    <t>Produse chimice şi produse derivate nespecificate în altă parte</t>
  </si>
  <si>
    <t>Produse tanante şi colorante</t>
  </si>
  <si>
    <t>Produse medicinale şi farmaceutice</t>
  </si>
  <si>
    <t>Uleiuri esenţiale, rezinoide şi substanţe parfumate, preparate pentru toaletă, produse pentru înfrumuseţare</t>
  </si>
  <si>
    <t>Îngrăşăminte minerale sau chimice</t>
  </si>
  <si>
    <t>Alte materiale şi produse chimice</t>
  </si>
  <si>
    <t>Piele, altă piele şi blană prelucrate</t>
  </si>
  <si>
    <t>Articole din lemn (exclusiv mobilă)</t>
  </si>
  <si>
    <t>Hârtie, carton şi articole din pastă de celuloză, din hârtie sau din carton</t>
  </si>
  <si>
    <t>Fire, tesături, articole textile necuprinse în altă parte şi produse conexe</t>
  </si>
  <si>
    <t>Fier şi oţel</t>
  </si>
  <si>
    <t>Maşini şi echipamente pentru transport</t>
  </si>
  <si>
    <t>Maşini  generatoare de putere şi echipamentele lor</t>
  </si>
  <si>
    <t>Maşini şi aparate specializate pentru industriile specifice</t>
  </si>
  <si>
    <t>Maşini şi aparate pentru prelucrarea metalelor</t>
  </si>
  <si>
    <t>Maşini şi aparate industriale cu aplicaţii generale; părţi şi piese detaşate ale acestor maşini</t>
  </si>
  <si>
    <t>Maşini şi aparate de birou sau pentru prelucrarea automată a datelor</t>
  </si>
  <si>
    <t>Aparate şi echipamente de telecomunicaţii şi pentru înregistrarea şi reproducerea sunetului şi imaginii</t>
  </si>
  <si>
    <t>Maşini şi aparate electrice şi părţi ale acestora (inclusiv echivalente neelectrice ale maşinilor şi aparatelor de uz casnic)</t>
  </si>
  <si>
    <t>Vehicule rutiere (inclusiv vehicule cu pernă de aer)</t>
  </si>
  <si>
    <t>Mobilă şi părţile ei</t>
  </si>
  <si>
    <t>Articole de voiaj; sacoşe şi similare</t>
  </si>
  <si>
    <t>Îmbrăcăminte şi accesorii</t>
  </si>
  <si>
    <t>Încălţăminte</t>
  </si>
  <si>
    <t>Aparate fotografice, echipamente şi furnituri de optică; ceasuri şi orologii</t>
  </si>
  <si>
    <t>Bunuri neclasificate în altă secţiune din CSCI</t>
  </si>
  <si>
    <t>Produse alimentare şi animale vii</t>
  </si>
  <si>
    <t>Carne şi preparate din carne</t>
  </si>
  <si>
    <t>Produse lactate şi ouă de păsări</t>
  </si>
  <si>
    <t>Peşte, crustacee, moluşte</t>
  </si>
  <si>
    <t>Cereale şi preparate pe bază de cereale</t>
  </si>
  <si>
    <t>Legume şi fructe</t>
  </si>
  <si>
    <t>Cafea, ceai, cacao, condimente şi înlocuitori ai acestora</t>
  </si>
  <si>
    <t>Produse şi preparate alimentare diverse</t>
  </si>
  <si>
    <t>Băuturi şi tutun</t>
  </si>
  <si>
    <t>Băuturi (alcoolice şi nealcoolice)</t>
  </si>
  <si>
    <t>Tutun brut şi prelucrat</t>
  </si>
  <si>
    <t>Seminţe şi fructe oleaginoase</t>
  </si>
  <si>
    <t>Cauciuc brut (inclusiv cauciuc sintetic şi regenerat)</t>
  </si>
  <si>
    <t>Lemn şi plută</t>
  </si>
  <si>
    <t>Cărbune, cocs şi brichete</t>
  </si>
  <si>
    <t>Gaz şi produse industriale obţinute din gaz</t>
  </si>
  <si>
    <t>Alte uleiuri şi grăsimi animale sau vegetale prelucrate; ceară de origine animală sau vegetală, amestecuri sau preparate necomestibile din uleiuri animale sau vegetale</t>
  </si>
  <si>
    <t>Piei crude, piei tăbăcite şi blănuri brute</t>
  </si>
  <si>
    <t>Uleiuri şi grăsimi de origine animală</t>
  </si>
  <si>
    <t>Construcţii prefabricate; alte instalaţii şi accesorii pentru instalaţii sanitare, de încalzit şi de iluminat</t>
  </si>
  <si>
    <t>de 2,2 ori</t>
  </si>
  <si>
    <t>de 1,8 ori</t>
  </si>
  <si>
    <t>Țările CSI - total</t>
  </si>
  <si>
    <t>Țările Uniunii Europene (UE-27)</t>
  </si>
  <si>
    <t xml:space="preserve">Țările CSI </t>
  </si>
  <si>
    <t xml:space="preserve">Celelalte țări ale lumii </t>
  </si>
  <si>
    <t>Afganistan</t>
  </si>
  <si>
    <t>Tanzania</t>
  </si>
  <si>
    <t>Cod           CSCI</t>
  </si>
  <si>
    <t>0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</si>
  <si>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</si>
  <si>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</si>
  <si>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</si>
  <si>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</si>
  <si>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</si>
  <si>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</si>
  <si>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</si>
  <si>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</si>
  <si>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</si>
  <si>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</si>
  <si>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</t>
  </si>
  <si>
    <t>11</t>
  </si>
  <si>
    <t>12</t>
  </si>
  <si>
    <t>2</t>
  </si>
  <si>
    <t>21</t>
  </si>
  <si>
    <t>22</t>
  </si>
  <si>
    <t>24</t>
  </si>
  <si>
    <t>25</t>
  </si>
  <si>
    <t>26</t>
  </si>
  <si>
    <t>27</t>
  </si>
  <si>
    <t>28</t>
  </si>
  <si>
    <t>29</t>
  </si>
  <si>
    <t>3</t>
  </si>
  <si>
    <t>32</t>
  </si>
  <si>
    <t>33</t>
  </si>
  <si>
    <t>4</t>
  </si>
  <si>
    <t>41</t>
  </si>
  <si>
    <t>42</t>
  </si>
  <si>
    <t>43</t>
  </si>
  <si>
    <t>5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</si>
  <si>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</si>
  <si>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</si>
  <si>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</si>
  <si>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</si>
  <si>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</si>
  <si>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</si>
  <si>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</si>
  <si>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</si>
  <si>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</si>
  <si>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</si>
  <si>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</si>
  <si>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</si>
  <si>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</si>
  <si>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</si>
  <si>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</si>
  <si>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</si>
  <si>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</si>
  <si>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</si>
  <si>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</si>
  <si>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</si>
  <si>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</si>
  <si>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</si>
  <si>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</si>
  <si>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</si>
  <si>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</si>
  <si>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</si>
  <si>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</si>
  <si>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</si>
  <si>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</si>
  <si>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</t>
  </si>
  <si>
    <t>81</t>
  </si>
  <si>
    <t>82</t>
  </si>
  <si>
    <t>83</t>
  </si>
  <si>
    <t>84</t>
  </si>
  <si>
    <t>85</t>
  </si>
  <si>
    <t>87</t>
  </si>
  <si>
    <t>88</t>
  </si>
  <si>
    <t>89</t>
  </si>
  <si>
    <t>23</t>
  </si>
  <si>
    <t>34</t>
  </si>
  <si>
    <t>9</t>
  </si>
  <si>
    <t>Cod CSCI</t>
  </si>
  <si>
    <t>conform Clasificării Standard de Comerţ Internaţional (CSCI)</t>
  </si>
  <si>
    <t xml:space="preserve">  ¹ În preţuri curente</t>
  </si>
  <si>
    <t>35</t>
  </si>
  <si>
    <t>Energie electrica</t>
  </si>
  <si>
    <t>Energie electrică</t>
  </si>
  <si>
    <t>BALANŢA COMERCIALĂ - total, mii dolari SUA</t>
  </si>
  <si>
    <r>
      <rPr>
        <b/>
        <sz val="12"/>
        <rFont val="Times New Roman"/>
        <family val="1"/>
        <charset val="204"/>
      </rPr>
      <t>Anexa 5.</t>
    </r>
    <r>
      <rPr>
        <b/>
        <i/>
        <sz val="12"/>
        <rFont val="Times New Roman"/>
        <family val="1"/>
        <charset val="204"/>
      </rPr>
      <t xml:space="preserve">  Importurile structurate după modul de transport al mărfurilor </t>
    </r>
  </si>
  <si>
    <r>
      <rPr>
        <b/>
        <sz val="12"/>
        <rFont val="Times New Roman"/>
        <family val="1"/>
        <charset val="204"/>
      </rPr>
      <t xml:space="preserve">Anexa 4.  </t>
    </r>
    <r>
      <rPr>
        <b/>
        <i/>
        <sz val="12"/>
        <rFont val="Times New Roman"/>
        <family val="1"/>
        <charset val="204"/>
      </rPr>
      <t xml:space="preserve">Exporturile structurate după modul de transport al mărfurilor </t>
    </r>
  </si>
  <si>
    <t>Celelalte țări ale lumii</t>
  </si>
  <si>
    <t>Malawi</t>
  </si>
  <si>
    <r>
      <rPr>
        <b/>
        <sz val="12"/>
        <rFont val="Times New Roman"/>
        <family val="1"/>
        <charset val="204"/>
      </rPr>
      <t xml:space="preserve">Anexa 1.  </t>
    </r>
    <r>
      <rPr>
        <b/>
        <i/>
        <sz val="12"/>
        <rFont val="Times New Roman"/>
        <family val="1"/>
        <charset val="204"/>
      </rPr>
      <t>Exporturile structurate pe principalele ţări de destinaţie a mărfurilor şi pe grupe de ţări</t>
    </r>
  </si>
  <si>
    <r>
      <rPr>
        <b/>
        <sz val="12"/>
        <color indexed="8"/>
        <rFont val="Times New Roman"/>
        <family val="1"/>
        <charset val="204"/>
      </rPr>
      <t xml:space="preserve">Anexa 2.  </t>
    </r>
    <r>
      <rPr>
        <b/>
        <i/>
        <sz val="12"/>
        <color indexed="8"/>
        <rFont val="Times New Roman"/>
        <family val="1"/>
        <charset val="204"/>
      </rPr>
      <t>Importurile structurate pe principalele ţări de origine a mărfurilor şi pe grupe de ţări</t>
    </r>
  </si>
  <si>
    <r>
      <rPr>
        <b/>
        <sz val="12"/>
        <color indexed="8"/>
        <rFont val="Times New Roman"/>
        <family val="1"/>
        <charset val="204"/>
      </rPr>
      <t xml:space="preserve">Anexa 3.  </t>
    </r>
    <r>
      <rPr>
        <b/>
        <i/>
        <sz val="12"/>
        <color indexed="8"/>
        <rFont val="Times New Roman"/>
        <family val="1"/>
        <charset val="204"/>
      </rPr>
      <t>Balanţa comercială structurată pe principalele ţări şi pe grupe de ţări</t>
    </r>
  </si>
  <si>
    <t>Franța</t>
  </si>
  <si>
    <t>Croația</t>
  </si>
  <si>
    <t>Federația Rusă</t>
  </si>
  <si>
    <t>Elveția</t>
  </si>
  <si>
    <t>Regatul Unit al Marii Britanii și Irlandei de Nord</t>
  </si>
  <si>
    <t>Bosnia și Herțegovina</t>
  </si>
  <si>
    <t>de 2,8 ori</t>
  </si>
  <si>
    <t>Șri Lanka</t>
  </si>
  <si>
    <t>Cehia</t>
  </si>
  <si>
    <t>Kârgâzstan</t>
  </si>
  <si>
    <t>Taiwan, provincie a Chinei</t>
  </si>
  <si>
    <t>Insulele Feroe</t>
  </si>
  <si>
    <t>Burkina Faso</t>
  </si>
  <si>
    <t>de 3,1 ori</t>
  </si>
  <si>
    <t>Regatul Țărilor de Jos (Netherlands)</t>
  </si>
  <si>
    <t>Țările Uniunii Europene - total</t>
  </si>
  <si>
    <t>Gaz și produse industriale obținute din gaz</t>
  </si>
  <si>
    <t>Mărfuri manufacturate, clasificate mai ales după materia primă</t>
  </si>
  <si>
    <t>de 2,6 ori</t>
  </si>
  <si>
    <t>de 2,7 ori</t>
  </si>
  <si>
    <t>de 2,5 ori</t>
  </si>
  <si>
    <t>de 3,0 ori</t>
  </si>
  <si>
    <t>de 2,3 ori</t>
  </si>
  <si>
    <t>de 2,9 ori</t>
  </si>
  <si>
    <t>Republica Dominicană</t>
  </si>
  <si>
    <t>Kosovo</t>
  </si>
  <si>
    <t>de 3,4 ori</t>
  </si>
  <si>
    <t>Tuvalu</t>
  </si>
  <si>
    <t>-</t>
  </si>
  <si>
    <t>Instrumente şi aparate profesionale, ştiinţifice şi de control</t>
  </si>
  <si>
    <t>Ciad</t>
  </si>
  <si>
    <t>de 3,7 ori</t>
  </si>
  <si>
    <t>de 5,3 ori</t>
  </si>
  <si>
    <t>de 4,2 ori</t>
  </si>
  <si>
    <r>
      <t xml:space="preserve">  </t>
    </r>
    <r>
      <rPr>
        <b/>
        <vertAlign val="superscript"/>
        <sz val="8"/>
        <rFont val="Times New Roman"/>
        <family val="1"/>
        <charset val="204"/>
      </rPr>
      <t>2</t>
    </r>
    <r>
      <rPr>
        <b/>
        <sz val="8"/>
        <rFont val="Times New Roman"/>
        <family val="1"/>
        <charset val="204"/>
      </rPr>
      <t xml:space="preserve"> Faţă de anul precedent</t>
    </r>
  </si>
  <si>
    <t>Uganda</t>
  </si>
  <si>
    <t>Nepal</t>
  </si>
  <si>
    <t>de 6,9 ori</t>
  </si>
  <si>
    <t>BALANŢA COMERCIALĂ – total, mii dolari SUA</t>
  </si>
  <si>
    <t>de 14,1 ori</t>
  </si>
  <si>
    <t>de 3,5 ori</t>
  </si>
  <si>
    <t>Instrumente şi aparate, profesionale, ştiinţifice şi de control</t>
  </si>
  <si>
    <t>de 3,8 ori</t>
  </si>
  <si>
    <t>Republica Yemen</t>
  </si>
  <si>
    <t>Algeria</t>
  </si>
  <si>
    <t>Kuwait</t>
  </si>
  <si>
    <t>Togo</t>
  </si>
  <si>
    <t>Coreea de Nord</t>
  </si>
  <si>
    <t>Mauritania</t>
  </si>
  <si>
    <t>Nicaragua</t>
  </si>
  <si>
    <t>Liechtenstein</t>
  </si>
  <si>
    <t>Libia</t>
  </si>
  <si>
    <t>de 6,4 ori</t>
  </si>
  <si>
    <t>de 2,4 ori</t>
  </si>
  <si>
    <t>de 5,9 ori</t>
  </si>
  <si>
    <t>de 11,6 ori</t>
  </si>
  <si>
    <t>de 7,4 ori</t>
  </si>
  <si>
    <t>de 401,6 ori</t>
  </si>
  <si>
    <t>de 5,7 ori</t>
  </si>
  <si>
    <t>de 6,1 ori</t>
  </si>
  <si>
    <t>de 61,4 ori</t>
  </si>
  <si>
    <t>de 6,0 ori</t>
  </si>
  <si>
    <t xml:space="preserve"> Ianuarie-aprilie 2023</t>
  </si>
  <si>
    <t>în % faţă de  ianuarie-aprilie 2022 ¹</t>
  </si>
  <si>
    <t>ianuarie-aprilie 2022</t>
  </si>
  <si>
    <t>ianuarie-aprilie 2023</t>
  </si>
  <si>
    <r>
      <t xml:space="preserve">ianuarie-aprilie     2023 </t>
    </r>
    <r>
      <rPr>
        <b/>
        <vertAlign val="superscript"/>
        <sz val="10"/>
        <rFont val="Times New Roman"/>
        <family val="1"/>
        <charset val="204"/>
      </rPr>
      <t>1,2</t>
    </r>
  </si>
  <si>
    <r>
      <t xml:space="preserve">ianuarie-aprilie       2022 </t>
    </r>
    <r>
      <rPr>
        <b/>
        <vertAlign val="superscript"/>
        <sz val="10"/>
        <rFont val="Times New Roman"/>
        <family val="1"/>
        <charset val="204"/>
      </rPr>
      <t>1,2</t>
    </r>
  </si>
  <si>
    <r>
      <t xml:space="preserve">ianuarie-aprilie    2022 </t>
    </r>
    <r>
      <rPr>
        <b/>
        <vertAlign val="superscript"/>
        <sz val="10"/>
        <rFont val="Times New Roman"/>
        <family val="1"/>
        <charset val="204"/>
      </rPr>
      <t>1,2</t>
    </r>
  </si>
  <si>
    <r>
      <t xml:space="preserve">ianuarie-aprilie         2023 </t>
    </r>
    <r>
      <rPr>
        <b/>
        <vertAlign val="superscript"/>
        <sz val="10"/>
        <rFont val="Times New Roman"/>
        <family val="1"/>
        <charset val="204"/>
      </rPr>
      <t>1,2</t>
    </r>
  </si>
  <si>
    <t>Ianuarie-aprilie 2022</t>
  </si>
  <si>
    <t>Ianuarie-aprilie 2023</t>
  </si>
  <si>
    <t>Ianuarie-aprilie 2023
în % faţă de ianuarie-aprilie 
2022 ¹</t>
  </si>
  <si>
    <t>în % faţă de 
ianuarie-aprilie 2022 ¹</t>
  </si>
  <si>
    <r>
      <t xml:space="preserve">ianuarie-aprilie 2022 </t>
    </r>
    <r>
      <rPr>
        <b/>
        <vertAlign val="superscript"/>
        <sz val="10"/>
        <rFont val="Times New Roman"/>
        <family val="1"/>
        <charset val="204"/>
      </rPr>
      <t>1,2</t>
    </r>
  </si>
  <si>
    <r>
      <t xml:space="preserve">ianuarie-aprilie 2023 </t>
    </r>
    <r>
      <rPr>
        <b/>
        <vertAlign val="superscript"/>
        <sz val="10"/>
        <rFont val="Times New Roman"/>
        <family val="1"/>
        <charset val="204"/>
      </rPr>
      <t>1,2</t>
    </r>
  </si>
  <si>
    <t>Ianuarie-aprilie 2023
în % faţă de ianuarie-aprilie
2022 ¹</t>
  </si>
  <si>
    <t>Sudan</t>
  </si>
  <si>
    <t>Muntenegru</t>
  </si>
  <si>
    <t>de 4,9 ori</t>
  </si>
  <si>
    <t>de 8,5 ori</t>
  </si>
  <si>
    <t>de 5,5 ori</t>
  </si>
  <si>
    <t>de 16,0 ori</t>
  </si>
  <si>
    <t>de 15,5 ori</t>
  </si>
  <si>
    <t>de 52,6 ori</t>
  </si>
  <si>
    <t>de 12,2 ori</t>
  </si>
  <si>
    <t>Belize</t>
  </si>
  <si>
    <t>Venezuela</t>
  </si>
  <si>
    <t>de 7,2 ori</t>
  </si>
  <si>
    <t>de 7,1 ori</t>
  </si>
  <si>
    <t>de 3,9 ori</t>
  </si>
  <si>
    <t>de 3,3 ori</t>
  </si>
  <si>
    <t>de 41,8 ori</t>
  </si>
  <si>
    <t>de 45,5 ori</t>
  </si>
  <si>
    <t>de 78,2 ori</t>
  </si>
  <si>
    <t>de 21,9 ori</t>
  </si>
  <si>
    <t>Mărfuri produse în UE, la care țara de origine nu poate fi identificată</t>
  </si>
  <si>
    <t>de 10,1 ori</t>
  </si>
  <si>
    <t>de 4,1 ori</t>
  </si>
  <si>
    <t>de 4,4 ori</t>
  </si>
  <si>
    <t>de 18,6 ori</t>
  </si>
  <si>
    <t>de 15,6 ori</t>
  </si>
  <si>
    <t>de 13,9 ori</t>
  </si>
  <si>
    <t>de 178,7 ori</t>
  </si>
  <si>
    <t>de 5820,6 ori</t>
  </si>
  <si>
    <t>de 2895,0 ori</t>
  </si>
  <si>
    <t>de 3,2 ori</t>
  </si>
  <si>
    <t>de 5,2 ori</t>
  </si>
  <si>
    <t>de 10,3 ori</t>
  </si>
  <si>
    <t>de 387,3 ori</t>
  </si>
  <si>
    <t>de 19330,8 ori</t>
  </si>
  <si>
    <t xml:space="preserve">      din care:</t>
  </si>
  <si>
    <t xml:space="preserve">   EXPORT -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</si>
</sst>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4" x14ac:knownFonts="1">
    <font>
      <sz val="12"/>
      <color indexed="8"/>
      <name val="Times New Roman"/>
      <family val="2"/>
      <charset val="238"/>
    </font>
    <font>
      <b/>
      <i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8"/>
      <name val="Times New Roman"/>
      <family val="2"/>
      <charset val="238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color rgb="FFFF0000"/>
      <name val="Times New Roman"/>
      <family val="1"/>
      <charset val="204"/>
    </font>
    <font>
      <sz val="10"/>
      <color rgb="FFFF0000"/>
      <name val="Arial"/>
      <family val="2"/>
      <charset val="204"/>
    </font>
    <font>
      <b/>
      <i/>
      <sz val="12"/>
      <name val="Times New Roman"/>
      <family val="1"/>
      <charset val="204"/>
    </font>
    <font>
      <sz val="12"/>
      <color rgb="FFC00000"/>
      <name val="Times New Roman"/>
      <family val="1"/>
      <charset val="204"/>
    </font>
    <font>
      <sz val="12"/>
      <color indexed="8"/>
      <name val="Times New Roman"/>
      <family val="2"/>
      <charset val="238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vertAlign val="superscript"/>
      <sz val="10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b/>
      <vertAlign val="superscript"/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.5"/>
      <color indexed="8"/>
      <name val="Times New Roman"/>
      <family val="2"/>
      <charset val="238"/>
    </font>
    <font>
      <sz val="10.5"/>
      <color indexed="8"/>
      <name val="Times New Roman"/>
      <family val="1"/>
      <charset val="204"/>
    </font>
    <font>
      <sz val="10.5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0" fillId="0" borderId="0"/>
    <xf numFmtId="0" fontId="11" fillId="0" borderId="0"/>
    <xf numFmtId="0" fontId="10" fillId="0" borderId="0"/>
    <xf numFmtId="0" fontId="16" fillId="0" borderId="0"/>
    <xf numFmtId="0" fontId="10" fillId="0" borderId="0"/>
  </cellStyleXfs>
  <cellXfs count="94">
    <xf numFmtId="0" fontId="0" fillId="0" borderId="0" xfId="0"/>
    <xf numFmtId="0" fontId="4" fillId="0" borderId="0" xfId="0" applyFont="1"/>
    <xf numFmtId="0" fontId="9" fillId="0" borderId="0" xfId="0" applyFont="1"/>
    <xf numFmtId="0" fontId="5" fillId="0" borderId="0" xfId="0" applyFont="1" applyAlignment="1">
      <alignment vertical="top" wrapText="1"/>
    </xf>
    <xf numFmtId="0" fontId="11" fillId="0" borderId="0" xfId="0" applyFont="1"/>
    <xf numFmtId="0" fontId="12" fillId="0" borderId="0" xfId="0" applyFont="1"/>
    <xf numFmtId="0" fontId="13" fillId="0" borderId="0" xfId="0" applyFont="1"/>
    <xf numFmtId="0" fontId="15" fillId="0" borderId="0" xfId="0" applyFont="1"/>
    <xf numFmtId="4" fontId="0" fillId="0" borderId="0" xfId="0" applyNumberFormat="1"/>
    <xf numFmtId="4" fontId="8" fillId="0" borderId="0" xfId="0" applyNumberFormat="1" applyFont="1" applyAlignment="1">
      <alignment horizontal="right" vertical="top"/>
    </xf>
    <xf numFmtId="4" fontId="7" fillId="0" borderId="0" xfId="0" applyNumberFormat="1" applyFont="1" applyAlignment="1">
      <alignment horizontal="right" vertical="top"/>
    </xf>
    <xf numFmtId="38" fontId="8" fillId="0" borderId="0" xfId="0" applyNumberFormat="1" applyFont="1" applyAlignment="1">
      <alignment horizontal="center" vertical="top"/>
    </xf>
    <xf numFmtId="38" fontId="8" fillId="0" borderId="0" xfId="0" applyNumberFormat="1" applyFont="1" applyAlignment="1">
      <alignment horizontal="left" vertical="top" wrapText="1"/>
    </xf>
    <xf numFmtId="38" fontId="7" fillId="0" borderId="0" xfId="0" applyNumberFormat="1" applyFont="1" applyAlignment="1">
      <alignment horizontal="center" vertical="top"/>
    </xf>
    <xf numFmtId="38" fontId="7" fillId="0" borderId="0" xfId="0" applyNumberFormat="1" applyFont="1" applyAlignment="1">
      <alignment horizontal="left" vertical="top" wrapText="1"/>
    </xf>
    <xf numFmtId="4" fontId="7" fillId="0" borderId="0" xfId="0" applyNumberFormat="1" applyFont="1" applyAlignment="1">
      <alignment horizontal="right" vertical="top" indent="1"/>
    </xf>
    <xf numFmtId="4" fontId="8" fillId="0" borderId="0" xfId="0" applyNumberFormat="1" applyFont="1" applyAlignment="1">
      <alignment horizontal="right" vertical="top" indent="1"/>
    </xf>
    <xf numFmtId="0" fontId="7" fillId="0" borderId="0" xfId="0" applyFont="1" applyAlignment="1">
      <alignment horizontal="left" vertical="top" wrapText="1" indent="1"/>
    </xf>
    <xf numFmtId="4" fontId="7" fillId="0" borderId="3" xfId="0" applyNumberFormat="1" applyFont="1" applyBorder="1" applyAlignment="1">
      <alignment horizontal="right" vertical="top" indent="1"/>
    </xf>
    <xf numFmtId="0" fontId="24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38" fontId="25" fillId="0" borderId="0" xfId="0" applyNumberFormat="1" applyFont="1" applyAlignment="1">
      <alignment horizontal="left" wrapText="1"/>
    </xf>
    <xf numFmtId="164" fontId="7" fillId="0" borderId="0" xfId="0" applyNumberFormat="1" applyFont="1" applyAlignment="1">
      <alignment horizontal="right" vertical="top" indent="1"/>
    </xf>
    <xf numFmtId="4" fontId="27" fillId="0" borderId="0" xfId="0" applyNumberFormat="1" applyFont="1" applyAlignment="1">
      <alignment horizontal="right" vertical="top" indent="1"/>
    </xf>
    <xf numFmtId="0" fontId="28" fillId="0" borderId="0" xfId="0" applyFont="1" applyAlignment="1">
      <alignment horizontal="center" vertical="top"/>
    </xf>
    <xf numFmtId="0" fontId="8" fillId="0" borderId="0" xfId="0" applyFont="1" applyAlignment="1">
      <alignment horizontal="left" vertical="top" wrapText="1" indent="1"/>
    </xf>
    <xf numFmtId="38" fontId="7" fillId="0" borderId="0" xfId="0" applyNumberFormat="1" applyFont="1" applyAlignment="1">
      <alignment horizontal="left" vertical="top" wrapText="1" indent="1"/>
    </xf>
    <xf numFmtId="38" fontId="7" fillId="0" borderId="3" xfId="0" applyNumberFormat="1" applyFont="1" applyBorder="1" applyAlignment="1">
      <alignment horizontal="left" vertical="top" wrapText="1" indent="1"/>
    </xf>
    <xf numFmtId="4" fontId="8" fillId="0" borderId="0" xfId="0" applyNumberFormat="1" applyFont="1" applyAlignment="1">
      <alignment horizontal="right" vertical="top" wrapText="1" indent="1"/>
    </xf>
    <xf numFmtId="4" fontId="20" fillId="0" borderId="0" xfId="0" applyNumberFormat="1" applyFont="1" applyAlignment="1">
      <alignment horizontal="right" vertical="top" wrapText="1" indent="1"/>
    </xf>
    <xf numFmtId="4" fontId="22" fillId="0" borderId="0" xfId="0" applyNumberFormat="1" applyFont="1" applyAlignment="1">
      <alignment horizontal="right" vertical="top" indent="1"/>
    </xf>
    <xf numFmtId="4" fontId="7" fillId="0" borderId="0" xfId="0" applyNumberFormat="1" applyFont="1" applyAlignment="1">
      <alignment horizontal="right" vertical="top" wrapText="1" indent="1"/>
    </xf>
    <xf numFmtId="0" fontId="7" fillId="0" borderId="0" xfId="0" applyFont="1" applyAlignment="1">
      <alignment horizontal="left" vertical="top" wrapText="1"/>
    </xf>
    <xf numFmtId="4" fontId="21" fillId="0" borderId="0" xfId="0" applyNumberFormat="1" applyFont="1" applyAlignment="1">
      <alignment horizontal="right" vertical="top" indent="1"/>
    </xf>
    <xf numFmtId="49" fontId="7" fillId="0" borderId="0" xfId="0" applyNumberFormat="1" applyFont="1" applyAlignment="1">
      <alignment horizontal="center" vertical="top"/>
    </xf>
    <xf numFmtId="0" fontId="7" fillId="0" borderId="3" xfId="0" applyFont="1" applyBorder="1" applyAlignment="1">
      <alignment horizontal="left" vertical="top" wrapText="1" indent="1"/>
    </xf>
    <xf numFmtId="0" fontId="29" fillId="0" borderId="0" xfId="0" applyFont="1"/>
    <xf numFmtId="0" fontId="30" fillId="0" borderId="0" xfId="0" applyFont="1"/>
    <xf numFmtId="4" fontId="25" fillId="0" borderId="0" xfId="0" applyNumberFormat="1" applyFont="1" applyAlignment="1">
      <alignment horizontal="left"/>
    </xf>
    <xf numFmtId="4" fontId="9" fillId="0" borderId="0" xfId="0" applyNumberFormat="1" applyFont="1"/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1" fillId="0" borderId="5" xfId="0" applyFont="1" applyBorder="1" applyAlignment="1">
      <alignment horizontal="center" vertical="top"/>
    </xf>
    <xf numFmtId="4" fontId="8" fillId="0" borderId="0" xfId="4" applyNumberFormat="1" applyFont="1" applyAlignment="1">
      <alignment horizontal="right" vertical="top" indent="1"/>
    </xf>
    <xf numFmtId="4" fontId="7" fillId="0" borderId="0" xfId="4" applyNumberFormat="1" applyFont="1" applyAlignment="1">
      <alignment horizontal="right" vertical="top" indent="1"/>
    </xf>
    <xf numFmtId="0" fontId="32" fillId="0" borderId="5" xfId="0" applyFont="1" applyBorder="1" applyAlignment="1">
      <alignment horizontal="left" vertical="top" wrapText="1" indent="1"/>
    </xf>
    <xf numFmtId="0" fontId="32" fillId="0" borderId="0" xfId="0" applyFont="1" applyAlignment="1">
      <alignment horizontal="left" vertical="top" wrapText="1" indent="1"/>
    </xf>
    <xf numFmtId="4" fontId="32" fillId="0" borderId="5" xfId="0" applyNumberFormat="1" applyFont="1" applyBorder="1" applyAlignment="1">
      <alignment horizontal="right" vertical="top" indent="1"/>
    </xf>
    <xf numFmtId="4" fontId="32" fillId="0" borderId="0" xfId="0" applyNumberFormat="1" applyFont="1" applyAlignment="1">
      <alignment horizontal="right" vertical="top" indent="1"/>
    </xf>
    <xf numFmtId="4" fontId="32" fillId="0" borderId="5" xfId="0" applyNumberFormat="1" applyFont="1" applyBorder="1" applyAlignment="1">
      <alignment horizontal="right" vertical="top" wrapText="1" indent="1"/>
    </xf>
    <xf numFmtId="0" fontId="32" fillId="0" borderId="5" xfId="0" applyFont="1" applyBorder="1" applyAlignment="1">
      <alignment horizontal="left" vertical="top" wrapText="1"/>
    </xf>
    <xf numFmtId="4" fontId="32" fillId="0" borderId="5" xfId="0" applyNumberFormat="1" applyFont="1" applyBorder="1" applyAlignment="1">
      <alignment horizontal="right" vertical="top"/>
    </xf>
    <xf numFmtId="38" fontId="8" fillId="0" borderId="3" xfId="0" applyNumberFormat="1" applyFont="1" applyBorder="1" applyAlignment="1">
      <alignment horizontal="left" vertical="top" wrapText="1"/>
    </xf>
    <xf numFmtId="4" fontId="8" fillId="0" borderId="3" xfId="0" applyNumberFormat="1" applyFont="1" applyBorder="1" applyAlignment="1">
      <alignment horizontal="right" vertical="top"/>
    </xf>
    <xf numFmtId="4" fontId="8" fillId="0" borderId="3" xfId="0" applyNumberFormat="1" applyFont="1" applyBorder="1" applyAlignment="1">
      <alignment horizontal="right" vertical="top" indent="1"/>
    </xf>
    <xf numFmtId="38" fontId="8" fillId="0" borderId="3" xfId="0" applyNumberFormat="1" applyFont="1" applyBorder="1" applyAlignment="1">
      <alignment horizontal="center" vertical="top"/>
    </xf>
    <xf numFmtId="4" fontId="8" fillId="0" borderId="3" xfId="4" applyNumberFormat="1" applyFont="1" applyBorder="1" applyAlignment="1">
      <alignment horizontal="right" vertical="top" indent="1"/>
    </xf>
    <xf numFmtId="4" fontId="30" fillId="0" borderId="0" xfId="0" applyNumberFormat="1" applyFont="1"/>
    <xf numFmtId="4" fontId="27" fillId="0" borderId="3" xfId="0" applyNumberFormat="1" applyFont="1" applyBorder="1" applyAlignment="1">
      <alignment horizontal="right" vertical="top" indent="1"/>
    </xf>
    <xf numFmtId="0" fontId="33" fillId="0" borderId="5" xfId="0" applyFont="1" applyBorder="1" applyAlignment="1">
      <alignment horizontal="center" vertical="top"/>
    </xf>
    <xf numFmtId="4" fontId="27" fillId="0" borderId="0" xfId="0" applyNumberFormat="1" applyFont="1" applyAlignment="1">
      <alignment horizontal="right" vertical="top"/>
    </xf>
    <xf numFmtId="4" fontId="19" fillId="0" borderId="0" xfId="0" applyNumberFormat="1" applyFont="1" applyAlignment="1">
      <alignment horizontal="right" vertical="top" indent="1"/>
    </xf>
    <xf numFmtId="0" fontId="25" fillId="0" borderId="0" xfId="0" applyFont="1"/>
    <xf numFmtId="0" fontId="27" fillId="0" borderId="0" xfId="0" applyFont="1" applyAlignment="1">
      <alignment horizontal="left" vertical="top" wrapText="1" indent="1"/>
    </xf>
    <xf numFmtId="0" fontId="27" fillId="0" borderId="3" xfId="0" applyFont="1" applyBorder="1" applyAlignment="1">
      <alignment horizontal="left" vertical="top" wrapText="1" indent="1"/>
    </xf>
    <xf numFmtId="4" fontId="27" fillId="0" borderId="3" xfId="0" applyNumberFormat="1" applyFont="1" applyBorder="1" applyAlignment="1">
      <alignment horizontal="right" vertical="top"/>
    </xf>
    <xf numFmtId="4" fontId="19" fillId="0" borderId="0" xfId="0" applyNumberFormat="1" applyFont="1" applyAlignment="1">
      <alignment horizontal="right" vertical="top"/>
    </xf>
    <xf numFmtId="4" fontId="0" fillId="0" borderId="0" xfId="0" applyNumberFormat="1" applyAlignment="1">
      <alignment horizontal="right" vertical="top" indent="1"/>
    </xf>
    <xf numFmtId="0" fontId="25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7" fillId="0" borderId="6" xfId="0" applyFont="1" applyBorder="1" applyAlignment="1">
      <alignment vertical="top" wrapText="1"/>
    </xf>
    <xf numFmtId="0" fontId="7" fillId="0" borderId="7" xfId="0" applyFont="1" applyBorder="1" applyAlignment="1">
      <alignment vertical="top" wrapText="1"/>
    </xf>
    <xf numFmtId="49" fontId="8" fillId="0" borderId="1" xfId="0" applyNumberFormat="1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8" fillId="0" borderId="8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/>
    </xf>
    <xf numFmtId="0" fontId="22" fillId="0" borderId="6" xfId="0" applyFont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</cellXfs>
  <cellStyles count="6">
    <cellStyle name="Normal" xfId="0" builtinId="0"/>
    <cellStyle name="Normal 2" xfId="4" xr:uid="{00000000-0005-0000-0000-000000000000}"/>
    <cellStyle name="Normal 3" xfId="3" xr:uid="{00000000-0005-0000-0000-000001000000}"/>
    <cellStyle name="Обычный 2" xfId="1" xr:uid="{00000000-0005-0000-0000-000003000000}"/>
    <cellStyle name="Обычный 3" xfId="2" xr:uid="{00000000-0005-0000-0000-000004000000}"/>
    <cellStyle name="Обычный 3 2" xfId="5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G107"/>
  <sheetViews>
    <sheetView tabSelected="1" zoomScale="99" zoomScaleNormal="99" workbookViewId="0">
      <selection sqref="A1:G1"/>
    </sheetView>
  </sheetViews>
  <sheetFormatPr defaultRowHeight="15.6" x14ac:dyDescent="0.3"/>
  <cols>
    <col min="1" max="1" width="29.19921875" style="2" customWidth="1"/>
    <col min="2" max="2" width="12.59765625" style="2" customWidth="1"/>
    <col min="3" max="3" width="10.59765625" style="39" customWidth="1"/>
    <col min="4" max="4" width="8.69921875" style="2" customWidth="1"/>
    <col min="5" max="5" width="8.59765625" style="2" customWidth="1"/>
    <col min="6" max="6" width="9.8984375" style="2" customWidth="1"/>
    <col min="7" max="7" width="10" style="2" customWidth="1"/>
  </cols>
  <sheetData>
    <row r="1" spans="1:7" ht="16.2" x14ac:dyDescent="0.35">
      <c r="A1" s="73" t="s">
        <v>287</v>
      </c>
      <c r="B1" s="73"/>
      <c r="C1" s="73"/>
      <c r="D1" s="73"/>
      <c r="E1" s="73"/>
      <c r="F1" s="73"/>
      <c r="G1" s="73"/>
    </row>
    <row r="2" spans="1:7" x14ac:dyDescent="0.3">
      <c r="A2" s="82"/>
      <c r="B2" s="82"/>
      <c r="C2" s="82"/>
      <c r="D2" s="82"/>
      <c r="E2" s="82"/>
      <c r="F2" s="82"/>
      <c r="G2" s="82"/>
    </row>
    <row r="3" spans="1:7" ht="54" customHeight="1" x14ac:dyDescent="0.3">
      <c r="A3" s="74"/>
      <c r="B3" s="76" t="s">
        <v>352</v>
      </c>
      <c r="C3" s="77"/>
      <c r="D3" s="78" t="s">
        <v>104</v>
      </c>
      <c r="E3" s="79"/>
      <c r="F3" s="80" t="s">
        <v>1</v>
      </c>
      <c r="G3" s="81"/>
    </row>
    <row r="4" spans="1:7" ht="52.8" x14ac:dyDescent="0.3">
      <c r="A4" s="75"/>
      <c r="B4" s="42" t="s">
        <v>95</v>
      </c>
      <c r="C4" s="41" t="s">
        <v>353</v>
      </c>
      <c r="D4" s="42" t="s">
        <v>354</v>
      </c>
      <c r="E4" s="42" t="s">
        <v>355</v>
      </c>
      <c r="F4" s="42" t="s">
        <v>357</v>
      </c>
      <c r="G4" s="40" t="s">
        <v>356</v>
      </c>
    </row>
    <row r="5" spans="1:7" s="1" customFormat="1" ht="15.75" customHeight="1" x14ac:dyDescent="0.25">
      <c r="A5" s="54" t="s">
        <v>402</v>
      </c>
      <c r="B5" s="55">
        <v>1389017.9220700001</v>
      </c>
      <c r="C5" s="51">
        <f>IF(1458988.37669="","-",1389017.92207/1458988.37669*100)</f>
        <v>95.204180119738751</v>
      </c>
      <c r="D5" s="51">
        <v>100</v>
      </c>
      <c r="E5" s="51">
        <v>100</v>
      </c>
      <c r="F5" s="51">
        <f>IF(902994.52425="","-",(1458988.37669-902994.52425)/902994.52425*100)</f>
        <v>61.572228569358359</v>
      </c>
      <c r="G5" s="51">
        <f>IF(1458988.37669="","-",(1389017.92207-1458988.37669)/1458988.37669*100)</f>
        <v>-4.7958198802612539</v>
      </c>
    </row>
    <row r="6" spans="1:7" ht="13.5" customHeight="1" x14ac:dyDescent="0.3">
      <c r="A6" s="32" t="s">
        <v>401</v>
      </c>
      <c r="B6" s="65"/>
      <c r="C6" s="65"/>
      <c r="D6" s="65"/>
      <c r="E6" s="65"/>
      <c r="F6" s="65"/>
      <c r="G6" s="65"/>
    </row>
    <row r="7" spans="1:7" ht="26.4" x14ac:dyDescent="0.3">
      <c r="A7" s="25" t="s">
        <v>131</v>
      </c>
      <c r="B7" s="9">
        <v>861654.00367000001</v>
      </c>
      <c r="C7" s="16">
        <f>IF(971343.86786="","-",861654.00367/971343.86786*100)</f>
        <v>88.707411677837484</v>
      </c>
      <c r="D7" s="16">
        <f>IF(971343.86786="","-",971343.86786/1458988.37669*100)</f>
        <v>66.576532299981935</v>
      </c>
      <c r="E7" s="16">
        <f>IF(861654.00367="","-",861654.00367/1389017.92207*100)</f>
        <v>62.033325127001248</v>
      </c>
      <c r="F7" s="16">
        <f>IF(902994.52425="","-",(971343.86786-581946.2617)/902994.52425*100)</f>
        <v>43.12291998486058</v>
      </c>
      <c r="G7" s="16">
        <f>IF(1458988.37669="","-",(861654.00367-971343.86786)/1458988.37669*100)</f>
        <v>-7.5182137118085111</v>
      </c>
    </row>
    <row r="8" spans="1:7" ht="15.75" customHeight="1" x14ac:dyDescent="0.3">
      <c r="A8" s="26" t="s">
        <v>2</v>
      </c>
      <c r="B8" s="10">
        <v>457390.66171999997</v>
      </c>
      <c r="C8" s="15">
        <f>IF(OR(459807.6441="",457390.66172=""),"-",457390.66172/459807.6441*100)</f>
        <v>99.47434923907565</v>
      </c>
      <c r="D8" s="15">
        <f>IF(459807.6441="","-",459807.6441/1458988.37669*100)</f>
        <v>31.515511120325947</v>
      </c>
      <c r="E8" s="15">
        <f>IF(457390.66172="","-",457390.66172/1389017.92207*100)</f>
        <v>32.929068405277903</v>
      </c>
      <c r="F8" s="15">
        <f>IF(OR(902994.52425="",247792.63908="",459807.6441=""),"-",(459807.6441-247792.63908)/902994.52425*100)</f>
        <v>23.479101957577566</v>
      </c>
      <c r="G8" s="15">
        <f>IF(OR(1458988.37669="",457390.66172="",459807.6441=""),"-",(457390.66172-459807.6441)/1458988.37669*100)</f>
        <v>-0.16566152401319315</v>
      </c>
    </row>
    <row r="9" spans="1:7" ht="15.75" customHeight="1" x14ac:dyDescent="0.3">
      <c r="A9" s="26" t="s">
        <v>3</v>
      </c>
      <c r="B9" s="10">
        <v>85419.195460000003</v>
      </c>
      <c r="C9" s="15">
        <f>IF(OR(145400.24887="",85419.19546=""),"-",85419.19546/145400.24887*100)</f>
        <v>58.747626722683201</v>
      </c>
      <c r="D9" s="15">
        <f>IF(145400.24887="","-",145400.24887/1458988.37669*100)</f>
        <v>9.9658264036255613</v>
      </c>
      <c r="E9" s="15">
        <f>IF(85419.19546="","-",85419.19546/1389017.92207*100)</f>
        <v>6.149610750356846</v>
      </c>
      <c r="F9" s="15">
        <f>IF(OR(902994.52425="",58002.33211="",145400.24887=""),"-",(145400.24887-58002.33211)/902994.52425*100)</f>
        <v>9.6786762724380946</v>
      </c>
      <c r="G9" s="15">
        <f>IF(OR(1458988.37669="",85419.19546="",145400.24887=""),"-",(85419.19546-145400.24887)/1458988.37669*100)</f>
        <v>-4.1111399081930138</v>
      </c>
    </row>
    <row r="10" spans="1:7" ht="13.5" customHeight="1" x14ac:dyDescent="0.3">
      <c r="A10" s="26" t="s">
        <v>4</v>
      </c>
      <c r="B10" s="10">
        <v>74887.194019999995</v>
      </c>
      <c r="C10" s="15">
        <f>IF(OR(88526.06059="",74887.19402=""),"-",74887.19402/88526.06059*100)</f>
        <v>84.593388117463945</v>
      </c>
      <c r="D10" s="15">
        <f>IF(88526.06059="","-",88526.06059/1458988.37669*100)</f>
        <v>6.0676330260312721</v>
      </c>
      <c r="E10" s="15">
        <f>IF(74887.19402="","-",74887.19402/1389017.92207*100)</f>
        <v>5.3913770895337683</v>
      </c>
      <c r="F10" s="15">
        <f>IF(OR(902994.52425="",94699.91074="",88526.06059=""),"-",(88526.06059-94699.91074)/902994.52425*100)</f>
        <v>-0.68370848152460573</v>
      </c>
      <c r="G10" s="15">
        <f>IF(OR(1458988.37669="",74887.19402="",88526.06059=""),"-",(74887.19402-88526.06059)/1458988.37669*100)</f>
        <v>-0.93481667077721553</v>
      </c>
    </row>
    <row r="11" spans="1:7" ht="15.75" customHeight="1" x14ac:dyDescent="0.3">
      <c r="A11" s="26" t="s">
        <v>298</v>
      </c>
      <c r="B11" s="10">
        <v>51807.79782</v>
      </c>
      <c r="C11" s="15" t="s">
        <v>100</v>
      </c>
      <c r="D11" s="15">
        <f>IF(31465.69574="","-",31465.69574/1458988.37669*100)</f>
        <v>2.1566789868049581</v>
      </c>
      <c r="E11" s="15">
        <f>IF(51807.79782="","-",51807.79782/1389017.92207*100)</f>
        <v>3.7298149287226496</v>
      </c>
      <c r="F11" s="15">
        <f>IF(OR(902994.52425="",27703.77848="",31465.69574=""),"-",(31465.69574-27703.77848)/902994.52425*100)</f>
        <v>0.41660465916164141</v>
      </c>
      <c r="G11" s="15">
        <f>IF(OR(1458988.37669="",51807.79782="",31465.69574=""),"-",(51807.79782-31465.69574)/1458988.37669*100)</f>
        <v>1.3942607360690584</v>
      </c>
    </row>
    <row r="12" spans="1:7" s="5" customFormat="1" x14ac:dyDescent="0.3">
      <c r="A12" s="26" t="s">
        <v>5</v>
      </c>
      <c r="B12" s="10">
        <v>36201.67512</v>
      </c>
      <c r="C12" s="15">
        <f>IF(OR(42853.64251="",36201.67512=""),"-",36201.67512/42853.64251*100)</f>
        <v>84.477474958055794</v>
      </c>
      <c r="D12" s="15">
        <f>IF(42853.64251="","-",42853.64251/1458988.37669*100)</f>
        <v>2.9372161694133472</v>
      </c>
      <c r="E12" s="15">
        <f>IF(36201.67512="","-",36201.67512/1389017.92207*100)</f>
        <v>2.6062784752301851</v>
      </c>
      <c r="F12" s="15">
        <f>IF(OR(902994.52425="",36254.0642="",42853.64251=""),"-",(42853.64251-36254.0642)/902994.52425*100)</f>
        <v>0.73085474305410736</v>
      </c>
      <c r="G12" s="15">
        <f>IF(OR(1458988.37669="",36201.67512="",42853.64251=""),"-",(36201.67512-42853.64251)/1458988.37669*100)</f>
        <v>-0.45593011543322126</v>
      </c>
    </row>
    <row r="13" spans="1:7" s="5" customFormat="1" x14ac:dyDescent="0.3">
      <c r="A13" s="26" t="s">
        <v>38</v>
      </c>
      <c r="B13" s="10">
        <v>28679.271860000001</v>
      </c>
      <c r="C13" s="15" t="s">
        <v>195</v>
      </c>
      <c r="D13" s="15">
        <f>IF(13167.58933="","-",13167.58933/1458988.37669*100)</f>
        <v>0.90251502619049295</v>
      </c>
      <c r="E13" s="15">
        <f>IF(28679.27186="","-",28679.27186/1389017.92207*100)</f>
        <v>2.064715753793902</v>
      </c>
      <c r="F13" s="15">
        <f>IF(OR(902994.52425="",16462.4502="",13167.58933=""),"-",(13167.58933-16462.4502)/902994.52425*100)</f>
        <v>-0.3648816002219516</v>
      </c>
      <c r="G13" s="15">
        <f>IF(OR(1458988.37669="",28679.27186="",13167.58933=""),"-",(28679.27186-13167.58933)/1458988.37669*100)</f>
        <v>1.0631806790120755</v>
      </c>
    </row>
    <row r="14" spans="1:7" s="5" customFormat="1" x14ac:dyDescent="0.3">
      <c r="A14" s="26" t="s">
        <v>45</v>
      </c>
      <c r="B14" s="10">
        <v>21698.600299999998</v>
      </c>
      <c r="C14" s="15" t="s">
        <v>343</v>
      </c>
      <c r="D14" s="15">
        <f>IF(9057.91386="","-",9057.91386/1458988.37669*100)</f>
        <v>0.62083523109002736</v>
      </c>
      <c r="E14" s="15">
        <f>IF(21698.6003="","-",21698.6003/1389017.92207*100)</f>
        <v>1.5621540914075038</v>
      </c>
      <c r="F14" s="15">
        <f>IF(OR(902994.52425="",2268.20821="",9057.91386=""),"-",(9057.91386-2268.20821)/902994.52425*100)</f>
        <v>0.75190994714384629</v>
      </c>
      <c r="G14" s="15">
        <f>IF(OR(1458988.37669="",21698.6003="",9057.91386=""),"-",(21698.6003-9057.91386)/1458988.37669*100)</f>
        <v>0.86640076384144082</v>
      </c>
    </row>
    <row r="15" spans="1:7" s="5" customFormat="1" x14ac:dyDescent="0.3">
      <c r="A15" s="26" t="s">
        <v>290</v>
      </c>
      <c r="B15" s="10">
        <v>17839.346109999999</v>
      </c>
      <c r="C15" s="15">
        <f>IF(OR(16452.67202="",17839.34611=""),"-",17839.34611/16452.67202*100)</f>
        <v>108.42826070023364</v>
      </c>
      <c r="D15" s="15">
        <f>IF(16452.67202="","-",16452.67202/1458988.37669*100)</f>
        <v>1.1276767027662071</v>
      </c>
      <c r="E15" s="15">
        <f>IF(17839.34611="","-",17839.34611/1389017.92207*100)</f>
        <v>1.2843136021898627</v>
      </c>
      <c r="F15" s="15">
        <f>IF(OR(902994.52425="",12487.16734="",16452.67202=""),"-",(16452.67202-12487.16734)/902994.52425*100)</f>
        <v>0.43915046808214375</v>
      </c>
      <c r="G15" s="15">
        <f>IF(OR(1458988.37669="",17839.34611="",16452.67202=""),"-",(17839.34611-16452.67202)/1458988.37669*100)</f>
        <v>9.5043532364934777E-2</v>
      </c>
    </row>
    <row r="16" spans="1:7" s="5" customFormat="1" x14ac:dyDescent="0.3">
      <c r="A16" s="26" t="s">
        <v>6</v>
      </c>
      <c r="B16" s="10">
        <v>17817.109400000001</v>
      </c>
      <c r="C16" s="15">
        <f>IF(OR(63081.38038="",17817.1094=""),"-",17817.1094/63081.38038*100)</f>
        <v>28.24464095850529</v>
      </c>
      <c r="D16" s="15">
        <f>IF(63081.38038="","-",63081.38038/1458988.37669*100)</f>
        <v>4.3236383091078787</v>
      </c>
      <c r="E16" s="15">
        <f>IF(17817.1094="","-",17817.1094/1389017.92207*100)</f>
        <v>1.28271270779918</v>
      </c>
      <c r="F16" s="15">
        <f>IF(OR(902994.52425="",13121.33735="",63081.38038=""),"-",(63081.38038-13121.33735)/902994.52425*100)</f>
        <v>5.5327071968122175</v>
      </c>
      <c r="G16" s="15">
        <f>IF(OR(1458988.37669="",17817.1094="",63081.38038=""),"-",(17817.1094-63081.38038)/1458988.37669*100)</f>
        <v>-3.1024421923559689</v>
      </c>
    </row>
    <row r="17" spans="1:7" s="5" customFormat="1" x14ac:dyDescent="0.3">
      <c r="A17" s="26" t="s">
        <v>40</v>
      </c>
      <c r="B17" s="10">
        <v>17295.805639999999</v>
      </c>
      <c r="C17" s="15">
        <f>IF(OR(18314.69488="",17295.80564=""),"-",17295.80564/18314.69488*100)</f>
        <v>94.436766505388817</v>
      </c>
      <c r="D17" s="15">
        <f>IF(18314.69488="","-",18314.69488/1458988.37669*100)</f>
        <v>1.2553009449979622</v>
      </c>
      <c r="E17" s="15">
        <f>IF(17295.80564="","-",17295.80564/1389017.92207*100)</f>
        <v>1.2451823237978616</v>
      </c>
      <c r="F17" s="15">
        <f>IF(OR(902994.52425="",14206.46289="",18314.69488=""),"-",(18314.69488-14206.46289)/902994.52425*100)</f>
        <v>0.45495646758347424</v>
      </c>
      <c r="G17" s="15">
        <f>IF(OR(1458988.37669="",17295.80564="",18314.69488=""),"-",(17295.80564-18314.69488)/1458988.37669*100)</f>
        <v>-6.9835322630297403E-2</v>
      </c>
    </row>
    <row r="18" spans="1:7" s="7" customFormat="1" x14ac:dyDescent="0.3">
      <c r="A18" s="26" t="s">
        <v>8</v>
      </c>
      <c r="B18" s="10">
        <v>12808.54243</v>
      </c>
      <c r="C18" s="15">
        <f>IF(OR(17033.46254="",12808.54243=""),"-",12808.54243/17033.46254*100)</f>
        <v>75.196351886302963</v>
      </c>
      <c r="D18" s="15">
        <f>IF(17033.46254="","-",17033.46254/1458988.37669*100)</f>
        <v>1.1674844578709898</v>
      </c>
      <c r="E18" s="15">
        <f>IF(12808.54243="","-",12808.54243/1389017.92207*100)</f>
        <v>0.92212938555262991</v>
      </c>
      <c r="F18" s="15">
        <f>IF(OR(902994.52425="",9584.26753="",17033.46254=""),"-",(17033.46254-9584.26753)/902994.52425*100)</f>
        <v>0.82494354173266748</v>
      </c>
      <c r="G18" s="15">
        <f>IF(OR(1458988.37669="",12808.54243="",17033.46254=""),"-",(12808.54243-17033.46254)/1458988.37669*100)</f>
        <v>-0.28957873671242373</v>
      </c>
    </row>
    <row r="19" spans="1:7" s="5" customFormat="1" x14ac:dyDescent="0.3">
      <c r="A19" s="26" t="s">
        <v>304</v>
      </c>
      <c r="B19" s="10">
        <v>12343.42914</v>
      </c>
      <c r="C19" s="15">
        <f>IF(OR(26061.08094="",12343.42914=""),"-",12343.42914/26061.08094*100)</f>
        <v>47.363458056164575</v>
      </c>
      <c r="D19" s="15">
        <f>IF(26061.08094="","-",26061.08094/1458988.37669*100)</f>
        <v>1.7862432186831159</v>
      </c>
      <c r="E19" s="15">
        <f>IF(12343.42914="","-",12343.42914/1389017.92207*100)</f>
        <v>0.8886443395636725</v>
      </c>
      <c r="F19" s="15">
        <f>IF(OR(902994.52425="",13178.07129="",26061.08094=""),"-",(26061.08094-13178.07129)/902994.52425*100)</f>
        <v>1.4266985351544894</v>
      </c>
      <c r="G19" s="15">
        <f>IF(OR(1458988.37669="",12343.42914="",26061.08094=""),"-",(12343.42914-26061.08094)/1458988.37669*100)</f>
        <v>-0.94021666102105417</v>
      </c>
    </row>
    <row r="20" spans="1:7" s="5" customFormat="1" x14ac:dyDescent="0.3">
      <c r="A20" s="26" t="s">
        <v>41</v>
      </c>
      <c r="B20" s="10">
        <v>7740.3128500000003</v>
      </c>
      <c r="C20" s="15" t="s">
        <v>195</v>
      </c>
      <c r="D20" s="15">
        <f>IF(3479.2269="","-",3479.2269/1458988.37669*100)</f>
        <v>0.23846844536851661</v>
      </c>
      <c r="E20" s="15">
        <f>IF(7740.31285="","-",7740.31285/1389017.92207*100)</f>
        <v>0.55725075443698446</v>
      </c>
      <c r="F20" s="15">
        <f>IF(OR(902994.52425="",2747.05585="",3479.2269=""),"-",(3479.2269-2747.05585)/902994.52425*100)</f>
        <v>8.1082557018617482E-2</v>
      </c>
      <c r="G20" s="15">
        <f>IF(OR(1458988.37669="",7740.31285="",3479.2269=""),"-",(7740.31285-3479.2269)/1458988.37669*100)</f>
        <v>0.29205756660427318</v>
      </c>
    </row>
    <row r="21" spans="1:7" s="5" customFormat="1" x14ac:dyDescent="0.3">
      <c r="A21" s="26" t="s">
        <v>39</v>
      </c>
      <c r="B21" s="10">
        <v>4875.4188899999999</v>
      </c>
      <c r="C21" s="15">
        <f>IF(OR(6732.21748="",4875.41889=""),"-",4875.41889/6732.21748*100)</f>
        <v>72.419212606898725</v>
      </c>
      <c r="D21" s="15">
        <f>IF(6732.21748="","-",6732.21748/1458988.37669*100)</f>
        <v>0.46143050812189124</v>
      </c>
      <c r="E21" s="15">
        <f>IF(4875.41889="","-",4875.41889/1389017.92207*100)</f>
        <v>0.35099755104198727</v>
      </c>
      <c r="F21" s="15">
        <f>IF(OR(902994.52425="",7614.34821="",6732.21748=""),"-",(6732.21748-7614.34821)/902994.52425*100)</f>
        <v>-9.7689488287060325E-2</v>
      </c>
      <c r="G21" s="15">
        <f>IF(OR(1458988.37669="",4875.41889="",6732.21748=""),"-",(4875.41889-6732.21748)/1458988.37669*100)</f>
        <v>-0.12726616741200572</v>
      </c>
    </row>
    <row r="22" spans="1:7" s="5" customFormat="1" x14ac:dyDescent="0.3">
      <c r="A22" s="26" t="s">
        <v>7</v>
      </c>
      <c r="B22" s="10">
        <v>4443.2914300000002</v>
      </c>
      <c r="C22" s="15">
        <f>IF(OR(7399.36692="",4443.29143=""),"-",4443.29143/7399.36692*100)</f>
        <v>60.04961610959009</v>
      </c>
      <c r="D22" s="15">
        <f>IF(7399.36692="","-",7399.36692/1458988.37669*100)</f>
        <v>0.50715735904537551</v>
      </c>
      <c r="E22" s="15">
        <f>IF(4443.29143="","-",4443.29143/1389017.92207*100)</f>
        <v>0.31988726418866748</v>
      </c>
      <c r="F22" s="15">
        <f>IF(OR(902994.52425="",7604.99096="",7399.36692=""),"-",(7399.36692-7604.99096)/902994.52425*100)</f>
        <v>-2.2771349601569825E-2</v>
      </c>
      <c r="G22" s="15">
        <f>IF(OR(1458988.37669="",4443.29143="",7399.36692=""),"-",(4443.29143-7399.36692)/1458988.37669*100)</f>
        <v>-0.20261131186709208</v>
      </c>
    </row>
    <row r="23" spans="1:7" s="5" customFormat="1" x14ac:dyDescent="0.3">
      <c r="A23" s="26" t="s">
        <v>42</v>
      </c>
      <c r="B23" s="10">
        <v>4369.66543</v>
      </c>
      <c r="C23" s="15">
        <f>IF(OR(3505.90559="",4369.66543=""),"-",4369.66543/3505.90559*100)</f>
        <v>124.6372818042713</v>
      </c>
      <c r="D23" s="15">
        <f>IF(3505.90559="","-",3505.90559/1458988.37669*100)</f>
        <v>0.24029701990867336</v>
      </c>
      <c r="E23" s="15">
        <f>IF(4369.66543="","-",4369.66543/1389017.92207*100)</f>
        <v>0.3145866846331295</v>
      </c>
      <c r="F23" s="15">
        <f>IF(OR(902994.52425="",4726.54953="",3505.90559=""),"-",(3505.90559-4726.54953)/902994.52425*100)</f>
        <v>-0.13517733576666263</v>
      </c>
      <c r="G23" s="15">
        <f>IF(OR(1458988.37669="",4369.66543="",3505.90559=""),"-",(4369.66543-3505.90559)/1458988.37669*100)</f>
        <v>5.9202653962165751E-2</v>
      </c>
    </row>
    <row r="24" spans="1:7" s="5" customFormat="1" x14ac:dyDescent="0.3">
      <c r="A24" s="26" t="s">
        <v>43</v>
      </c>
      <c r="B24" s="10">
        <v>2307.94065</v>
      </c>
      <c r="C24" s="15">
        <f>IF(OR(1761.44484="",2307.94065=""),"-",2307.94065/1761.44484*100)</f>
        <v>131.02542853399825</v>
      </c>
      <c r="D24" s="15">
        <f>IF(1761.44484="","-",1761.44484/1458988.37669*100)</f>
        <v>0.12073056017047797</v>
      </c>
      <c r="E24" s="15">
        <f>IF(2307.94065="","-",2307.94065/1389017.92207*100)</f>
        <v>0.16615629023422279</v>
      </c>
      <c r="F24" s="15">
        <f>IF(OR(902994.52425="",1911.25304="",1761.44484=""),"-",(1761.44484-1911.25304)/902994.52425*100)</f>
        <v>-1.6590155972919782E-2</v>
      </c>
      <c r="G24" s="15">
        <f>IF(OR(1458988.37669="",2307.94065="",1761.44484=""),"-",(2307.94065-1761.44484)/1458988.37669*100)</f>
        <v>3.7457173664387396E-2</v>
      </c>
    </row>
    <row r="25" spans="1:7" s="2" customFormat="1" x14ac:dyDescent="0.3">
      <c r="A25" s="26" t="s">
        <v>44</v>
      </c>
      <c r="B25" s="10">
        <v>1335.61609</v>
      </c>
      <c r="C25" s="15">
        <f>IF(OR(1170.51019="",1335.61609=""),"-",1335.61609/1170.51019*100)</f>
        <v>114.10546455815135</v>
      </c>
      <c r="D25" s="15">
        <f>IF(1170.51019="","-",1170.51019/1458988.37669*100)</f>
        <v>8.0227519883025442E-2</v>
      </c>
      <c r="E25" s="15">
        <f>IF(1335.61609="","-",1335.61609/1389017.92207*100)</f>
        <v>9.6155425266909636E-2</v>
      </c>
      <c r="F25" s="15">
        <f>IF(OR(902994.52425="",918.35283="",1170.51019=""),"-",(1170.51019-918.35283)/902994.52425*100)</f>
        <v>2.7924572434083608E-2</v>
      </c>
      <c r="G25" s="15">
        <f>IF(OR(1458988.37669="",1335.61609="",1170.51019=""),"-",(1335.61609-1170.51019)/1458988.37669*100)</f>
        <v>1.1316464382983981E-2</v>
      </c>
    </row>
    <row r="26" spans="1:7" s="2" customFormat="1" x14ac:dyDescent="0.3">
      <c r="A26" s="26" t="s">
        <v>291</v>
      </c>
      <c r="B26" s="10">
        <v>697.85565999999994</v>
      </c>
      <c r="C26" s="15">
        <f>IF(OR(525.95041="",697.85566=""),"-",697.85566/525.95041*100)</f>
        <v>132.68468789671633</v>
      </c>
      <c r="D26" s="15">
        <f>IF(525.95041="","-",525.95041/1458988.37669*100)</f>
        <v>3.6048978758365519E-2</v>
      </c>
      <c r="E26" s="15">
        <f>IF(697.85566="","-",697.85566/1389017.92207*100)</f>
        <v>5.0240939941222099E-2</v>
      </c>
      <c r="F26" s="15">
        <f>IF(OR(902994.52425="",117.0098="",525.95041=""),"-",(525.95041-117.0098)/902994.52425*100)</f>
        <v>4.5287163877284167E-2</v>
      </c>
      <c r="G26" s="15">
        <f>IF(OR(1458988.37669="",697.85566="",525.95041=""),"-",(697.85566-525.95041)/1458988.37669*100)</f>
        <v>1.1782496197125335E-2</v>
      </c>
    </row>
    <row r="27" spans="1:7" s="5" customFormat="1" x14ac:dyDescent="0.3">
      <c r="A27" s="26" t="s">
        <v>46</v>
      </c>
      <c r="B27" s="10">
        <v>615.21076000000005</v>
      </c>
      <c r="C27" s="15">
        <f>IF(OR(551.95206="",615.21076=""),"-",615.21076/551.95206*100)</f>
        <v>111.46090477495456</v>
      </c>
      <c r="D27" s="15">
        <f>IF(551.95206="","-",551.95206/1458988.37669*100)</f>
        <v>3.7831148542266727E-2</v>
      </c>
      <c r="E27" s="15">
        <f>IF(615.21076="","-",615.21076/1389017.92207*100)</f>
        <v>4.4291059908224586E-2</v>
      </c>
      <c r="F27" s="15">
        <f>IF(OR(902994.52425="",684.40094="",551.95206=""),"-",(551.95206-684.40094)/902994.52425*100)</f>
        <v>-1.4667738999858064E-2</v>
      </c>
      <c r="G27" s="15">
        <f>IF(OR(1458988.37669="",615.21076="",551.95206=""),"-",(615.21076-551.95206)/1458988.37669*100)</f>
        <v>4.3357919097008028E-3</v>
      </c>
    </row>
    <row r="28" spans="1:7" s="5" customFormat="1" x14ac:dyDescent="0.3">
      <c r="A28" s="26" t="s">
        <v>49</v>
      </c>
      <c r="B28" s="10">
        <v>339.71177999999998</v>
      </c>
      <c r="C28" s="15">
        <f>IF(OR(14093.70708="",339.71178=""),"-",339.71178/14093.70708*100)</f>
        <v>2.4103791718651215</v>
      </c>
      <c r="D28" s="15">
        <f>IF(14093.70708="","-",14093.70708/1458988.37669*100)</f>
        <v>0.96599173133745764</v>
      </c>
      <c r="E28" s="15">
        <f>IF(339.71178="","-",339.71178/1389017.92207*100)</f>
        <v>2.4456976011781085E-2</v>
      </c>
      <c r="F28" s="15">
        <f>IF(OR(902994.52425="",8760.01223="",14093.70708=""),"-",(14093.70708-8760.01223)/902994.52425*100)</f>
        <v>0.59066746328611519</v>
      </c>
      <c r="G28" s="15">
        <f>IF(OR(1458988.37669="",339.71178="",14093.70708=""),"-",(339.71178-14093.70708)/1458988.37669*100)</f>
        <v>-0.94270766784336035</v>
      </c>
    </row>
    <row r="29" spans="1:7" s="2" customFormat="1" x14ac:dyDescent="0.3">
      <c r="A29" s="26" t="s">
        <v>51</v>
      </c>
      <c r="B29" s="10">
        <v>266.3152</v>
      </c>
      <c r="C29" s="15">
        <f>IF(OR(310.17069="",266.3152=""),"-",266.3152/310.17069*100)</f>
        <v>85.860852938748025</v>
      </c>
      <c r="D29" s="15">
        <f>IF(310.17069="","-",310.17069/1458988.37669*100)</f>
        <v>2.1259298220297183E-2</v>
      </c>
      <c r="E29" s="15">
        <f>IF(266.3152="","-",266.3152/1389017.92207*100)</f>
        <v>1.9172913161776967E-2</v>
      </c>
      <c r="F29" s="15">
        <f>IF(OR(902994.52425="",262.90567="",310.17069=""),"-",(310.17069-262.90567)/902994.52425*100)</f>
        <v>5.2342532242105116E-3</v>
      </c>
      <c r="G29" s="15">
        <f>IF(OR(1458988.37669="",266.3152="",310.17069=""),"-",(266.3152-310.17069)/1458988.37669*100)</f>
        <v>-3.0058834395579434E-3</v>
      </c>
    </row>
    <row r="30" spans="1:7" s="2" customFormat="1" x14ac:dyDescent="0.3">
      <c r="A30" s="26" t="s">
        <v>48</v>
      </c>
      <c r="B30" s="10">
        <v>249.20124999999999</v>
      </c>
      <c r="C30" s="15">
        <f>IF(OR(527.24272="",249.20125=""),"-",249.20125/527.24272*100)</f>
        <v>47.264995901697802</v>
      </c>
      <c r="D30" s="15">
        <f>IF(527.24272="","-",527.24272/1458988.37669*100)</f>
        <v>3.6137554515420674E-2</v>
      </c>
      <c r="E30" s="15">
        <f>IF(249.20125="","-",249.20125/1389017.92207*100)</f>
        <v>1.7940823227725163E-2</v>
      </c>
      <c r="F30" s="15">
        <f>IF(OR(902994.52425="",214.44301="",527.24272=""),"-",(527.24272-214.44301)/902994.52425*100)</f>
        <v>3.4640266535370411E-2</v>
      </c>
      <c r="G30" s="15">
        <f>IF(OR(1458988.37669="",249.20125="",527.24272=""),"-",(249.20125-527.24272)/1458988.37669*100)</f>
        <v>-1.9057140854733288E-2</v>
      </c>
    </row>
    <row r="31" spans="1:7" s="2" customFormat="1" x14ac:dyDescent="0.3">
      <c r="A31" s="26" t="s">
        <v>47</v>
      </c>
      <c r="B31" s="10">
        <v>157.98065</v>
      </c>
      <c r="C31" s="15" t="s">
        <v>303</v>
      </c>
      <c r="D31" s="15">
        <f>IF(51.24018="","-",51.24018/1458988.37669*100)</f>
        <v>3.5120348330840278E-3</v>
      </c>
      <c r="E31" s="15">
        <f>IF(157.98065="","-",157.98065/1389017.92207*100)</f>
        <v>1.1373550152943132E-2</v>
      </c>
      <c r="F31" s="15">
        <f>IF(OR(902994.52425="",545.38369="",51.24018=""),"-",(51.24018-545.38369)/902994.52425*100)</f>
        <v>-5.472275819284958E-2</v>
      </c>
      <c r="G31" s="15">
        <f>IF(OR(1458988.37669="",157.98065="",51.24018=""),"-",(157.98065-51.24018)/1458988.37669*100)</f>
        <v>7.3160603405327722E-3</v>
      </c>
    </row>
    <row r="32" spans="1:7" s="2" customFormat="1" x14ac:dyDescent="0.3">
      <c r="A32" s="26" t="s">
        <v>50</v>
      </c>
      <c r="B32" s="10">
        <v>60.82882</v>
      </c>
      <c r="C32" s="15" t="s">
        <v>344</v>
      </c>
      <c r="D32" s="15">
        <f>IF(10.2437="","-",10.2437/1458988.37669*100)</f>
        <v>7.0210977439311975E-4</v>
      </c>
      <c r="E32" s="15">
        <f>IF(60.82882="","-",60.82882/1389017.92207*100)</f>
        <v>4.3792681889481414E-3</v>
      </c>
      <c r="F32" s="15">
        <f>IF(OR(902994.52425="",75.22038="",10.2437=""),"-",(10.2437-75.22038)/902994.52425*100)</f>
        <v>-7.1956892600171267E-3</v>
      </c>
      <c r="G32" s="15">
        <f>IF(OR(1458988.37669="",60.82882="",10.2437=""),"-",(60.82882-10.2437)/1458988.37669*100)</f>
        <v>3.4671366001394902E-3</v>
      </c>
    </row>
    <row r="33" spans="1:7" s="2" customFormat="1" x14ac:dyDescent="0.3">
      <c r="A33" s="26" t="s">
        <v>52</v>
      </c>
      <c r="B33" s="10">
        <v>4.3075700000000001</v>
      </c>
      <c r="C33" s="15" t="str">
        <f>IF(OR(""="",4.30757=""),"-",4.30757/""*100)</f>
        <v>-</v>
      </c>
      <c r="D33" s="15" t="str">
        <f>IF(""="","-",""/1458988.37669*100)</f>
        <v>-</v>
      </c>
      <c r="E33" s="15">
        <f>IF(4.30757="","-",4.30757/1389017.92207*100)</f>
        <v>3.101162289958501E-4</v>
      </c>
      <c r="F33" s="15" t="str">
        <f>IF(OR(902994.52425="",3.64614="",""=""),"-",(""-3.64614)/902994.52425*100)</f>
        <v>-</v>
      </c>
      <c r="G33" s="15" t="str">
        <f>IF(OR(1458988.37669="",4.30757="",""=""),"-",(4.30757-"")/1458988.37669*100)</f>
        <v>-</v>
      </c>
    </row>
    <row r="34" spans="1:7" s="6" customFormat="1" ht="14.25" customHeight="1" x14ac:dyDescent="0.25">
      <c r="A34" s="26" t="s">
        <v>53</v>
      </c>
      <c r="B34" s="10">
        <v>1.7176199999999999</v>
      </c>
      <c r="C34" s="15">
        <f>IF(OR(2.60334="",1.71762=""),"-",1.71762/2.60334*100)</f>
        <v>65.977551914079598</v>
      </c>
      <c r="D34" s="15">
        <f>IF(2.60334="","-",2.60334/1458988.37669*100)</f>
        <v>1.7843459492845209E-4</v>
      </c>
      <c r="E34" s="15">
        <f>IF(1.71762="","-",1.71762/1389017.92207*100)</f>
        <v>1.2365715176952482E-4</v>
      </c>
      <c r="F34" s="15" t="str">
        <f>IF(OR(902994.52425="",""="",2.60334=""),"-",(2.60334-"")/902994.52425*100)</f>
        <v>-</v>
      </c>
      <c r="G34" s="15">
        <f>IF(OR(1458988.37669="",1.71762="",2.60334=""),"-",(1.71762-2.60334)/1458988.37669*100)</f>
        <v>-6.0707817426854971E-5</v>
      </c>
    </row>
    <row r="35" spans="1:7" s="6" customFormat="1" ht="14.25" customHeight="1" x14ac:dyDescent="0.25">
      <c r="A35" s="25" t="s">
        <v>133</v>
      </c>
      <c r="B35" s="9">
        <v>346534.93054999999</v>
      </c>
      <c r="C35" s="16" t="s">
        <v>101</v>
      </c>
      <c r="D35" s="16">
        <f>IF(178511.07855="","-",178511.07855/1458988.37669*100)</f>
        <v>12.235263926844107</v>
      </c>
      <c r="E35" s="16">
        <f>IF(346534.93055="","-",346534.93055/1389017.92207*100)</f>
        <v>24.948197215020258</v>
      </c>
      <c r="F35" s="16">
        <f>IF(902994.52425="","-",(178511.07855-144264.37245)/902994.52425*100)</f>
        <v>3.7925707388363503</v>
      </c>
      <c r="G35" s="16">
        <f>IF(1458988.37669="","-",(346534.93055-178511.07855)/1458988.37669*100)</f>
        <v>11.516462686371423</v>
      </c>
    </row>
    <row r="36" spans="1:7" s="6" customFormat="1" ht="14.25" customHeight="1" x14ac:dyDescent="0.25">
      <c r="A36" s="26" t="s">
        <v>10</v>
      </c>
      <c r="B36" s="10">
        <v>231345.55204000001</v>
      </c>
      <c r="C36" s="15" t="s">
        <v>313</v>
      </c>
      <c r="D36" s="15">
        <f>IF(78481.21173="","-",78481.21173/1458988.37669*100)</f>
        <v>5.3791526364349762</v>
      </c>
      <c r="E36" s="15">
        <f>IF(231345.55204="","-",231345.55204/1389017.92207*100)</f>
        <v>16.655332401703976</v>
      </c>
      <c r="F36" s="15">
        <f>IF(OR(902994.52425="",27370.52689="",78481.21173=""),"-",(78481.21173-27370.52689)/902994.52425*100)</f>
        <v>5.6601323117048778</v>
      </c>
      <c r="G36" s="15">
        <f>IF(OR(1458988.37669="",231345.55204="",78481.21173=""),"-",(231345.55204-78481.21173)/1458988.37669*100)</f>
        <v>10.477420022824486</v>
      </c>
    </row>
    <row r="37" spans="1:7" s="4" customFormat="1" ht="14.25" customHeight="1" x14ac:dyDescent="0.25">
      <c r="A37" s="26" t="s">
        <v>292</v>
      </c>
      <c r="B37" s="10">
        <v>56360.832199999997</v>
      </c>
      <c r="C37" s="15">
        <f>IF(OR(70347.74815="",56360.8322=""),"-",56360.8322/70347.74815*100)</f>
        <v>80.117464570186101</v>
      </c>
      <c r="D37" s="15">
        <f>IF(70347.74815="","-",70347.74815/1458988.37669*100)</f>
        <v>4.8216798210276082</v>
      </c>
      <c r="E37" s="15">
        <f>IF(56360.8322="","-",56360.8322/1389017.92207*100)</f>
        <v>4.057602951300125</v>
      </c>
      <c r="F37" s="15">
        <f>IF(OR(902994.52425="",85746.76765="",70347.74815=""),"-",(70347.74815-85746.76765)/902994.52425*100)</f>
        <v>-1.7053281151167505</v>
      </c>
      <c r="G37" s="15">
        <f>IF(OR(1458988.37669="",56360.8322="",70347.74815=""),"-",(56360.8322-70347.74815)/1458988.37669*100)</f>
        <v>-0.95867219872800158</v>
      </c>
    </row>
    <row r="38" spans="1:7" s="6" customFormat="1" ht="14.25" customHeight="1" x14ac:dyDescent="0.25">
      <c r="A38" s="26" t="s">
        <v>9</v>
      </c>
      <c r="B38" s="10">
        <v>32914.328139999998</v>
      </c>
      <c r="C38" s="15">
        <f>IF(OR(21458.43546="",32914.32814=""),"-",32914.32814/21458.43546*100)</f>
        <v>153.38643025189126</v>
      </c>
      <c r="D38" s="15">
        <f>IF(21458.43546="","-",21458.43546/1458988.37669*100)</f>
        <v>1.4707749426135013</v>
      </c>
      <c r="E38" s="15">
        <f>IF(32914.32814="","-",32914.32814/1389017.92207*100)</f>
        <v>2.3696114799547754</v>
      </c>
      <c r="F38" s="15">
        <f>IF(OR(902994.52425="",22684.58189="",21458.43546=""),"-",(21458.43546-22684.58189)/902994.52425*100)</f>
        <v>-0.13578669605094237</v>
      </c>
      <c r="G38" s="15">
        <f>IF(OR(1458988.37669="",32914.32814="",21458.43546=""),"-",(32914.32814-21458.43546)/1458988.37669*100)</f>
        <v>0.7851942389006501</v>
      </c>
    </row>
    <row r="39" spans="1:7" s="4" customFormat="1" ht="14.25" customHeight="1" x14ac:dyDescent="0.25">
      <c r="A39" s="26" t="s">
        <v>11</v>
      </c>
      <c r="B39" s="10">
        <v>15968.30154</v>
      </c>
      <c r="C39" s="15" t="s">
        <v>369</v>
      </c>
      <c r="D39" s="15">
        <f>IF(3285.26186="","-",3285.26186/1458988.37669*100)</f>
        <v>0.2251739570025402</v>
      </c>
      <c r="E39" s="15">
        <f>IF(15968.30154="","-",15968.30154/1389017.92207*100)</f>
        <v>1.1496109075542418</v>
      </c>
      <c r="F39" s="15">
        <f>IF(OR(902994.52425="",3784.59091="",3285.26186=""),"-",(3285.26186-3784.59091)/902994.52425*100)</f>
        <v>-5.5297018596511142E-2</v>
      </c>
      <c r="G39" s="15">
        <f>IF(OR(1458988.37669="",15968.30154="",3285.26186=""),"-",(15968.30154-3285.26186)/1458988.37669*100)</f>
        <v>0.8693036821015635</v>
      </c>
    </row>
    <row r="40" spans="1:7" s="4" customFormat="1" ht="14.25" customHeight="1" x14ac:dyDescent="0.25">
      <c r="A40" s="26" t="s">
        <v>13</v>
      </c>
      <c r="B40" s="10">
        <v>3056.1807800000001</v>
      </c>
      <c r="C40" s="15">
        <f>IF(OR(2537.20004="",3056.18078=""),"-",3056.18078/2537.20004*100)</f>
        <v>120.45486094190665</v>
      </c>
      <c r="D40" s="15">
        <f>IF(2537.20004="","-",2537.20004/1458988.37669*100)</f>
        <v>0.17390131960859986</v>
      </c>
      <c r="E40" s="15">
        <f>IF(3056.18078="","-",3056.18078/1389017.92207*100)</f>
        <v>0.22002457502099693</v>
      </c>
      <c r="F40" s="15">
        <f>IF(OR(902994.52425="",2352.41055="",2537.20004=""),"-",(2537.20004-2352.41055)/902994.52425*100)</f>
        <v>2.0464076474160316E-2</v>
      </c>
      <c r="G40" s="15">
        <f>IF(OR(1458988.37669="",3056.18078="",2537.20004=""),"-",(3056.18078-2537.20004)/1458988.37669*100)</f>
        <v>3.5571273102079748E-2</v>
      </c>
    </row>
    <row r="41" spans="1:7" s="4" customFormat="1" ht="14.25" customHeight="1" x14ac:dyDescent="0.25">
      <c r="A41" s="26" t="s">
        <v>299</v>
      </c>
      <c r="B41" s="10">
        <v>3048.0314800000001</v>
      </c>
      <c r="C41" s="15" t="s">
        <v>370</v>
      </c>
      <c r="D41" s="15">
        <f>IF(359.70117="","-",359.70117/1458988.37669*100)</f>
        <v>2.4654149117764208E-2</v>
      </c>
      <c r="E41" s="15">
        <f>IF(3048.03148="","-",3048.03148/1389017.92207*100)</f>
        <v>0.21943787992725361</v>
      </c>
      <c r="F41" s="15">
        <f>IF(OR(902994.52425="",412.00028="",359.70117=""),"-",(359.70117-412.00028)/902994.52425*100)</f>
        <v>-5.7917416546283094E-3</v>
      </c>
      <c r="G41" s="15">
        <f>IF(OR(1458988.37669="",3048.03148="",359.70117=""),"-",(3048.03148-359.70117)/1458988.37669*100)</f>
        <v>0.18425988533911439</v>
      </c>
    </row>
    <row r="42" spans="1:7" s="4" customFormat="1" ht="13.2" x14ac:dyDescent="0.25">
      <c r="A42" s="26" t="s">
        <v>12</v>
      </c>
      <c r="B42" s="10">
        <v>1718.1290799999999</v>
      </c>
      <c r="C42" s="15">
        <f>IF(OR(1107.67103="",1718.12908=""),"-",1718.12908/1107.67103*100)</f>
        <v>155.11185482570576</v>
      </c>
      <c r="D42" s="15">
        <f>IF(1107.67103="","-",1107.67103/1458988.37669*100)</f>
        <v>7.5920483514266779E-2</v>
      </c>
      <c r="E42" s="15">
        <f>IF(1718.12908="","-",1718.12908/1389017.92207*100)</f>
        <v>0.12369380212456425</v>
      </c>
      <c r="F42" s="15">
        <f>IF(OR(902994.52425="",1072.3301="",1107.67103=""),"-",(1107.67103-1072.3301)/902994.52425*100)</f>
        <v>3.9137479852774503E-3</v>
      </c>
      <c r="G42" s="15">
        <f>IF(OR(1458988.37669="",1718.12908="",1107.67103=""),"-",(1718.12908-1107.67103)/1458988.37669*100)</f>
        <v>4.1841186657356602E-2</v>
      </c>
    </row>
    <row r="43" spans="1:7" s="2" customFormat="1" x14ac:dyDescent="0.3">
      <c r="A43" s="26" t="s">
        <v>15</v>
      </c>
      <c r="B43" s="10">
        <v>1425.41455</v>
      </c>
      <c r="C43" s="15" t="s">
        <v>371</v>
      </c>
      <c r="D43" s="15">
        <f>IF(260.08935="","-",260.08935/1458988.37669*100)</f>
        <v>1.7826691024781394E-2</v>
      </c>
      <c r="E43" s="15">
        <f>IF(1425.41455="","-",1425.41455/1389017.92207*100)</f>
        <v>0.10262031377361634</v>
      </c>
      <c r="F43" s="15">
        <f>IF(OR(902994.52425="",314.44387="",260.08935=""),"-",(260.08935-314.44387)/902994.52425*100)</f>
        <v>-6.019363189953472E-3</v>
      </c>
      <c r="G43" s="15">
        <f>IF(OR(1458988.37669="",1425.41455="",260.08935=""),"-",(1425.41455-260.08935)/1458988.37669*100)</f>
        <v>7.9872137339693394E-2</v>
      </c>
    </row>
    <row r="44" spans="1:7" s="2" customFormat="1" x14ac:dyDescent="0.3">
      <c r="A44" s="26" t="s">
        <v>14</v>
      </c>
      <c r="B44" s="10">
        <v>622.22747000000004</v>
      </c>
      <c r="C44" s="15">
        <f>IF(OR(653.82758="",622.22747=""),"-",622.22747/653.82758*100)</f>
        <v>95.166904705977686</v>
      </c>
      <c r="D44" s="15">
        <f>IF(653.82758="","-",653.82758/1458988.37669*100)</f>
        <v>4.4813762086531185E-2</v>
      </c>
      <c r="E44" s="15">
        <f>IF(622.22747="","-",622.22747/1389017.92207*100)</f>
        <v>4.4796216097249368E-2</v>
      </c>
      <c r="F44" s="15">
        <f>IF(OR(902994.52425="",390.37457="",653.82758=""),"-",(653.82758-390.37457)/902994.52425*100)</f>
        <v>2.9175482566609817E-2</v>
      </c>
      <c r="G44" s="15">
        <f>IF(OR(1458988.37669="",622.22747="",653.82758=""),"-",(622.22747-653.82758)/1458988.37669*100)</f>
        <v>-2.1658918264784938E-3</v>
      </c>
    </row>
    <row r="45" spans="1:7" s="5" customFormat="1" x14ac:dyDescent="0.3">
      <c r="A45" s="26" t="s">
        <v>16</v>
      </c>
      <c r="B45" s="10">
        <v>75.933269999999993</v>
      </c>
      <c r="C45" s="15" t="s">
        <v>332</v>
      </c>
      <c r="D45" s="15">
        <f>IF(19.93218="","-",19.93218/1458988.37669*100)</f>
        <v>1.3661644135383752E-3</v>
      </c>
      <c r="E45" s="15">
        <f>IF(75.93327="","-",75.93327/1389017.92207*100)</f>
        <v>5.4666875634577531E-3</v>
      </c>
      <c r="F45" s="15">
        <f>IF(OR(902994.52425="",136.34574="",19.93218=""),"-",(19.93218-136.34574)/902994.52425*100)</f>
        <v>-1.2891945285791139E-2</v>
      </c>
      <c r="G45" s="15">
        <f>IF(OR(1458988.37669="",75.93327="",19.93218=""),"-",(75.93327-19.93218)/1458988.37669*100)</f>
        <v>3.8383506609593011E-3</v>
      </c>
    </row>
    <row r="46" spans="1:7" s="2" customFormat="1" x14ac:dyDescent="0.3">
      <c r="A46" s="25" t="s">
        <v>134</v>
      </c>
      <c r="B46" s="9">
        <v>180828.98785</v>
      </c>
      <c r="C46" s="16">
        <f>IF(309133.43028="","-",180828.98785/309133.43028*100)</f>
        <v>58.495448934854046</v>
      </c>
      <c r="D46" s="16">
        <f>IF(309133.43028="","-",309133.43028/1458988.37669*100)</f>
        <v>21.188203773173949</v>
      </c>
      <c r="E46" s="16">
        <f>IF(180828.98785="","-",180828.98785/1389017.92207*100)</f>
        <v>13.018477657978488</v>
      </c>
      <c r="F46" s="16">
        <f>IF(902994.52425="","-",(309133.43028-176783.8901)/902994.52425*100)</f>
        <v>14.656737845661413</v>
      </c>
      <c r="G46" s="16">
        <f>IF(1458988.37669="","-",(180828.98785-309133.43028)/1458988.37669*100)</f>
        <v>-8.7940688548241646</v>
      </c>
    </row>
    <row r="47" spans="1:7" s="7" customFormat="1" x14ac:dyDescent="0.3">
      <c r="A47" s="67" t="s">
        <v>54</v>
      </c>
      <c r="B47" s="64">
        <v>55313.50909</v>
      </c>
      <c r="C47" s="15">
        <f>IF(OR(147483.89854="",55313.50909=""),"-",55313.50909/147483.89854*100)</f>
        <v>37.504778241943541</v>
      </c>
      <c r="D47" s="15">
        <f>IF(147483.89854="","-",147483.89854/1458988.37669*100)</f>
        <v>10.108641089697782</v>
      </c>
      <c r="E47" s="15">
        <f>IF(55313.50909="","-",55313.50909/1389017.92207*100)</f>
        <v>3.9822026923575184</v>
      </c>
      <c r="F47" s="15">
        <f>IF(OR(902994.52425="",88013.51097="",147483.89854=""),"-",(147483.89854-88013.51097)/902994.52425*100)</f>
        <v>6.5859078845903642</v>
      </c>
      <c r="G47" s="15">
        <f>IF(OR(1458988.37669="",55313.50909="",147483.89854=""),"-",(55313.50909-147483.89854)/1458988.37669*100)</f>
        <v>-6.3174176657326431</v>
      </c>
    </row>
    <row r="48" spans="1:7" s="5" customFormat="1" x14ac:dyDescent="0.3">
      <c r="A48" s="26" t="s">
        <v>17</v>
      </c>
      <c r="B48" s="10">
        <v>18278.004819999998</v>
      </c>
      <c r="C48" s="15">
        <f>IF(OR(13829.20966="",18278.00482=""),"-",18278.00482/13829.20966*100)</f>
        <v>132.16955465551891</v>
      </c>
      <c r="D48" s="15">
        <f>IF(13829.20966="","-",13829.20966/1458988.37669*100)</f>
        <v>0.94786290836492215</v>
      </c>
      <c r="E48" s="15">
        <f>IF(18278.00482="","-",18278.00482/1389017.92207*100)</f>
        <v>1.3158940953591867</v>
      </c>
      <c r="F48" s="15">
        <f>IF(OR(902994.52425="",7408.27793="",13829.20966=""),"-",(13829.20966-7408.27793)/902994.52425*100)</f>
        <v>0.7110709486674941</v>
      </c>
      <c r="G48" s="15">
        <f>IF(OR(1458988.37669="",18278.00482="",13829.20966=""),"-",(18278.00482-13829.20966)/1458988.37669*100)</f>
        <v>0.30492327636584454</v>
      </c>
    </row>
    <row r="49" spans="1:7" s="2" customFormat="1" x14ac:dyDescent="0.3">
      <c r="A49" s="26" t="s">
        <v>58</v>
      </c>
      <c r="B49" s="10">
        <v>18200.275160000001</v>
      </c>
      <c r="C49" s="15">
        <f>IF(OR(12994.01739="",18200.27516=""),"-",18200.27516/12994.01739*100)</f>
        <v>140.0665753611093</v>
      </c>
      <c r="D49" s="15">
        <f>IF(12994.01739="","-",12994.01739/1458988.37669*100)</f>
        <v>0.89061829399076264</v>
      </c>
      <c r="E49" s="15">
        <f>IF(18200.27516="","-",18200.27516/1389017.92207*100)</f>
        <v>1.3102980797308093</v>
      </c>
      <c r="F49" s="15">
        <f>IF(OR(902994.52425="",9230.94662="",12994.01739=""),"-",(12994.01739-9230.94662)/902994.52425*100)</f>
        <v>0.41673240190747479</v>
      </c>
      <c r="G49" s="15">
        <f>IF(OR(1458988.37669="",18200.27516="",12994.01739=""),"-",(18200.27516-12994.01739)/1458988.37669*100)</f>
        <v>0.35684024994163505</v>
      </c>
    </row>
    <row r="50" spans="1:7" s="7" customFormat="1" ht="26.4" x14ac:dyDescent="0.3">
      <c r="A50" s="26" t="s">
        <v>294</v>
      </c>
      <c r="B50" s="10">
        <v>14424.034610000001</v>
      </c>
      <c r="C50" s="15">
        <f>IF(OR(28066.91336="",14424.03461=""),"-",14424.03461/28066.91336*100)</f>
        <v>51.391595595106089</v>
      </c>
      <c r="D50" s="15">
        <f>IF(28066.91336="","-",28066.91336/1458988.37669*100)</f>
        <v>1.9237242604821343</v>
      </c>
      <c r="E50" s="15">
        <f>IF(14424.03461="","-",14424.03461/1389017.92207*100)</f>
        <v>1.0384340173598636</v>
      </c>
      <c r="F50" s="15">
        <f>IF(OR(902994.52425="",14462.75552="",28066.91336=""),"-",(28066.91336-14462.75552)/902994.52425*100)</f>
        <v>1.506560391526095</v>
      </c>
      <c r="G50" s="15">
        <f>IF(OR(1458988.37669="",14424.03461="",28066.91336=""),"-",(14424.03461-28066.91336)/1458988.37669*100)</f>
        <v>-0.93509166817021072</v>
      </c>
    </row>
    <row r="51" spans="1:7" s="2" customFormat="1" x14ac:dyDescent="0.3">
      <c r="A51" s="26" t="s">
        <v>293</v>
      </c>
      <c r="B51" s="10">
        <v>13866.89963</v>
      </c>
      <c r="C51" s="15">
        <f>IF(OR(41485.9018="",13866.89963=""),"-",13866.89963/41485.9018*100)</f>
        <v>33.425571165961735</v>
      </c>
      <c r="D51" s="15">
        <f>IF(41485.9018="","-",41485.9018/1458988.37669*100)</f>
        <v>2.8434703430687271</v>
      </c>
      <c r="E51" s="15">
        <f>IF(13866.89963="","-",13866.89963/1389017.92207*100)</f>
        <v>0.9983240251741814</v>
      </c>
      <c r="F51" s="15">
        <f>IF(OR(902994.52425="",12362.38882="",41485.9018=""),"-",(41485.9018-12362.38882)/902994.52425*100)</f>
        <v>3.2252147934328956</v>
      </c>
      <c r="G51" s="15">
        <f>IF(OR(1458988.37669="",13866.89963="",41485.9018=""),"-",(13866.89963-41485.9018)/1458988.37669*100)</f>
        <v>-1.8930241399632737</v>
      </c>
    </row>
    <row r="52" spans="1:7" s="5" customFormat="1" x14ac:dyDescent="0.3">
      <c r="A52" s="26" t="s">
        <v>72</v>
      </c>
      <c r="B52" s="10">
        <v>7015.0426399999997</v>
      </c>
      <c r="C52" s="15" t="s">
        <v>348</v>
      </c>
      <c r="D52" s="15">
        <f>IF(1223.34834="","-",1223.34834/1458988.37669*100)</f>
        <v>8.3849080605796489E-2</v>
      </c>
      <c r="E52" s="15">
        <f>IF(7015.04264="","-",7015.04264/1389017.92207*100)</f>
        <v>0.50503615025684845</v>
      </c>
      <c r="F52" s="15">
        <f>IF(OR(902994.52425="",286.26649="",1223.34834=""),"-",(1223.34834-286.26649)/902994.52425*100)</f>
        <v>0.10377492053767567</v>
      </c>
      <c r="G52" s="15">
        <f>IF(OR(1458988.37669="",7015.04264="",1223.34834=""),"-",(7015.04264-1223.34834)/1458988.37669*100)</f>
        <v>0.39696644555452787</v>
      </c>
    </row>
    <row r="53" spans="1:7" s="2" customFormat="1" x14ac:dyDescent="0.3">
      <c r="A53" s="26" t="s">
        <v>56</v>
      </c>
      <c r="B53" s="10">
        <v>6128.5396600000004</v>
      </c>
      <c r="C53" s="15">
        <f>IF(OR(4120.12501="",6128.53966=""),"-",6128.53966/4120.12501*100)</f>
        <v>148.74644932193456</v>
      </c>
      <c r="D53" s="15">
        <f>IF(4120.12501="","-",4120.12501/1458988.37669*100)</f>
        <v>0.28239601328060665</v>
      </c>
      <c r="E53" s="15">
        <f>IF(6128.53966="","-",6128.53966/1389017.92207*100)</f>
        <v>0.4412138650354398</v>
      </c>
      <c r="F53" s="15">
        <f>IF(OR(902994.52425="",6960.69431="",4120.12501=""),"-",(4120.12501-6960.69431)/902994.52425*100)</f>
        <v>-0.31457215118323018</v>
      </c>
      <c r="G53" s="15">
        <f>IF(OR(1458988.37669="",6128.53966="",4120.12501=""),"-",(6128.53966-4120.12501)/1458988.37669*100)</f>
        <v>0.13765802950099448</v>
      </c>
    </row>
    <row r="54" spans="1:7" s="5" customFormat="1" x14ac:dyDescent="0.3">
      <c r="A54" s="26" t="s">
        <v>64</v>
      </c>
      <c r="B54" s="10">
        <v>5175.8299699999998</v>
      </c>
      <c r="C54" s="15">
        <f>IF(OR(5690.11441="",5175.82997=""),"-",5175.82997/5690.11441*100)</f>
        <v>90.96179087196947</v>
      </c>
      <c r="D54" s="15">
        <f>IF(5690.11441="","-",5690.11441/1458988.37669*100)</f>
        <v>0.39000409468025615</v>
      </c>
      <c r="E54" s="15">
        <f>IF(5175.82997="","-",5175.82997/1389017.92207*100)</f>
        <v>0.37262513951487819</v>
      </c>
      <c r="F54" s="15">
        <f>IF(OR(902994.52425="",3080.99824="",5690.11441=""),"-",(5690.11441-3080.99824)/902994.52425*100)</f>
        <v>0.28894041989535352</v>
      </c>
      <c r="G54" s="15">
        <f>IF(OR(1458988.37669="",5175.82997="",5690.11441=""),"-",(5175.82997-5690.11441)/1458988.37669*100)</f>
        <v>-3.5249385685083727E-2</v>
      </c>
    </row>
    <row r="55" spans="1:7" s="2" customFormat="1" x14ac:dyDescent="0.3">
      <c r="A55" s="26" t="s">
        <v>66</v>
      </c>
      <c r="B55" s="10">
        <v>4681.2697399999997</v>
      </c>
      <c r="C55" s="15">
        <f>IF(OR(5261.62534="",4681.26974=""),"-",4681.26974/5261.62534*100)</f>
        <v>88.97003183430769</v>
      </c>
      <c r="D55" s="15">
        <f>IF(5261.62534="","-",5261.62534/1458988.37669*100)</f>
        <v>0.36063517873507833</v>
      </c>
      <c r="E55" s="15">
        <f>IF(4681.26974="","-",4681.26974/1389017.92207*100)</f>
        <v>0.33702011080056354</v>
      </c>
      <c r="F55" s="15">
        <f>IF(OR(902994.52425="",3610.89071="",5261.62534=""),"-",(5261.62534-3610.89071)/902994.52425*100)</f>
        <v>0.18280671539742169</v>
      </c>
      <c r="G55" s="15">
        <f>IF(OR(1458988.37669="",4681.26974="",5261.62534=""),"-",(4681.26974-5261.62534)/1458988.37669*100)</f>
        <v>-3.977794540876671E-2</v>
      </c>
    </row>
    <row r="56" spans="1:7" s="5" customFormat="1" x14ac:dyDescent="0.3">
      <c r="A56" s="26" t="s">
        <v>35</v>
      </c>
      <c r="B56" s="10">
        <v>3276.3781399999998</v>
      </c>
      <c r="C56" s="15">
        <f>IF(OR(3271.90846="",3276.37814=""),"-",3276.37814/3271.90846*100)</f>
        <v>100.13660773382394</v>
      </c>
      <c r="D56" s="15">
        <f>IF(3271.90846="","-",3271.90846/1458988.37669*100)</f>
        <v>0.2242587063937386</v>
      </c>
      <c r="E56" s="15">
        <f>IF(3276.37814="","-",3276.37814/1389017.92207*100)</f>
        <v>0.23587731216004321</v>
      </c>
      <c r="F56" s="15">
        <f>IF(OR(902994.52425="",1133.14176="",3271.90846=""),"-",(3271.90846-1133.14176)/902994.52425*100)</f>
        <v>0.23685267657369188</v>
      </c>
      <c r="G56" s="15">
        <f>IF(OR(1458988.37669="",3276.37814="",3271.90846=""),"-",(3276.37814-3271.90846)/1458988.37669*100)</f>
        <v>3.0635473670736433E-4</v>
      </c>
    </row>
    <row r="57" spans="1:7" s="2" customFormat="1" x14ac:dyDescent="0.3">
      <c r="A57" s="26" t="s">
        <v>60</v>
      </c>
      <c r="B57" s="10">
        <v>3020.6017400000001</v>
      </c>
      <c r="C57" s="15">
        <f>IF(OR(2459.62132="",3020.60174=""),"-",3020.60174/2459.62132*100)</f>
        <v>122.80759299972242</v>
      </c>
      <c r="D57" s="15">
        <f>IF(2459.62132="","-",2459.62132/1458988.37669*100)</f>
        <v>0.1685840243347333</v>
      </c>
      <c r="E57" s="15">
        <f>IF(3020.60174="","-",3020.60174/1389017.92207*100)</f>
        <v>0.21746312210993743</v>
      </c>
      <c r="F57" s="15">
        <f>IF(OR(902994.52425="",1705.23534="",2459.62132=""),"-",(2459.62132-1705.23534)/902994.52425*100)</f>
        <v>8.3542697075219857E-2</v>
      </c>
      <c r="G57" s="15">
        <f>IF(OR(1458988.37669="",3020.60174="",2459.62132=""),"-",(3020.60174-2459.62132)/1458988.37669*100)</f>
        <v>3.8449958132818957E-2</v>
      </c>
    </row>
    <row r="58" spans="1:7" s="2" customFormat="1" x14ac:dyDescent="0.3">
      <c r="A58" s="67" t="s">
        <v>325</v>
      </c>
      <c r="B58" s="64">
        <v>3000</v>
      </c>
      <c r="C58" s="15" t="str">
        <f>IF(OR(""="",3000=""),"-",3000/""*100)</f>
        <v>-</v>
      </c>
      <c r="D58" s="15" t="str">
        <f>IF(""="","-",""/1458988.37669*100)</f>
        <v>-</v>
      </c>
      <c r="E58" s="15">
        <f>IF(3000="","-",3000/1389017.92207*100)</f>
        <v>0.21597993462382509</v>
      </c>
      <c r="F58" s="15" t="str">
        <f>IF(OR(902994.52425="",""="",""=""),"-",(""-"")/902994.52425*100)</f>
        <v>-</v>
      </c>
      <c r="G58" s="15" t="str">
        <f>IF(OR(1458988.37669="",3000="",""=""),"-",(3000-"")/1458988.37669*100)</f>
        <v>-</v>
      </c>
    </row>
    <row r="59" spans="1:7" s="5" customFormat="1" x14ac:dyDescent="0.3">
      <c r="A59" s="26" t="s">
        <v>61</v>
      </c>
      <c r="B59" s="10">
        <v>2845.4312300000001</v>
      </c>
      <c r="C59" s="15">
        <f>IF(OR(4470.68583="",2845.43123=""),"-",2845.43123/4470.68583*100)</f>
        <v>63.646414402597372</v>
      </c>
      <c r="D59" s="15">
        <f>IF(4470.68583="","-",4470.68583/1458988.37669*100)</f>
        <v>0.30642367694132178</v>
      </c>
      <c r="E59" s="15">
        <f>IF(2845.43123="","-",2845.43123/1389017.92207*100)</f>
        <v>0.20485201701066344</v>
      </c>
      <c r="F59" s="15">
        <f>IF(OR(902994.52425="",1485.71277="",4470.68583=""),"-",(4470.68583-1485.71277)/902994.52425*100)</f>
        <v>0.33056380518799144</v>
      </c>
      <c r="G59" s="15">
        <f>IF(OR(1458988.37669="",2845.43123="",4470.68583=""),"-",(2845.43123-4470.68583)/1458988.37669*100)</f>
        <v>-0.1113959936875719</v>
      </c>
    </row>
    <row r="60" spans="1:7" s="7" customFormat="1" x14ac:dyDescent="0.3">
      <c r="A60" s="26" t="s">
        <v>57</v>
      </c>
      <c r="B60" s="10">
        <v>2031.62366</v>
      </c>
      <c r="C60" s="15">
        <f>IF(OR(2390.21172="",2031.62366=""),"-",2031.62366/2390.21172*100)</f>
        <v>84.997644476448315</v>
      </c>
      <c r="D60" s="15">
        <f>IF(2390.21172="","-",2390.21172/1458988.37669*100)</f>
        <v>0.16382664579019207</v>
      </c>
      <c r="E60" s="15">
        <f>IF(2031.62366="","-",2031.62366/1389017.92207*100)</f>
        <v>0.14626331508900542</v>
      </c>
      <c r="F60" s="15">
        <f>IF(OR(902994.52425="",4614.45044="",2390.21172=""),"-",(2390.21172-4614.45044)/902994.52425*100)</f>
        <v>-0.24631807394927288</v>
      </c>
      <c r="G60" s="15">
        <f>IF(OR(1458988.37669="",2031.62366="",2390.21172=""),"-",(2031.62366-2390.21172)/1458988.37669*100)</f>
        <v>-2.4577855843754343E-2</v>
      </c>
    </row>
    <row r="61" spans="1:7" s="2" customFormat="1" x14ac:dyDescent="0.3">
      <c r="A61" s="26" t="s">
        <v>82</v>
      </c>
      <c r="B61" s="10">
        <v>1805.6108899999999</v>
      </c>
      <c r="C61" s="15" t="s">
        <v>372</v>
      </c>
      <c r="D61" s="15">
        <f>IF(112.59046="","-",112.59046/1458988.37669*100)</f>
        <v>7.7170224107907855E-3</v>
      </c>
      <c r="E61" s="15">
        <f>IF(1805.61089="","-",1805.61089/1389017.92207*100)</f>
        <v>0.12999190732608887</v>
      </c>
      <c r="F61" s="15">
        <f>IF(OR(902994.52425="",85.81609="",112.59046=""),"-",(112.59046-85.81609)/902994.52425*100)</f>
        <v>2.9650644916410732E-3</v>
      </c>
      <c r="G61" s="15">
        <f>IF(OR(1458988.37669="",1805.61089="",112.59046=""),"-",(1805.61089-112.59046)/1458988.37669*100)</f>
        <v>0.11604070718102275</v>
      </c>
    </row>
    <row r="62" spans="1:7" s="2" customFormat="1" x14ac:dyDescent="0.3">
      <c r="A62" s="26" t="s">
        <v>55</v>
      </c>
      <c r="B62" s="10">
        <v>1480.6813099999999</v>
      </c>
      <c r="C62" s="15">
        <f>IF(OR(3623.98436="",1480.68131=""),"-",1480.68131/3623.98436*100)</f>
        <v>40.85782837098116</v>
      </c>
      <c r="D62" s="15">
        <f>IF(3623.98436="","-",3623.98436/1458988.37669*100)</f>
        <v>0.24839021461032582</v>
      </c>
      <c r="E62" s="15">
        <f>IF(1480.68131="","-",1480.68131/1389017.92207*100)</f>
        <v>0.10659915084417323</v>
      </c>
      <c r="F62" s="15">
        <f>IF(OR(902994.52425="",2362.09707="",3623.98436=""),"-",(3623.98436-2362.09707)/902994.52425*100)</f>
        <v>0.13974473334133289</v>
      </c>
      <c r="G62" s="15">
        <f>IF(OR(1458988.37669="",1480.68131="",3623.98436=""),"-",(1480.68131-3623.98436)/1458988.37669*100)</f>
        <v>-0.14690336703452714</v>
      </c>
    </row>
    <row r="63" spans="1:7" s="2" customFormat="1" x14ac:dyDescent="0.3">
      <c r="A63" s="26" t="s">
        <v>121</v>
      </c>
      <c r="B63" s="10">
        <v>982.07875999999999</v>
      </c>
      <c r="C63" s="15">
        <f>IF(OR(1318.5297="",982.07876=""),"-",982.07876/1318.5297*100)</f>
        <v>74.482869820831482</v>
      </c>
      <c r="D63" s="15">
        <f>IF(1318.5297="","-",1318.5297/1458988.37669*100)</f>
        <v>9.037287212605094E-2</v>
      </c>
      <c r="E63" s="15">
        <f>IF(982.07876="","-",982.07876/1389017.92207*100)</f>
        <v>7.0703102126749073E-2</v>
      </c>
      <c r="F63" s="15">
        <f>IF(OR(902994.52425="",763.86197="",1318.5297=""),"-",(1318.5297-763.86197)/902994.52425*100)</f>
        <v>6.1425370265748874E-2</v>
      </c>
      <c r="G63" s="15">
        <f>IF(OR(1458988.37669="",982.07876="",1318.5297=""),"-",(982.07876-1318.5297)/1458988.37669*100)</f>
        <v>-2.3060563427057913E-2</v>
      </c>
    </row>
    <row r="64" spans="1:7" s="2" customFormat="1" x14ac:dyDescent="0.3">
      <c r="A64" s="26" t="s">
        <v>295</v>
      </c>
      <c r="B64" s="10">
        <v>933.39932999999996</v>
      </c>
      <c r="C64" s="15">
        <f>IF(OR(774.24106="",933.39933=""),"-",933.39933/774.24106*100)</f>
        <v>120.55668166191032</v>
      </c>
      <c r="D64" s="15">
        <f>IF(774.24106="","-",774.24106/1458988.37669*100)</f>
        <v>5.3066979310453247E-2</v>
      </c>
      <c r="E64" s="15">
        <f>IF(933.39933="","-",933.39933/1389017.92207*100)</f>
        <v>6.7198508757107381E-2</v>
      </c>
      <c r="F64" s="15">
        <f>IF(OR(902994.52425="",638.31669="",774.24106=""),"-",(774.24106-638.31669)/902994.52425*100)</f>
        <v>1.5052623947292995E-2</v>
      </c>
      <c r="G64" s="15">
        <f>IF(OR(1458988.37669="",933.39933="",774.24106=""),"-",(933.39933-774.24106)/1458988.37669*100)</f>
        <v>1.0908810004441681E-2</v>
      </c>
    </row>
    <row r="65" spans="1:7" s="2" customFormat="1" x14ac:dyDescent="0.3">
      <c r="A65" s="26" t="s">
        <v>36</v>
      </c>
      <c r="B65" s="10">
        <v>886.80488000000003</v>
      </c>
      <c r="C65" s="15" t="s">
        <v>296</v>
      </c>
      <c r="D65" s="15">
        <f>IF(318.81605="","-",318.81605/1458988.37669*100)</f>
        <v>2.1851856744965745E-2</v>
      </c>
      <c r="E65" s="15">
        <f>IF(886.80488="","-",886.80488/1389017.92207*100)</f>
        <v>6.3844020002163021E-2</v>
      </c>
      <c r="F65" s="15">
        <f>IF(OR(902994.52425="",211.57198="",318.81605=""),"-",(318.81605-211.57198)/902994.52425*100)</f>
        <v>1.1876491730564336E-2</v>
      </c>
      <c r="G65" s="15">
        <f>IF(OR(1458988.37669="",886.80488="",318.81605=""),"-",(886.80488-318.81605)/1458988.37669*100)</f>
        <v>3.8930319053575572E-2</v>
      </c>
    </row>
    <row r="66" spans="1:7" s="2" customFormat="1" x14ac:dyDescent="0.3">
      <c r="A66" s="26" t="s">
        <v>73</v>
      </c>
      <c r="B66" s="10">
        <v>851.94722999999999</v>
      </c>
      <c r="C66" s="15">
        <f>IF(OR(980.96627="",851.94723=""),"-",851.94723/980.96627*100)</f>
        <v>86.847759811354166</v>
      </c>
      <c r="D66" s="15">
        <f>IF(980.96627="","-",980.96627/1458988.37669*100)</f>
        <v>6.7236057920181211E-2</v>
      </c>
      <c r="E66" s="15">
        <f>IF(851.94723="","-",851.94723/1389017.92207*100)</f>
        <v>6.1334502346116294E-2</v>
      </c>
      <c r="F66" s="15">
        <f>IF(OR(902994.52425="",753.06864="",980.96627=""),"-",(980.96627-753.06864)/902994.52425*100)</f>
        <v>2.5237985821595643E-2</v>
      </c>
      <c r="G66" s="15">
        <f>IF(OR(1458988.37669="",851.94723="",980.96627=""),"-",(851.94723-980.96627)/1458988.37669*100)</f>
        <v>-8.8430478310392649E-3</v>
      </c>
    </row>
    <row r="67" spans="1:7" s="2" customFormat="1" x14ac:dyDescent="0.3">
      <c r="A67" s="26" t="s">
        <v>75</v>
      </c>
      <c r="B67" s="10">
        <v>757.77058</v>
      </c>
      <c r="C67" s="15">
        <f>IF(OR(795.28867="",757.77058=""),"-",757.77058/795.28867*100)</f>
        <v>95.282456368955934</v>
      </c>
      <c r="D67" s="15">
        <f>IF(795.28867="","-",795.28867/1458988.37669*100)</f>
        <v>5.4509596012290905E-2</v>
      </c>
      <c r="E67" s="15">
        <f>IF(757.77058="","-",757.77058/1389017.92207*100)</f>
        <v>5.4554413442752678E-2</v>
      </c>
      <c r="F67" s="15">
        <f>IF(OR(902994.52425="",46.90293="",795.28867=""),"-",(795.28867-46.90293)/902994.52425*100)</f>
        <v>8.2878214640513648E-2</v>
      </c>
      <c r="G67" s="15">
        <f>IF(OR(1458988.37669="",757.77058="",795.28867=""),"-",(757.77058-795.28867)/1458988.37669*100)</f>
        <v>-2.5715139749856774E-3</v>
      </c>
    </row>
    <row r="68" spans="1:7" s="2" customFormat="1" x14ac:dyDescent="0.3">
      <c r="A68" s="67" t="s">
        <v>69</v>
      </c>
      <c r="B68" s="64">
        <v>656.01909000000001</v>
      </c>
      <c r="C68" s="15">
        <f>IF(OR(453.978="",656.01909=""),"-",656.01909/453.978*100)</f>
        <v>144.50459934181831</v>
      </c>
      <c r="D68" s="15">
        <f>IF(453.978="","-",453.978/1458988.37669*100)</f>
        <v>3.111594357111588E-2</v>
      </c>
      <c r="E68" s="15">
        <f>IF(656.01909="","-",656.01909/1389017.92207*100)</f>
        <v>4.7228986723393741E-2</v>
      </c>
      <c r="F68" s="15">
        <f>IF(OR(902994.52425="",217.04541="",453.978=""),"-",(453.978-217.04541)/902994.52425*100)</f>
        <v>2.6238541169093917E-2</v>
      </c>
      <c r="G68" s="15">
        <f>IF(OR(1458988.37669="",656.01909="",453.978=""),"-",(656.01909-453.978)/1458988.37669*100)</f>
        <v>1.3848026017751399E-2</v>
      </c>
    </row>
    <row r="69" spans="1:7" s="2" customFormat="1" x14ac:dyDescent="0.3">
      <c r="A69" s="26" t="s">
        <v>83</v>
      </c>
      <c r="B69" s="10">
        <v>581.40284999999994</v>
      </c>
      <c r="C69" s="15" t="s">
        <v>342</v>
      </c>
      <c r="D69" s="15">
        <f>IF(91.07866="","-",91.07866/1458988.37669*100)</f>
        <v>6.2425898283459758E-3</v>
      </c>
      <c r="E69" s="15">
        <f>IF(581.40285="","-",581.40285/1389017.92207*100)</f>
        <v>4.1857116511035193E-2</v>
      </c>
      <c r="F69" s="15">
        <f>IF(OR(902994.52425="",56.95306="",91.07866=""),"-",(91.07866-56.95306)/902994.52425*100)</f>
        <v>3.7791591292697696E-3</v>
      </c>
      <c r="G69" s="15">
        <f>IF(OR(1458988.37669="",581.40285="",91.07866=""),"-",(581.40285-91.07866)/1458988.37669*100)</f>
        <v>3.3607134767748875E-2</v>
      </c>
    </row>
    <row r="70" spans="1:7" x14ac:dyDescent="0.3">
      <c r="A70" s="26" t="s">
        <v>135</v>
      </c>
      <c r="B70" s="10">
        <v>549.90565000000004</v>
      </c>
      <c r="C70" s="15" t="s">
        <v>343</v>
      </c>
      <c r="D70" s="15">
        <f>IF(228.0944="","-",228.0944/1458988.37669*100)</f>
        <v>1.5633736611218019E-2</v>
      </c>
      <c r="E70" s="15">
        <f>IF(549.90565="","-",549.90565/1389017.92207*100)</f>
        <v>3.9589528778757349E-2</v>
      </c>
      <c r="F70" s="15">
        <f>IF(OR(902994.52425="",299.4="",228.0944=""),"-",(228.0944-299.4)/902994.52425*100)</f>
        <v>-7.8965705865408475E-3</v>
      </c>
      <c r="G70" s="15">
        <f>IF(OR(1458988.37669="",549.90565="",228.0944=""),"-",(549.90565-228.0944)/1458988.37669*100)</f>
        <v>2.2057149675865934E-2</v>
      </c>
    </row>
    <row r="71" spans="1:7" x14ac:dyDescent="0.3">
      <c r="A71" s="26" t="s">
        <v>74</v>
      </c>
      <c r="B71" s="10">
        <v>507.16064999999998</v>
      </c>
      <c r="C71" s="15">
        <f>IF(OR(732.48387="",507.16065=""),"-",507.16065/732.48387*100)</f>
        <v>69.238473469729783</v>
      </c>
      <c r="D71" s="15">
        <f>IF(732.48387="","-",732.48387/1458988.37669*100)</f>
        <v>5.0204914699991145E-2</v>
      </c>
      <c r="E71" s="15">
        <f>IF(507.16065="","-",507.16065/1389017.92207*100)</f>
        <v>3.6512174676925545E-2</v>
      </c>
      <c r="F71" s="15">
        <f>IF(OR(902994.52425="",857.53751="",732.48387=""),"-",(732.48387-857.53751)/902994.52425*100)</f>
        <v>-1.3848770578522141E-2</v>
      </c>
      <c r="G71" s="15">
        <f>IF(OR(1458988.37669="",507.16065="",732.48387=""),"-",(507.16065-732.48387)/1458988.37669*100)</f>
        <v>-1.5443798154937311E-2</v>
      </c>
    </row>
    <row r="72" spans="1:7" x14ac:dyDescent="0.3">
      <c r="A72" s="26" t="s">
        <v>137</v>
      </c>
      <c r="B72" s="10">
        <v>435.17144000000002</v>
      </c>
      <c r="C72" s="15" t="s">
        <v>100</v>
      </c>
      <c r="D72" s="15">
        <f>IF(271.03735="","-",271.03735/1458988.37669*100)</f>
        <v>1.8577073973330832E-2</v>
      </c>
      <c r="E72" s="15">
        <f>IF(435.17144="","-",435.17144/1389017.92207*100)</f>
        <v>3.1329433053785279E-2</v>
      </c>
      <c r="F72" s="15">
        <f>IF(OR(902994.52425="",314.57897="",271.03735=""),"-",(271.03735-314.57897)/902994.52425*100)</f>
        <v>-4.8219140682125815E-3</v>
      </c>
      <c r="G72" s="15">
        <f>IF(OR(1458988.37669="",435.17144="",271.03735=""),"-",(435.17144-271.03735)/1458988.37669*100)</f>
        <v>1.124985590168787E-2</v>
      </c>
    </row>
    <row r="73" spans="1:7" x14ac:dyDescent="0.3">
      <c r="A73" s="26" t="s">
        <v>122</v>
      </c>
      <c r="B73" s="10">
        <v>420.40875</v>
      </c>
      <c r="C73" s="15">
        <f>IF(OR(93.23149="",420.40875=""),"-",420.40875/93.23149*100)</f>
        <v>450.92999157258993</v>
      </c>
      <c r="D73" s="15">
        <f>IF(93.23149="","-",93.23149/1458988.37669*100)</f>
        <v>6.3901461786497454E-3</v>
      </c>
      <c r="E73" s="15">
        <f>IF(420.40875="","-",420.40875/1389017.92207*100)</f>
        <v>3.0266618113428009E-2</v>
      </c>
      <c r="F73" s="15">
        <f>IF(OR(902994.52425="",305.84127="",93.23149=""),"-",(93.23149-305.84127)/902994.52425*100)</f>
        <v>-2.3544968910701562E-2</v>
      </c>
      <c r="G73" s="15">
        <f>IF(OR(1458988.37669="",420.40875="",93.23149=""),"-",(420.40875-93.23149)/1458988.37669*100)</f>
        <v>2.2424939446211729E-2</v>
      </c>
    </row>
    <row r="74" spans="1:7" x14ac:dyDescent="0.3">
      <c r="A74" s="26" t="s">
        <v>63</v>
      </c>
      <c r="B74" s="10">
        <v>412.55477000000002</v>
      </c>
      <c r="C74" s="15" t="s">
        <v>91</v>
      </c>
      <c r="D74" s="15">
        <f>IF(195.34265="","-",195.34265/1458988.37669*100)</f>
        <v>1.3388910639793644E-2</v>
      </c>
      <c r="E74" s="15">
        <f>IF(412.55477="","-",412.55477/1389017.92207*100)</f>
        <v>2.9701184084449068E-2</v>
      </c>
      <c r="F74" s="15">
        <f>IF(OR(902994.52425="",320.46371="",195.34265=""),"-",(195.34265-320.46371)/902994.52425*100)</f>
        <v>-1.3856236847496033E-2</v>
      </c>
      <c r="G74" s="15">
        <f>IF(OR(1458988.37669="",412.55477="",195.34265=""),"-",(412.55477-195.34265)/1458988.37669*100)</f>
        <v>1.4887858153660423E-2</v>
      </c>
    </row>
    <row r="75" spans="1:7" x14ac:dyDescent="0.3">
      <c r="A75" s="26" t="s">
        <v>68</v>
      </c>
      <c r="B75" s="10">
        <v>321.04825</v>
      </c>
      <c r="C75" s="15" t="s">
        <v>373</v>
      </c>
      <c r="D75" s="15">
        <f>IF(20.772="","-",20.772/1458988.37669*100)</f>
        <v>1.423726215497709E-3</v>
      </c>
      <c r="E75" s="15">
        <f>IF(321.04825="","-",321.04825/1389017.92207*100)</f>
        <v>2.311332668203115E-2</v>
      </c>
      <c r="F75" s="15" t="str">
        <f>IF(OR(902994.52425="",""="",20.772=""),"-",(20.772-"")/902994.52425*100)</f>
        <v>-</v>
      </c>
      <c r="G75" s="15">
        <f>IF(OR(1458988.37669="",321.04825="",20.772=""),"-",(321.04825-20.772)/1458988.37669*100)</f>
        <v>2.0581126950526864E-2</v>
      </c>
    </row>
    <row r="76" spans="1:7" x14ac:dyDescent="0.3">
      <c r="A76" s="26" t="s">
        <v>89</v>
      </c>
      <c r="B76" s="10">
        <v>299.89980000000003</v>
      </c>
      <c r="C76" s="15" t="s">
        <v>310</v>
      </c>
      <c r="D76" s="15">
        <f>IF(121.96775="","-",121.96775/1458988.37669*100)</f>
        <v>8.3597478875539529E-3</v>
      </c>
      <c r="E76" s="15">
        <f>IF(299.8998="","-",299.8998/1389017.92207*100)</f>
        <v>2.1590779732566075E-2</v>
      </c>
      <c r="F76" s="15">
        <f>IF(OR(902994.52425="",125.90409="",121.96775=""),"-",(121.96775-125.90409)/902994.52425*100)</f>
        <v>-4.3592069434412203E-4</v>
      </c>
      <c r="G76" s="15">
        <f>IF(OR(1458988.37669="",299.8998="",121.96775=""),"-",(299.8998-121.96775)/1458988.37669*100)</f>
        <v>1.2195576938294301E-2</v>
      </c>
    </row>
    <row r="77" spans="1:7" x14ac:dyDescent="0.3">
      <c r="A77" s="26" t="s">
        <v>37</v>
      </c>
      <c r="B77" s="10">
        <v>277.30604</v>
      </c>
      <c r="C77" s="15">
        <f>IF(OR(984.95837="",277.30604=""),"-",277.30604/984.95837*100)</f>
        <v>28.154087365134021</v>
      </c>
      <c r="D77" s="15">
        <f>IF(984.95837="","-",984.95837/1458988.37669*100)</f>
        <v>6.7509679017085128E-2</v>
      </c>
      <c r="E77" s="15">
        <f>IF(277.30604="","-",277.30604/1389017.92207*100)</f>
        <v>1.9964180129997275E-2</v>
      </c>
      <c r="F77" s="15">
        <f>IF(OR(902994.52425="",465.29105="",984.95837=""),"-",(984.95837-465.29105)/902994.52425*100)</f>
        <v>5.7549332365179062E-2</v>
      </c>
      <c r="G77" s="15">
        <f>IF(OR(1458988.37669="",277.30604="",984.95837=""),"-",(277.30604-984.95837)/1458988.37669*100)</f>
        <v>-4.8502945006693429E-2</v>
      </c>
    </row>
    <row r="78" spans="1:7" x14ac:dyDescent="0.3">
      <c r="A78" s="26" t="s">
        <v>84</v>
      </c>
      <c r="B78" s="10">
        <v>272.36358999999999</v>
      </c>
      <c r="C78" s="15">
        <f>IF(OR(258.23886="",272.36359=""),"-",272.36359/258.23886*100)</f>
        <v>105.46963768349968</v>
      </c>
      <c r="D78" s="15">
        <f>IF(258.23886="","-",258.23886/1458988.37669*100)</f>
        <v>1.7699857252178066E-2</v>
      </c>
      <c r="E78" s="15">
        <f>IF(272.36359="","-",272.36359/1389017.92207*100)</f>
        <v>1.96083567873701E-2</v>
      </c>
      <c r="F78" s="15">
        <f>IF(OR(902994.52425="",25.80287="",258.23886=""),"-",(258.23886-25.80287)/902994.52425*100)</f>
        <v>2.5740575801725302E-2</v>
      </c>
      <c r="G78" s="15">
        <f>IF(OR(1458988.37669="",272.36359="",258.23886=""),"-",(272.36359-258.23886)/1458988.37669*100)</f>
        <v>9.6811806219078357E-4</v>
      </c>
    </row>
    <row r="79" spans="1:7" x14ac:dyDescent="0.3">
      <c r="A79" s="26" t="s">
        <v>326</v>
      </c>
      <c r="B79" s="10">
        <v>259.70627999999999</v>
      </c>
      <c r="C79" s="15" t="str">
        <f>IF(OR(""="",259.70628=""),"-",259.70628/""*100)</f>
        <v>-</v>
      </c>
      <c r="D79" s="15" t="str">
        <f>IF(""="","-",""/1458988.37669*100)</f>
        <v>-</v>
      </c>
      <c r="E79" s="15">
        <f>IF(259.70628="","-",259.70628/1389017.92207*100)</f>
        <v>1.8697115125265604E-2</v>
      </c>
      <c r="F79" s="15" t="str">
        <f>IF(OR(902994.52425="",""="",""=""),"-",(""-"")/902994.52425*100)</f>
        <v>-</v>
      </c>
      <c r="G79" s="15" t="str">
        <f>IF(OR(1458988.37669="",259.70628="",""=""),"-",(259.70628-"")/1458988.37669*100)</f>
        <v>-</v>
      </c>
    </row>
    <row r="80" spans="1:7" x14ac:dyDescent="0.3">
      <c r="A80" s="67" t="s">
        <v>317</v>
      </c>
      <c r="B80" s="64">
        <v>257.25425999999999</v>
      </c>
      <c r="C80" s="15" t="str">
        <f>IF(OR(""="",257.25426=""),"-",257.25426/""*100)</f>
        <v>-</v>
      </c>
      <c r="D80" s="15" t="str">
        <f>IF(""="","-",""/1458988.37669*100)</f>
        <v>-</v>
      </c>
      <c r="E80" s="15">
        <f>IF(257.25426="","-",257.25426/1389017.92207*100)</f>
        <v>1.8520586085500168E-2</v>
      </c>
      <c r="F80" s="15" t="str">
        <f>IF(OR(902994.52425="",""="",""=""),"-",(""-"")/902994.52425*100)</f>
        <v>-</v>
      </c>
      <c r="G80" s="15" t="str">
        <f>IF(OR(1458988.37669="",257.25426="",""=""),"-",(257.25426-"")/1458988.37669*100)</f>
        <v>-</v>
      </c>
    </row>
    <row r="81" spans="1:7" x14ac:dyDescent="0.3">
      <c r="A81" s="26" t="s">
        <v>88</v>
      </c>
      <c r="B81" s="10">
        <v>242.75219000000001</v>
      </c>
      <c r="C81" s="15" t="s">
        <v>374</v>
      </c>
      <c r="D81" s="15">
        <f>IF(4.61762="","-",4.61762/1458988.37669*100)</f>
        <v>3.1649463928396551E-4</v>
      </c>
      <c r="E81" s="15">
        <f>IF(242.75219="","-",242.75219/1389017.92207*100)</f>
        <v>1.747653404199679E-2</v>
      </c>
      <c r="F81" s="15">
        <f>IF(OR(902994.52425="",0.73254="",4.61762=""),"-",(4.61762-0.73254)/902994.52425*100)</f>
        <v>4.3024402647699658E-4</v>
      </c>
      <c r="G81" s="15">
        <f>IF(OR(1458988.37669="",242.75219="",4.61762=""),"-",(242.75219-4.61762)/1458988.37669*100)</f>
        <v>1.6321896308746118E-2</v>
      </c>
    </row>
    <row r="82" spans="1:7" x14ac:dyDescent="0.3">
      <c r="A82" s="26" t="s">
        <v>333</v>
      </c>
      <c r="B82" s="10">
        <v>215.64302000000001</v>
      </c>
      <c r="C82" s="15">
        <f>IF(OR(176.90536="",215.64302=""),"-",215.64302/176.90536*100)</f>
        <v>121.89739191622007</v>
      </c>
      <c r="D82" s="15">
        <f>IF(176.90536="","-",176.90536/1458988.37669*100)</f>
        <v>1.2125206946565562E-2</v>
      </c>
      <c r="E82" s="15">
        <f>IF(215.64302="","-",215.64302/1389017.92207*100)</f>
        <v>1.5524855120561403E-2</v>
      </c>
      <c r="F82" s="15">
        <f>IF(OR(902994.52425="",182.6786="",176.90536=""),"-",(176.90536-182.6786)/902994.52425*100)</f>
        <v>-6.3934385480300291E-4</v>
      </c>
      <c r="G82" s="15">
        <f>IF(OR(1458988.37669="",215.64302="",176.90536=""),"-",(215.64302-176.90536)/1458988.37669*100)</f>
        <v>2.6551040857422008E-3</v>
      </c>
    </row>
    <row r="83" spans="1:7" x14ac:dyDescent="0.3">
      <c r="A83" s="26" t="s">
        <v>98</v>
      </c>
      <c r="B83" s="10">
        <v>212.64472000000001</v>
      </c>
      <c r="C83" s="15">
        <f>IF(OR(647.79191="",212.64472=""),"-",212.64472/647.79191*100)</f>
        <v>32.826084536931006</v>
      </c>
      <c r="D83" s="15">
        <f>IF(647.79191="","-",647.79191/1458988.37669*100)</f>
        <v>4.440007338986774E-2</v>
      </c>
      <c r="E83" s="15">
        <f>IF(212.64472="","-",212.64472/1389017.92207*100)</f>
        <v>1.5308997574567197E-2</v>
      </c>
      <c r="F83" s="15">
        <f>IF(OR(902994.52425="",169.69425="",647.79191=""),"-",(647.79191-169.69425)/902994.52425*100)</f>
        <v>5.2945798358754563E-2</v>
      </c>
      <c r="G83" s="15">
        <f>IF(OR(1458988.37669="",212.64472="",647.79191=""),"-",(212.64472-647.79191)/1458988.37669*100)</f>
        <v>-2.9825267764450349E-2</v>
      </c>
    </row>
    <row r="84" spans="1:7" x14ac:dyDescent="0.3">
      <c r="A84" s="26" t="s">
        <v>92</v>
      </c>
      <c r="B84" s="10">
        <v>207.12123</v>
      </c>
      <c r="C84" s="15">
        <f>IF(OR(621.85629="",207.12123=""),"-",207.12123/621.85629*100)</f>
        <v>33.306928518806174</v>
      </c>
      <c r="D84" s="15">
        <f>IF(621.85629="","-",621.85629/1458988.37669*100)</f>
        <v>4.2622429344557379E-2</v>
      </c>
      <c r="E84" s="15">
        <f>IF(207.12123="","-",207.12123/1389017.92207*100)</f>
        <v>1.491134323820208E-2</v>
      </c>
      <c r="F84" s="15">
        <f>IF(OR(902994.52425="",168.99048="",621.85629=""),"-",(621.85629-168.99048)/902994.52425*100)</f>
        <v>5.0151556608400989E-2</v>
      </c>
      <c r="G84" s="15">
        <f>IF(OR(1458988.37669="",207.12123="",621.85629=""),"-",(207.12123-621.85629)/1458988.37669*100)</f>
        <v>-2.842620726978699E-2</v>
      </c>
    </row>
    <row r="85" spans="1:7" x14ac:dyDescent="0.3">
      <c r="A85" s="26" t="s">
        <v>97</v>
      </c>
      <c r="B85" s="10">
        <v>203.54060000000001</v>
      </c>
      <c r="C85" s="15" t="s">
        <v>351</v>
      </c>
      <c r="D85" s="15">
        <f>IF(33.8155="","-",33.8155/1458988.37669*100)</f>
        <v>2.3177360793454069E-3</v>
      </c>
      <c r="E85" s="15">
        <f>IF(203.5406="","-",203.5406/1389017.92207*100)</f>
        <v>1.4653561827098047E-2</v>
      </c>
      <c r="F85" s="15">
        <f>IF(OR(902994.52425="",221.38569="",33.8155=""),"-",(33.8155-221.38569)/902994.52425*100)</f>
        <v>-2.0772018540842221E-2</v>
      </c>
      <c r="G85" s="15">
        <f>IF(OR(1458988.37669="",203.5406="",33.8155=""),"-",(203.5406-33.8155)/1458988.37669*100)</f>
        <v>1.1633067316482296E-2</v>
      </c>
    </row>
    <row r="86" spans="1:7" x14ac:dyDescent="0.3">
      <c r="A86" s="26" t="s">
        <v>67</v>
      </c>
      <c r="B86" s="10">
        <v>181.09554</v>
      </c>
      <c r="C86" s="15" t="s">
        <v>375</v>
      </c>
      <c r="D86" s="15">
        <f>IF(14.7956="","-",14.7956/1458988.37669*100)</f>
        <v>1.0140999226852449E-3</v>
      </c>
      <c r="E86" s="15">
        <f>IF(181.09554="","-",181.09554/1389017.92207*100)</f>
        <v>1.3037667629955434E-2</v>
      </c>
      <c r="F86" s="15">
        <f>IF(OR(902994.52425="",110.86398="",14.7956=""),"-",(14.7956-110.86398)/902994.52425*100)</f>
        <v>-1.0638866285461861E-2</v>
      </c>
      <c r="G86" s="15">
        <f>IF(OR(1458988.37669="",181.09554="",14.7956=""),"-",(181.09554-14.7956)/1458988.37669*100)</f>
        <v>1.1398304651150399E-2</v>
      </c>
    </row>
    <row r="87" spans="1:7" x14ac:dyDescent="0.3">
      <c r="A87" s="26" t="s">
        <v>320</v>
      </c>
      <c r="B87" s="10">
        <v>175.10164</v>
      </c>
      <c r="C87" s="15" t="str">
        <f>IF(OR(""="",175.10164=""),"-",175.10164/""*100)</f>
        <v>-</v>
      </c>
      <c r="D87" s="15" t="str">
        <f>IF(""="","-",""/1458988.37669*100)</f>
        <v>-</v>
      </c>
      <c r="E87" s="15">
        <f>IF(175.10164="","-",175.10164/1389017.92207*100)</f>
        <v>1.2606146919908186E-2</v>
      </c>
      <c r="F87" s="15" t="str">
        <f>IF(OR(902994.52425="",""="",""=""),"-",(""-"")/902994.52425*100)</f>
        <v>-</v>
      </c>
      <c r="G87" s="15" t="str">
        <f>IF(OR(1458988.37669="",175.10164="",""=""),"-",(175.10164-"")/1458988.37669*100)</f>
        <v>-</v>
      </c>
    </row>
    <row r="88" spans="1:7" x14ac:dyDescent="0.3">
      <c r="A88" s="26" t="s">
        <v>118</v>
      </c>
      <c r="B88" s="10">
        <v>173.11955</v>
      </c>
      <c r="C88" s="15">
        <f>IF(OR(147.06372="",173.11955=""),"-",173.11955/147.06372*100)</f>
        <v>117.71737448229925</v>
      </c>
      <c r="D88" s="15">
        <f>IF(147.06372="","-",147.06372/1458988.37669*100)</f>
        <v>1.0079841782814113E-2</v>
      </c>
      <c r="E88" s="15">
        <f>IF(173.11955="","-",173.11955/1389017.92207*100)</f>
        <v>1.2463449697035339E-2</v>
      </c>
      <c r="F88" s="15">
        <f>IF(OR(902994.52425="",140.52191="",147.06372=""),"-",(147.06372-140.52191)/902994.52425*100)</f>
        <v>7.2445732773777644E-4</v>
      </c>
      <c r="G88" s="15">
        <f>IF(OR(1458988.37669="",173.11955="",147.06372=""),"-",(173.11955-147.06372)/1458988.37669*100)</f>
        <v>1.7858833158844454E-3</v>
      </c>
    </row>
    <row r="89" spans="1:7" x14ac:dyDescent="0.3">
      <c r="A89" s="26" t="s">
        <v>103</v>
      </c>
      <c r="B89" s="10">
        <v>166.35279</v>
      </c>
      <c r="C89" s="15">
        <f>IF(OR(355.74702="",166.35279=""),"-",166.35279/355.74702*100)</f>
        <v>46.761541389721266</v>
      </c>
      <c r="D89" s="15">
        <f>IF(355.74702="","-",355.74702/1458988.37669*100)</f>
        <v>2.438312913822395E-2</v>
      </c>
      <c r="E89" s="15">
        <f>IF(166.35279="","-",166.35279/1389017.92207*100)</f>
        <v>1.1976288236230301E-2</v>
      </c>
      <c r="F89" s="15">
        <f>IF(OR(902994.52425="",60.3741="",355.74702=""),"-",(355.74702-60.3741)/902994.52425*100)</f>
        <v>3.2710377756202655E-2</v>
      </c>
      <c r="G89" s="15">
        <f>IF(OR(1458988.37669="",166.35279="",355.74702=""),"-",(166.35279-355.74702)/1458988.37669*100)</f>
        <v>-1.2981202114144172E-2</v>
      </c>
    </row>
    <row r="90" spans="1:7" x14ac:dyDescent="0.3">
      <c r="A90" s="26" t="s">
        <v>367</v>
      </c>
      <c r="B90" s="10">
        <v>164.60524000000001</v>
      </c>
      <c r="C90" s="15" t="s">
        <v>323</v>
      </c>
      <c r="D90" s="15">
        <f>IF(39.53341="","-",39.53341/1458988.37669*100)</f>
        <v>2.7096453016088626E-3</v>
      </c>
      <c r="E90" s="15">
        <f>IF(164.60524="","-",164.60524/1389017.92207*100)</f>
        <v>1.1850476324646347E-2</v>
      </c>
      <c r="F90" s="15" t="str">
        <f>IF(OR(902994.52425="",""="",39.53341=""),"-",(39.53341-"")/902994.52425*100)</f>
        <v>-</v>
      </c>
      <c r="G90" s="15">
        <f>IF(OR(1458988.37669="",164.60524="",39.53341=""),"-",(164.60524-39.53341)/1458988.37669*100)</f>
        <v>8.5725035235544415E-3</v>
      </c>
    </row>
    <row r="91" spans="1:7" x14ac:dyDescent="0.3">
      <c r="A91" s="26" t="s">
        <v>80</v>
      </c>
      <c r="B91" s="10">
        <v>162.92296999999999</v>
      </c>
      <c r="C91" s="15">
        <f>IF(OR(168.3329="",162.92297=""),"-",162.92297/168.3329*100)</f>
        <v>96.786171924799021</v>
      </c>
      <c r="D91" s="15">
        <f>IF(168.3329="","-",168.3329/1458988.37669*100)</f>
        <v>1.153764503469836E-2</v>
      </c>
      <c r="E91" s="15">
        <f>IF(162.92297="","-",162.92297/1389017.92207*100)</f>
        <v>1.1729364136439805E-2</v>
      </c>
      <c r="F91" s="15">
        <f>IF(OR(902994.52425="",303.34928="",168.3329=""),"-",(168.3329-303.34928)/902994.52425*100)</f>
        <v>-1.4952070735106678E-2</v>
      </c>
      <c r="G91" s="15">
        <f>IF(OR(1458988.37669="",162.92297="",168.3329=""),"-",(162.92297-168.3329)/1458988.37669*100)</f>
        <v>-3.7080007534216861E-4</v>
      </c>
    </row>
    <row r="92" spans="1:7" x14ac:dyDescent="0.3">
      <c r="A92" s="26" t="s">
        <v>34</v>
      </c>
      <c r="B92" s="10">
        <v>158.21360000000001</v>
      </c>
      <c r="C92" s="15">
        <f>IF(OR(1413.99644="",158.2136=""),"-",158.2136/1413.99644*100)</f>
        <v>11.189108792947176</v>
      </c>
      <c r="D92" s="15">
        <f>IF(1413.99644="","-",1413.99644/1458988.37669*100)</f>
        <v>9.6916223774717578E-2</v>
      </c>
      <c r="E92" s="15">
        <f>IF(158.2136="","-",158.2136/1389017.92207*100)</f>
        <v>1.1390320994866672E-2</v>
      </c>
      <c r="F92" s="15">
        <f>IF(OR(902994.52425="",404.56601="",1413.99644=""),"-",(1413.99644-404.56601)/902994.52425*100)</f>
        <v>0.11178699348574704</v>
      </c>
      <c r="G92" s="15">
        <f>IF(OR(1458988.37669="",158.2136="",1413.99644=""),"-",(158.2136-1413.99644)/1458988.37669*100)</f>
        <v>-8.6072162058548285E-2</v>
      </c>
    </row>
    <row r="93" spans="1:7" x14ac:dyDescent="0.3">
      <c r="A93" s="26" t="s">
        <v>201</v>
      </c>
      <c r="B93" s="10">
        <v>155.60154</v>
      </c>
      <c r="C93" s="15">
        <f>IF(OR(280.82665="",155.60154=""),"-",155.60154/280.82665*100)</f>
        <v>55.408395179018811</v>
      </c>
      <c r="D93" s="15">
        <f>IF(280.82665="","-",280.82665/1458988.37669*100)</f>
        <v>1.924803888000191E-2</v>
      </c>
      <c r="E93" s="15">
        <f>IF(155.60154="","-",155.60154/1389017.92207*100)</f>
        <v>1.1202270145522169E-2</v>
      </c>
      <c r="F93" s="15">
        <f>IF(OR(902994.52425="",66.36672="",280.82665=""),"-",(280.82665-66.36672)/902994.52425*100)</f>
        <v>2.374985941117682E-2</v>
      </c>
      <c r="G93" s="15">
        <f>IF(OR(1458988.37669="",155.60154="",280.82665=""),"-",(155.60154-280.82665)/1458988.37669*100)</f>
        <v>-8.583009433159268E-3</v>
      </c>
    </row>
    <row r="94" spans="1:7" x14ac:dyDescent="0.3">
      <c r="A94" s="26" t="s">
        <v>94</v>
      </c>
      <c r="B94" s="10">
        <v>132.38359</v>
      </c>
      <c r="C94" s="15">
        <f>IF(OR(87.53409="",132.38359=""),"-",132.38359/87.53409*100)</f>
        <v>151.23660964545357</v>
      </c>
      <c r="D94" s="15">
        <f>IF(87.53409="","-",87.53409/1458988.37669*100)</f>
        <v>5.9996427249535862E-3</v>
      </c>
      <c r="E94" s="15">
        <f>IF(132.38359="","-",132.38359/1389017.92207*100)</f>
        <v>9.5307330378224218E-3</v>
      </c>
      <c r="F94" s="15">
        <f>IF(OR(902994.52425="",29.25017="",87.53409=""),"-",(87.53409-29.25017)/902994.52425*100)</f>
        <v>6.454515330356945E-3</v>
      </c>
      <c r="G94" s="15">
        <f>IF(OR(1458988.37669="",132.38359="",87.53409=""),"-",(132.38359-87.53409)/1458988.37669*100)</f>
        <v>3.0740135231063213E-3</v>
      </c>
    </row>
    <row r="95" spans="1:7" x14ac:dyDescent="0.3">
      <c r="A95" s="26" t="s">
        <v>65</v>
      </c>
      <c r="B95" s="10">
        <v>116.26343</v>
      </c>
      <c r="C95" s="15">
        <f>IF(OR(1953.3093="",116.26343=""),"-",116.26343/1953.3093*100)</f>
        <v>5.9521259638706479</v>
      </c>
      <c r="D95" s="15">
        <f>IF(1953.3093="","-",1953.3093/1458988.37669*100)</f>
        <v>0.13388107343469477</v>
      </c>
      <c r="E95" s="15">
        <f>IF(116.26343="","-",116.26343/1389017.92207*100)</f>
        <v>8.3701893368472221E-3</v>
      </c>
      <c r="F95" s="15">
        <f>IF(OR(902994.52425="",133.19958="",1953.3093=""),"-",(1953.3093-133.19958)/902994.52425*100)</f>
        <v>0.20156376047924854</v>
      </c>
      <c r="G95" s="15">
        <f>IF(OR(1458988.37669="",116.26343="",1953.3093=""),"-",(116.26343-1953.3093)/1458988.37669*100)</f>
        <v>-0.12591230330207956</v>
      </c>
    </row>
    <row r="96" spans="1:7" x14ac:dyDescent="0.3">
      <c r="A96" s="26" t="s">
        <v>300</v>
      </c>
      <c r="B96" s="10">
        <v>113.01684</v>
      </c>
      <c r="C96" s="15">
        <f>IF(OR(157.26472="",113.01684=""),"-",113.01684/157.26472*100)</f>
        <v>71.86407733406449</v>
      </c>
      <c r="D96" s="15">
        <f>IF(157.26472="","-",157.26472/1458988.37669*100)</f>
        <v>1.0779024871794093E-2</v>
      </c>
      <c r="E96" s="15">
        <f>IF(113.01684="","-",113.01684/1389017.92207*100)</f>
        <v>8.1364565715304343E-3</v>
      </c>
      <c r="F96" s="15">
        <f>IF(OR(902994.52425="",121.87053="",157.26472=""),"-",(157.26472-121.87053)/902994.52425*100)</f>
        <v>3.9196461384300597E-3</v>
      </c>
      <c r="G96" s="15">
        <f>IF(OR(1458988.37669="",113.01684="",157.26472=""),"-",(113.01684-157.26472)/1458988.37669*100)</f>
        <v>-3.0327781020699396E-3</v>
      </c>
    </row>
    <row r="97" spans="1:7" x14ac:dyDescent="0.3">
      <c r="A97" s="26" t="s">
        <v>334</v>
      </c>
      <c r="B97" s="10">
        <v>78.091949999999997</v>
      </c>
      <c r="C97" s="15" t="str">
        <f>IF(OR(""="",78.09195=""),"-",78.09195/""*100)</f>
        <v>-</v>
      </c>
      <c r="D97" s="15" t="str">
        <f>IF(""="","-",""/1458988.37669*100)</f>
        <v>-</v>
      </c>
      <c r="E97" s="15">
        <f>IF(78.09195="","-",78.09195/1389017.92207*100)</f>
        <v>5.6220980852156729E-3</v>
      </c>
      <c r="F97" s="15" t="str">
        <f>IF(OR(902994.52425="",""="",""=""),"-",(""-"")/902994.52425*100)</f>
        <v>-</v>
      </c>
      <c r="G97" s="15" t="str">
        <f>IF(OR(1458988.37669="",78.09195="",""=""),"-",(78.09195-"")/1458988.37669*100)</f>
        <v>-</v>
      </c>
    </row>
    <row r="98" spans="1:7" x14ac:dyDescent="0.3">
      <c r="A98" s="26" t="s">
        <v>315</v>
      </c>
      <c r="B98" s="10">
        <v>76.393810000000002</v>
      </c>
      <c r="C98" s="15" t="s">
        <v>99</v>
      </c>
      <c r="D98" s="15">
        <f>IF(44.76309="","-",44.76309/1458988.37669*100)</f>
        <v>3.0680909262316269E-3</v>
      </c>
      <c r="E98" s="15">
        <f>IF(76.39381="","-",76.39381/1389017.92207*100)</f>
        <v>5.4998433631549722E-3</v>
      </c>
      <c r="F98" s="15">
        <f>IF(OR(902994.52425="",59.07156="",44.76309=""),"-",(44.76309-59.07156)/902994.52425*100)</f>
        <v>-1.5845577814421613E-3</v>
      </c>
      <c r="G98" s="15">
        <f>IF(OR(1458988.37669="",76.39381="",44.76309=""),"-",(76.39381-44.76309)/1458988.37669*100)</f>
        <v>2.1679898555299298E-3</v>
      </c>
    </row>
    <row r="99" spans="1:7" x14ac:dyDescent="0.3">
      <c r="A99" s="26" t="s">
        <v>335</v>
      </c>
      <c r="B99" s="10">
        <v>73.098399999999998</v>
      </c>
      <c r="C99" s="15">
        <f>IF(OR(117.96092="",73.0984=""),"-",73.0984/117.96092*100)</f>
        <v>61.968319677398242</v>
      </c>
      <c r="D99" s="15">
        <f>IF(117.96092="","-",117.96092/1458988.37669*100)</f>
        <v>8.0851171869934547E-3</v>
      </c>
      <c r="E99" s="15">
        <f>IF(73.0984="","-",73.0984/1389017.92207*100)</f>
        <v>5.262595884368739E-3</v>
      </c>
      <c r="F99" s="15">
        <f>IF(OR(902994.52425="",1.47513="",117.96092=""),"-",(117.96092-1.47513)/902994.52425*100)</f>
        <v>1.2899944226876634E-2</v>
      </c>
      <c r="G99" s="15">
        <f>IF(OR(1458988.37669="",73.0984="",117.96092=""),"-",(73.0984-117.96092)/1458988.37669*100)</f>
        <v>-3.0749059222650826E-3</v>
      </c>
    </row>
    <row r="100" spans="1:7" x14ac:dyDescent="0.3">
      <c r="A100" s="26" t="s">
        <v>302</v>
      </c>
      <c r="B100" s="10">
        <v>72.57199</v>
      </c>
      <c r="C100" s="15">
        <f>IF(OR(135.57303="",72.57199=""),"-",72.57199/135.57303*100)</f>
        <v>53.529813414954283</v>
      </c>
      <c r="D100" s="15">
        <f>IF(135.57303="","-",135.57303/1458988.37669*100)</f>
        <v>9.2922625132609953E-3</v>
      </c>
      <c r="E100" s="15">
        <f>IF(72.57199="","-",72.57199/1389017.92207*100)</f>
        <v>5.2246978852402964E-3</v>
      </c>
      <c r="F100" s="15">
        <f>IF(OR(902994.52425="",164.81958="",135.57303=""),"-",(135.57303-164.81958)/902994.52425*100)</f>
        <v>-3.2388402381832064E-3</v>
      </c>
      <c r="G100" s="15">
        <f>IF(OR(1458988.37669="",72.57199="",135.57303=""),"-",(72.57199-135.57303)/1458988.37669*100)</f>
        <v>-4.3181317278846417E-3</v>
      </c>
    </row>
    <row r="101" spans="1:7" x14ac:dyDescent="0.3">
      <c r="A101" s="26" t="s">
        <v>368</v>
      </c>
      <c r="B101" s="10">
        <v>72.308869999999999</v>
      </c>
      <c r="C101" s="15" t="str">
        <f>IF(OR(""="",72.30887=""),"-",72.30887/""*100)</f>
        <v>-</v>
      </c>
      <c r="D101" s="15" t="str">
        <f>IF(""="","-",""/1458988.37669*100)</f>
        <v>-</v>
      </c>
      <c r="E101" s="15">
        <f>IF(72.30887="","-",72.30887/1389017.92207*100)</f>
        <v>5.2057550051075553E-3</v>
      </c>
      <c r="F101" s="15" t="str">
        <f>IF(OR(902994.52425="",6.25438="",""=""),"-",(""-6.25438)/902994.52425*100)</f>
        <v>-</v>
      </c>
      <c r="G101" s="15" t="str">
        <f>IF(OR(1458988.37669="",72.30887="",""=""),"-",(72.30887-"")/1458988.37669*100)</f>
        <v>-</v>
      </c>
    </row>
    <row r="102" spans="1:7" x14ac:dyDescent="0.3">
      <c r="A102" s="67" t="s">
        <v>336</v>
      </c>
      <c r="B102" s="64">
        <v>70.084810000000004</v>
      </c>
      <c r="C102" s="15" t="str">
        <f>IF(OR(""="",70.08481=""),"-",70.08481/""*100)</f>
        <v>-</v>
      </c>
      <c r="D102" s="15" t="str">
        <f>IF(""="","-",""/1458988.37669*100)</f>
        <v>-</v>
      </c>
      <c r="E102" s="15">
        <f>IF(70.08481="","-",70.08481/1389017.92207*100)</f>
        <v>5.0456375606410678E-3</v>
      </c>
      <c r="F102" s="15" t="str">
        <f>IF(OR(902994.52425="",15.87327="",""=""),"-",(""-15.87327)/902994.52425*100)</f>
        <v>-</v>
      </c>
      <c r="G102" s="15" t="str">
        <f>IF(OR(1458988.37669="",70.08481="",""=""),"-",(70.08481-"")/1458988.37669*100)</f>
        <v>-</v>
      </c>
    </row>
    <row r="103" spans="1:7" x14ac:dyDescent="0.3">
      <c r="A103" s="26" t="s">
        <v>59</v>
      </c>
      <c r="B103" s="10">
        <v>68.043700000000001</v>
      </c>
      <c r="C103" s="15">
        <f>IF(OR(112.21331="",68.0437=""),"-",68.0437/112.21331*100)</f>
        <v>60.637815603157954</v>
      </c>
      <c r="D103" s="15">
        <f>IF(112.21331="","-",112.21331/1458988.37669*100)</f>
        <v>7.6911723076627803E-3</v>
      </c>
      <c r="E103" s="15">
        <f>IF(68.0437="","-",68.0437/1389017.92207*100)</f>
        <v>4.8986912925210561E-3</v>
      </c>
      <c r="F103" s="15">
        <f>IF(OR(902994.52425="",30.23613="",112.21331=""),"-",(112.21331-30.23613)/902994.52425*100)</f>
        <v>9.0783695580089786E-3</v>
      </c>
      <c r="G103" s="15">
        <f>IF(OR(1458988.37669="",68.0437="",112.21331=""),"-",(68.0437-112.21331)/1458988.37669*100)</f>
        <v>-3.0274134260210757E-3</v>
      </c>
    </row>
    <row r="104" spans="1:7" x14ac:dyDescent="0.3">
      <c r="A104" s="26" t="s">
        <v>130</v>
      </c>
      <c r="B104" s="10">
        <v>66.072519999999997</v>
      </c>
      <c r="C104" s="15">
        <f>IF(OR(118.00157="",66.07252=""),"-",66.07252/118.00157*100)</f>
        <v>55.99291602645625</v>
      </c>
      <c r="D104" s="15">
        <f>IF(118.00157="","-",118.00157/1458988.37669*100)</f>
        <v>8.0879033640905082E-3</v>
      </c>
      <c r="E104" s="15">
        <f>IF(66.07252="","-",66.07252/1389017.92207*100)</f>
        <v>4.7567795166771256E-3</v>
      </c>
      <c r="F104" s="15">
        <f>IF(OR(902994.52425="",168.98978="",118.00157=""),"-",(118.00157-168.98978)/902994.52425*100)</f>
        <v>-5.6465691242534675E-3</v>
      </c>
      <c r="G104" s="15">
        <f>IF(OR(1458988.37669="",66.07252="",118.00157=""),"-",(66.07252-118.00157)/1458988.37669*100)</f>
        <v>-3.5592504251343794E-3</v>
      </c>
    </row>
    <row r="105" spans="1:7" x14ac:dyDescent="0.3">
      <c r="A105" s="68" t="s">
        <v>87</v>
      </c>
      <c r="B105" s="69">
        <v>51.875329999999998</v>
      </c>
      <c r="C105" s="18">
        <f>IF(OR(1579.22888="",51.87533=""),"-",51.87533/1579.22888*100)</f>
        <v>3.2848519082300474</v>
      </c>
      <c r="D105" s="18">
        <f>IF(1579.22888="","-",1579.22888/1458988.37669*100)</f>
        <v>0.10824136129053946</v>
      </c>
      <c r="E105" s="18">
        <f>IF(51.87533="","-",51.87533/1389017.92207*100)</f>
        <v>3.7346767939964508E-3</v>
      </c>
      <c r="F105" s="18">
        <f>IF(OR(902994.52425="",196.21936="",1579.22888=""),"-",(1579.22888-196.21936)/902994.52425*100)</f>
        <v>0.1531581291867396</v>
      </c>
      <c r="G105" s="18">
        <f>IF(OR(1458988.37669="",51.87533="",1579.22888=""),"-",(51.87533-1579.22888)/1458988.37669*100)</f>
        <v>-0.10468579286869299</v>
      </c>
    </row>
    <row r="106" spans="1:7" x14ac:dyDescent="0.3">
      <c r="A106" s="19" t="s">
        <v>278</v>
      </c>
      <c r="B106" s="20"/>
      <c r="C106" s="38"/>
      <c r="D106" s="20"/>
      <c r="E106" s="20"/>
    </row>
    <row r="107" spans="1:7" x14ac:dyDescent="0.3">
      <c r="A107" s="72" t="s">
        <v>324</v>
      </c>
      <c r="B107" s="72"/>
      <c r="C107" s="72"/>
      <c r="D107" s="72"/>
      <c r="E107" s="72"/>
    </row>
  </sheetData>
  <mergeCells count="7">
    <mergeCell ref="A107:E107"/>
    <mergeCell ref="A1:G1"/>
    <mergeCell ref="A3:A4"/>
    <mergeCell ref="B3:C3"/>
    <mergeCell ref="D3:E3"/>
    <mergeCell ref="F3:G3"/>
    <mergeCell ref="A2:G2"/>
  </mergeCells>
  <phoneticPr fontId="6" type="noConversion"/>
  <pageMargins left="0.59055118110236227" right="0.39370078740157483" top="0.39370078740157483" bottom="0.39370078740157483" header="0.11811023622047245" footer="0.1181102362204724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N117"/>
  <sheetViews>
    <sheetView zoomScaleNormal="100" workbookViewId="0">
      <selection sqref="A1:G1"/>
    </sheetView>
  </sheetViews>
  <sheetFormatPr defaultRowHeight="15.6" x14ac:dyDescent="0.3"/>
  <cols>
    <col min="1" max="1" width="30.5" customWidth="1"/>
    <col min="2" max="2" width="11.5" customWidth="1"/>
    <col min="3" max="3" width="10.19921875" customWidth="1"/>
    <col min="4" max="5" width="8.8984375" customWidth="1"/>
    <col min="6" max="6" width="9.59765625" customWidth="1"/>
    <col min="7" max="7" width="10.09765625" customWidth="1"/>
    <col min="9" max="9" width="10.19921875" bestFit="1" customWidth="1"/>
  </cols>
  <sheetData>
    <row r="1" spans="1:14" ht="16.2" x14ac:dyDescent="0.35">
      <c r="A1" s="83" t="s">
        <v>288</v>
      </c>
      <c r="B1" s="83"/>
      <c r="C1" s="83"/>
      <c r="D1" s="83"/>
      <c r="E1" s="83"/>
      <c r="F1" s="83"/>
      <c r="G1" s="83"/>
    </row>
    <row r="2" spans="1:14" ht="16.2" x14ac:dyDescent="0.35">
      <c r="A2" s="84"/>
      <c r="B2" s="84"/>
      <c r="C2" s="84"/>
      <c r="D2" s="84"/>
      <c r="E2" s="84"/>
      <c r="F2" s="84"/>
      <c r="G2" s="84"/>
    </row>
    <row r="3" spans="1:14" ht="54" customHeight="1" x14ac:dyDescent="0.3">
      <c r="A3" s="74"/>
      <c r="B3" s="76" t="s">
        <v>352</v>
      </c>
      <c r="C3" s="77"/>
      <c r="D3" s="78" t="s">
        <v>104</v>
      </c>
      <c r="E3" s="79"/>
      <c r="F3" s="80" t="s">
        <v>113</v>
      </c>
      <c r="G3" s="81"/>
    </row>
    <row r="4" spans="1:14" ht="50.25" customHeight="1" x14ac:dyDescent="0.3">
      <c r="A4" s="75"/>
      <c r="B4" s="42" t="s">
        <v>95</v>
      </c>
      <c r="C4" s="41" t="s">
        <v>353</v>
      </c>
      <c r="D4" s="42" t="s">
        <v>354</v>
      </c>
      <c r="E4" s="42" t="s">
        <v>355</v>
      </c>
      <c r="F4" s="42" t="s">
        <v>358</v>
      </c>
      <c r="G4" s="40" t="s">
        <v>359</v>
      </c>
    </row>
    <row r="5" spans="1:14" s="37" customFormat="1" ht="13.8" x14ac:dyDescent="0.25">
      <c r="A5" s="49" t="s">
        <v>116</v>
      </c>
      <c r="B5" s="55">
        <v>2997495.3467600001</v>
      </c>
      <c r="C5" s="51">
        <f>IF(2809489.71283="","-",2997495.34676/2809489.71283*100)</f>
        <v>106.69180716595761</v>
      </c>
      <c r="D5" s="51">
        <v>100</v>
      </c>
      <c r="E5" s="51">
        <v>100</v>
      </c>
      <c r="F5" s="51">
        <f>IF(2113068.17363="","-",(2809489.71283-2113068.17363)/2113068.17363*100)</f>
        <v>32.957835809132014</v>
      </c>
      <c r="G5" s="51">
        <f>IF(2809489.71283="","-",(2997495.34676-2809489.71283)/2809489.71283*100)</f>
        <v>6.6918071659576164</v>
      </c>
      <c r="I5" s="61"/>
      <c r="J5" s="61"/>
      <c r="K5" s="61"/>
      <c r="L5" s="61"/>
      <c r="M5" s="61"/>
      <c r="N5" s="61"/>
    </row>
    <row r="6" spans="1:14" s="1" customFormat="1" ht="13.8" x14ac:dyDescent="0.25">
      <c r="A6" s="17" t="s">
        <v>119</v>
      </c>
      <c r="B6" s="70"/>
      <c r="C6" s="65"/>
      <c r="D6" s="65"/>
      <c r="E6" s="65"/>
      <c r="F6" s="65"/>
      <c r="G6" s="65"/>
    </row>
    <row r="7" spans="1:14" ht="16.5" customHeight="1" x14ac:dyDescent="0.3">
      <c r="A7" s="25" t="s">
        <v>131</v>
      </c>
      <c r="B7" s="9">
        <v>1444614.3782899999</v>
      </c>
      <c r="C7" s="16">
        <f>IF(1241806.69923="","-",1444614.37829/1241806.69923*100)</f>
        <v>116.33166250317008</v>
      </c>
      <c r="D7" s="16">
        <f>IF(1241806.69923="","-",1241806.69923/2809489.71283*100)</f>
        <v>44.200435885530524</v>
      </c>
      <c r="E7" s="16">
        <f>IF(1444614.37829="","-",1444614.37829/2997495.34676*100)</f>
        <v>48.194049070050667</v>
      </c>
      <c r="F7" s="16">
        <f>IF(2113068.17363="","-",(1241806.69923-1004872.86717)/2113068.17363*100)</f>
        <v>11.212786933086772</v>
      </c>
      <c r="G7" s="16">
        <f>IF(2809489.71283="","-",(1444614.37829-1241806.69923)/2809489.71283*100)</f>
        <v>7.2186660137549223</v>
      </c>
    </row>
    <row r="8" spans="1:14" x14ac:dyDescent="0.3">
      <c r="A8" s="26" t="s">
        <v>2</v>
      </c>
      <c r="B8" s="10">
        <v>469433.79485000001</v>
      </c>
      <c r="C8" s="15">
        <f>IF(OR(385212.62954="",469433.79485=""),"-",469433.79485/385212.62954*100)</f>
        <v>121.86355245168683</v>
      </c>
      <c r="D8" s="15">
        <f>IF(385212.62954="","-",385212.62954/2809489.71283*100)</f>
        <v>13.711124400308808</v>
      </c>
      <c r="E8" s="15">
        <f>IF(469433.79485="","-",469433.79485/2997495.34676*100)</f>
        <v>15.660868176406417</v>
      </c>
      <c r="F8" s="15">
        <f>IF(OR(2113068.17363="",260010.27646="",385212.62954=""),"-",(385212.62954-260010.27646)/2113068.17363*100)</f>
        <v>5.9251449925970556</v>
      </c>
      <c r="G8" s="15">
        <f>IF(OR(2809489.71283="",469433.79485="",385212.62954=""),"-",(469433.79485-385212.62954)/2809489.71283*100)</f>
        <v>2.9977388749775491</v>
      </c>
    </row>
    <row r="9" spans="1:14" s="2" customFormat="1" x14ac:dyDescent="0.3">
      <c r="A9" s="26" t="s">
        <v>4</v>
      </c>
      <c r="B9" s="64">
        <v>196016.36851999999</v>
      </c>
      <c r="C9" s="15">
        <f>IF(OR(190008.69625="",196016.36852=""),"-",196016.36852/190008.69625*100)</f>
        <v>103.16178805947678</v>
      </c>
      <c r="D9" s="15">
        <f>IF(190008.69625="","-",190008.69625/2809489.71283*100)</f>
        <v>6.7631034697259729</v>
      </c>
      <c r="E9" s="15">
        <f>IF(196016.36852="","-",196016.36852/2997495.34676*100)</f>
        <v>6.5393385424893005</v>
      </c>
      <c r="F9" s="15">
        <f>IF(OR(2113068.17363="",180282.13377="",190008.69625=""),"-",(190008.69625-180282.13377)/2113068.17363*100)</f>
        <v>0.46030519040428991</v>
      </c>
      <c r="G9" s="15">
        <f>IF(OR(2809489.71283="",196016.36852="",190008.69625=""),"-",(196016.36852-190008.69625)/2809489.71283*100)</f>
        <v>0.21383499795585478</v>
      </c>
    </row>
    <row r="10" spans="1:14" s="2" customFormat="1" x14ac:dyDescent="0.3">
      <c r="A10" s="26" t="s">
        <v>3</v>
      </c>
      <c r="B10" s="10">
        <v>148698.62912</v>
      </c>
      <c r="C10" s="15">
        <f>IF(OR(149873.15293="",148698.62912=""),"-",148698.62912/149873.15293*100)</f>
        <v>99.216321411114521</v>
      </c>
      <c r="D10" s="15">
        <f>IF(149873.15293="","-",149873.15293/2809489.71283*100)</f>
        <v>5.3345328956208462</v>
      </c>
      <c r="E10" s="15">
        <f>IF(148698.62912="","-",148698.62912/2997495.34676*100)</f>
        <v>4.9607626340680966</v>
      </c>
      <c r="F10" s="15">
        <f>IF(OR(2113068.17363="",139536.73614="",149873.15293=""),"-",(149873.15293-139536.73614)/2113068.17363*100)</f>
        <v>0.48916627106466143</v>
      </c>
      <c r="G10" s="15">
        <f>IF(OR(2809489.71283="",148698.62912="",149873.15293=""),"-",(148698.62912-149873.15293)/2809489.71283*100)</f>
        <v>-4.1805592120033611E-2</v>
      </c>
    </row>
    <row r="11" spans="1:14" s="2" customFormat="1" x14ac:dyDescent="0.3">
      <c r="A11" s="26" t="s">
        <v>5</v>
      </c>
      <c r="B11" s="10">
        <v>96476.795899999997</v>
      </c>
      <c r="C11" s="15">
        <f>IF(OR(93676.58369="",96476.7959=""),"-",96476.7959/93676.58369*100)</f>
        <v>102.98923391492009</v>
      </c>
      <c r="D11" s="15">
        <f>IF(93676.58369="","-",93676.58369/2809489.71283*100)</f>
        <v>3.3342917492173179</v>
      </c>
      <c r="E11" s="15">
        <f>IF(96476.7959="","-",96476.7959/2997495.34676*100)</f>
        <v>3.218580339224947</v>
      </c>
      <c r="F11" s="15">
        <f>IF(OR(2113068.17363="",83196.92285="",93676.58369=""),"-",(93676.58369-83196.92285)/2113068.17363*100)</f>
        <v>0.49594523124150719</v>
      </c>
      <c r="G11" s="15">
        <f>IF(OR(2809489.71283="",96476.7959="",93676.58369=""),"-",(96476.7959-93676.58369)/2809489.71283*100)</f>
        <v>9.9669779789986965E-2</v>
      </c>
    </row>
    <row r="12" spans="1:14" s="2" customFormat="1" x14ac:dyDescent="0.3">
      <c r="A12" s="26" t="s">
        <v>290</v>
      </c>
      <c r="B12" s="10">
        <v>82642.254929999996</v>
      </c>
      <c r="C12" s="15">
        <f>IF(OR(76621.0769="",82642.25493=""),"-",82642.25493/76621.0769*100)</f>
        <v>107.85838345480106</v>
      </c>
      <c r="D12" s="15">
        <f>IF(76621.0769="","-",76621.0769/2809489.71283*100)</f>
        <v>2.7272239706056642</v>
      </c>
      <c r="E12" s="15">
        <f>IF(82642.25493="","-",82642.25493/2997495.34676*100)</f>
        <v>2.7570436437650589</v>
      </c>
      <c r="F12" s="15">
        <f>IF(OR(2113068.17363="",63848.9899="",76621.0769=""),"-",(76621.0769-63848.9899)/2113068.17363*100)</f>
        <v>0.60443326719833523</v>
      </c>
      <c r="G12" s="15">
        <f>IF(OR(2809489.71283="",82642.25493="",76621.0769=""),"-",(82642.25493-76621.0769)/2809489.71283*100)</f>
        <v>0.214315717281444</v>
      </c>
    </row>
    <row r="13" spans="1:14" s="2" customFormat="1" x14ac:dyDescent="0.3">
      <c r="A13" s="26" t="s">
        <v>40</v>
      </c>
      <c r="B13" s="10">
        <v>68553.507920000004</v>
      </c>
      <c r="C13" s="15">
        <f>IF(OR(65086.59531="",68553.50792=""),"-",68553.50792/65086.59531*100)</f>
        <v>105.3266154013549</v>
      </c>
      <c r="D13" s="15">
        <f>IF(65086.59531="","-",65086.59531/2809489.71283*100)</f>
        <v>2.316669643343817</v>
      </c>
      <c r="E13" s="15">
        <f>IF(68553.50792="","-",68553.50792/2997495.34676*100)</f>
        <v>2.2870263333052261</v>
      </c>
      <c r="F13" s="15">
        <f>IF(OR(2113068.17363="",43963.97088="",65086.59531=""),"-",(65086.59531-43963.97088)/2113068.17363*100)</f>
        <v>0.99961869160680394</v>
      </c>
      <c r="G13" s="15">
        <f>IF(OR(2809489.71283="",68553.50792="",65086.59531=""),"-",(68553.50792-65086.59531)/2809489.71283*100)</f>
        <v>0.12340008202086578</v>
      </c>
    </row>
    <row r="14" spans="1:14" s="2" customFormat="1" x14ac:dyDescent="0.3">
      <c r="A14" s="26" t="s">
        <v>8</v>
      </c>
      <c r="B14" s="64">
        <v>64169.606079999998</v>
      </c>
      <c r="C14" s="15" t="s">
        <v>322</v>
      </c>
      <c r="D14" s="15">
        <f>IF(12209.82714="","-",12209.82714/2809489.71283*100)</f>
        <v>0.43459234195597168</v>
      </c>
      <c r="E14" s="15">
        <f>IF(64169.60608="","-",64169.60608/2997495.34676*100)</f>
        <v>2.1407741683189294</v>
      </c>
      <c r="F14" s="15">
        <f>IF(OR(2113068.17363="",9235.95195="",12209.82714=""),"-",(12209.82714-9235.95195)/2113068.17363*100)</f>
        <v>0.14073730450879085</v>
      </c>
      <c r="G14" s="15">
        <f>IF(OR(2809489.71283="",64169.60608="",12209.82714=""),"-",(64169.60608-12209.82714)/2809489.71283*100)</f>
        <v>1.8494383055654933</v>
      </c>
    </row>
    <row r="15" spans="1:14" s="2" customFormat="1" x14ac:dyDescent="0.3">
      <c r="A15" s="26" t="s">
        <v>6</v>
      </c>
      <c r="B15" s="10">
        <v>55528.880279999998</v>
      </c>
      <c r="C15" s="15">
        <f>IF(OR(36060.22282="",55528.88028=""),"-",55528.88028/36060.22282*100)</f>
        <v>153.98928774561574</v>
      </c>
      <c r="D15" s="15">
        <f>IF(36060.22282="","-",36060.22282/2809489.71283*100)</f>
        <v>1.2835150331864547</v>
      </c>
      <c r="E15" s="15">
        <f>IF(55528.88028="","-",55528.88028/2997495.34676*100)</f>
        <v>1.852509307146091</v>
      </c>
      <c r="F15" s="15">
        <f>IF(OR(2113068.17363="",23917.00583="",36060.22282=""),"-",(36060.22282-23917.00583)/2113068.17363*100)</f>
        <v>0.57467227709645541</v>
      </c>
      <c r="G15" s="15">
        <f>IF(OR(2809489.71283="",55528.88028="",36060.22282=""),"-",(55528.88028-36060.22282)/2809489.71283*100)</f>
        <v>0.69296062452527041</v>
      </c>
    </row>
    <row r="16" spans="1:14" s="2" customFormat="1" x14ac:dyDescent="0.3">
      <c r="A16" s="26" t="s">
        <v>298</v>
      </c>
      <c r="B16" s="10">
        <v>44488.886939999997</v>
      </c>
      <c r="C16" s="15">
        <f>IF(OR(40409.61948="",44488.88694=""),"-",44488.88694/40409.61948*100)</f>
        <v>110.09479305297332</v>
      </c>
      <c r="D16" s="15">
        <f>IF(40409.61948="","-",40409.61948/2809489.71283*100)</f>
        <v>1.4383259456499442</v>
      </c>
      <c r="E16" s="15">
        <f>IF(44488.88694="","-",44488.88694/2997495.34676*100)</f>
        <v>1.4842020351453802</v>
      </c>
      <c r="F16" s="15">
        <f>IF(OR(2113068.17363="",36111.57025="",40409.61948=""),"-",(40409.61948-36111.57025)/2113068.17363*100)</f>
        <v>0.203403244800023</v>
      </c>
      <c r="G16" s="15">
        <f>IF(OR(2809489.71283="",44488.88694="",40409.61948=""),"-",(44488.88694-40409.61948)/2809489.71283*100)</f>
        <v>0.14519602764058342</v>
      </c>
    </row>
    <row r="17" spans="1:7" s="2" customFormat="1" x14ac:dyDescent="0.3">
      <c r="A17" s="26" t="s">
        <v>38</v>
      </c>
      <c r="B17" s="10">
        <v>40474.635490000001</v>
      </c>
      <c r="C17" s="15">
        <f>IF(OR(39160.43568="",40474.63549=""),"-",40474.63549/39160.43568*100)</f>
        <v>103.35593766305105</v>
      </c>
      <c r="D17" s="15">
        <f>IF(39160.43568="","-",39160.43568/2809489.71283*100)</f>
        <v>1.3938629318045688</v>
      </c>
      <c r="E17" s="15">
        <f>IF(40474.63549="","-",40474.63549/2997495.34676*100)</f>
        <v>1.3502818455998316</v>
      </c>
      <c r="F17" s="15">
        <f>IF(OR(2113068.17363="",31193.72052="",39160.43568=""),"-",(39160.43568-31193.72052)/2113068.17363*100)</f>
        <v>0.3770212082800023</v>
      </c>
      <c r="G17" s="15">
        <f>IF(OR(2809489.71283="",40474.63549="",39160.43568=""),"-",(40474.63549-39160.43568)/2809489.71283*100)</f>
        <v>4.6777171099736975E-2</v>
      </c>
    </row>
    <row r="18" spans="1:7" s="2" customFormat="1" x14ac:dyDescent="0.3">
      <c r="A18" s="26" t="s">
        <v>7</v>
      </c>
      <c r="B18" s="64">
        <v>31583.221570000002</v>
      </c>
      <c r="C18" s="15">
        <f>IF(OR(28058.98764="",31583.22157=""),"-",31583.22157/28058.98764*100)</f>
        <v>112.56008939173545</v>
      </c>
      <c r="D18" s="15">
        <f>IF(28058.98764="","-",28058.98764/2809489.71283*100)</f>
        <v>0.99872185015890902</v>
      </c>
      <c r="E18" s="15">
        <f>IF(31583.22157="","-",31583.22157/2997495.34676*100)</f>
        <v>1.0536537314107386</v>
      </c>
      <c r="F18" s="15">
        <f>IF(OR(2113068.17363="",30767.36633="",28058.98764=""),"-",(28058.98764-30767.36633)/2113068.17363*100)</f>
        <v>-0.12817280217454263</v>
      </c>
      <c r="G18" s="15">
        <f>IF(OR(2809489.71283="",31583.22157="",28058.98764=""),"-",(31583.22157-28058.98764)/2809489.71283*100)</f>
        <v>0.12544035715475321</v>
      </c>
    </row>
    <row r="19" spans="1:7" s="2" customFormat="1" ht="15.75" customHeight="1" x14ac:dyDescent="0.3">
      <c r="A19" s="26" t="s">
        <v>304</v>
      </c>
      <c r="B19" s="10">
        <v>29495.7929</v>
      </c>
      <c r="C19" s="15">
        <f>IF(OR(28889.75496="",29495.7929=""),"-",29495.7929/28889.75496*100)</f>
        <v>102.09776074888521</v>
      </c>
      <c r="D19" s="15">
        <f>IF(28889.75496="","-",28889.75496/2809489.71283*100)</f>
        <v>1.0282918932954319</v>
      </c>
      <c r="E19" s="15">
        <f>IF(29495.7929="","-",29495.7929/2997495.34676*100)</f>
        <v>0.98401463514804366</v>
      </c>
      <c r="F19" s="15">
        <f>IF(OR(2113068.17363="",22351.23001="",28889.75496=""),"-",(28889.75496-22351.23001)/2113068.17363*100)</f>
        <v>0.30943274957227673</v>
      </c>
      <c r="G19" s="15">
        <f>IF(OR(2809489.71283="",29495.7929="",28889.75496=""),"-",(29495.7929-28889.75496)/2809489.71283*100)</f>
        <v>2.1571103721520296E-2</v>
      </c>
    </row>
    <row r="20" spans="1:7" s="2" customFormat="1" x14ac:dyDescent="0.3">
      <c r="A20" s="26" t="s">
        <v>42</v>
      </c>
      <c r="B20" s="64">
        <v>28475.47697</v>
      </c>
      <c r="C20" s="15" t="s">
        <v>196</v>
      </c>
      <c r="D20" s="15">
        <f>IF(16095.803="","-",16095.803/2809489.71283*100)</f>
        <v>0.57290841559219274</v>
      </c>
      <c r="E20" s="15">
        <f>IF(28475.47697="","-",28475.47697/2997495.34676*100)</f>
        <v>0.949975685559586</v>
      </c>
      <c r="F20" s="15">
        <f>IF(OR(2113068.17363="",10668.03364="",16095.803=""),"-",(16095.803-10668.03364)/2113068.17363*100)</f>
        <v>0.2568667413449201</v>
      </c>
      <c r="G20" s="15">
        <f>IF(OR(2809489.71283="",28475.47697="",16095.803=""),"-",(28475.47697-16095.803)/2809489.71283*100)</f>
        <v>0.44063781096852461</v>
      </c>
    </row>
    <row r="21" spans="1:7" s="2" customFormat="1" x14ac:dyDescent="0.3">
      <c r="A21" s="26" t="s">
        <v>39</v>
      </c>
      <c r="B21" s="10">
        <v>21671.61723</v>
      </c>
      <c r="C21" s="15">
        <f>IF(OR(16620.08752="",21671.61723=""),"-",21671.61723/16620.08752*100)</f>
        <v>130.39412219653582</v>
      </c>
      <c r="D21" s="15">
        <f>IF(16620.08752="","-",16620.08752/2809489.71283*100)</f>
        <v>0.59156961650728312</v>
      </c>
      <c r="E21" s="15">
        <f>IF(21671.61723="","-",21671.61723/2997495.34676*100)</f>
        <v>0.72299085479565139</v>
      </c>
      <c r="F21" s="15">
        <f>IF(OR(2113068.17363="",15683.19635="",16620.08752=""),"-",(16620.08752-15683.19635)/2113068.17363*100)</f>
        <v>4.4337952825749732E-2</v>
      </c>
      <c r="G21" s="15">
        <f>IF(OR(2809489.71283="",21671.61723="",16620.08752=""),"-",(21671.61723-16620.08752)/2809489.71283*100)</f>
        <v>0.17980239211880192</v>
      </c>
    </row>
    <row r="22" spans="1:7" s="2" customFormat="1" x14ac:dyDescent="0.3">
      <c r="A22" s="67" t="s">
        <v>48</v>
      </c>
      <c r="B22" s="64">
        <v>12779.61564</v>
      </c>
      <c r="C22" s="15">
        <f>IF(OR(11445.35383="",12779.61564=""),"-",12779.61564/11445.35383*100)</f>
        <v>111.65767201100152</v>
      </c>
      <c r="D22" s="15">
        <f>IF(11445.35383="","-",11445.35383/2809489.71283*100)</f>
        <v>0.40738194476145956</v>
      </c>
      <c r="E22" s="15">
        <f>IF(12779.61564="","-",12779.61564/2997495.34676*100)</f>
        <v>0.42634313523834216</v>
      </c>
      <c r="F22" s="15">
        <f>IF(OR(2113068.17363="",8670.37783="",11445.35383=""),"-",(11445.35383-8670.37783)/2113068.17363*100)</f>
        <v>0.13132448988775036</v>
      </c>
      <c r="G22" s="15">
        <f>IF(OR(2809489.71283="",12779.61564="",11445.35383=""),"-",(12779.61564-11445.35383)/2809489.71283*100)</f>
        <v>4.7491250952330324E-2</v>
      </c>
    </row>
    <row r="23" spans="1:7" s="2" customFormat="1" x14ac:dyDescent="0.3">
      <c r="A23" s="26" t="s">
        <v>49</v>
      </c>
      <c r="B23" s="10">
        <v>12174.032139999999</v>
      </c>
      <c r="C23" s="15">
        <f>IF(OR(8815.30433="",12174.03214=""),"-",12174.03214/8815.30433*100)</f>
        <v>138.1010987739773</v>
      </c>
      <c r="D23" s="15">
        <f>IF(8815.30433="","-",8815.30433/2809489.71283*100)</f>
        <v>0.31376887730691638</v>
      </c>
      <c r="E23" s="15">
        <f>IF(12174.03214="","-",12174.03214/2997495.34676*100)</f>
        <v>0.40614015141537885</v>
      </c>
      <c r="F23" s="15">
        <f>IF(OR(2113068.17363="",9451.69292="",8815.30433=""),"-",(8815.30433-9451.69292)/2113068.17363*100)</f>
        <v>-3.0116803515466264E-2</v>
      </c>
      <c r="G23" s="15">
        <f>IF(OR(2809489.71283="",12174.03214="",8815.30433=""),"-",(12174.03214-8815.30433)/2809489.71283*100)</f>
        <v>0.11954938986470788</v>
      </c>
    </row>
    <row r="24" spans="1:7" s="2" customFormat="1" x14ac:dyDescent="0.3">
      <c r="A24" s="26" t="s">
        <v>50</v>
      </c>
      <c r="B24" s="10">
        <v>9903.4511999999995</v>
      </c>
      <c r="C24" s="15">
        <f>IF(OR(9999.45168="",9903.4512=""),"-",9903.4512/9999.45168*100)</f>
        <v>99.039942558130349</v>
      </c>
      <c r="D24" s="15">
        <f>IF(9999.45168="","-",9999.45168/2809489.71283*100)</f>
        <v>0.35591700636367696</v>
      </c>
      <c r="E24" s="15">
        <f>IF(9903.4512="","-",9903.4512/2997495.34676*100)</f>
        <v>0.33039087819451207</v>
      </c>
      <c r="F24" s="15">
        <f>IF(OR(2113068.17363="",10152.10968="",9999.45168=""),"-",(9999.45168-10152.10968)/2113068.17363*100)</f>
        <v>-7.2244711223751548E-3</v>
      </c>
      <c r="G24" s="15">
        <f>IF(OR(2809489.71283="",9903.4512="",9999.45168=""),"-",(9903.4512-9999.45168)/2809489.71283*100)</f>
        <v>-3.417007706474187E-3</v>
      </c>
    </row>
    <row r="25" spans="1:7" s="2" customFormat="1" x14ac:dyDescent="0.3">
      <c r="A25" s="26" t="s">
        <v>43</v>
      </c>
      <c r="B25" s="10">
        <v>6481.9061799999999</v>
      </c>
      <c r="C25" s="15">
        <f>IF(OR(6040.27478="",6481.90618=""),"-",6481.90618/6040.27478*100)</f>
        <v>107.31144552334422</v>
      </c>
      <c r="D25" s="15">
        <f>IF(6040.27478="","-",6040.27478/2809489.71283*100)</f>
        <v>0.21499544036114757</v>
      </c>
      <c r="E25" s="15">
        <f>IF(6481.90618="","-",6481.90618/2997495.34676*100)</f>
        <v>0.2162440781436511</v>
      </c>
      <c r="F25" s="15">
        <f>IF(OR(2113068.17363="",4923.5368="",6040.27478=""),"-",(6040.27478-4923.5368)/2113068.17363*100)</f>
        <v>5.2849122140795707E-2</v>
      </c>
      <c r="G25" s="15">
        <f>IF(OR(2809489.71283="",6481.90618="",6040.27478=""),"-",(6481.90618-6040.27478)/2809489.71283*100)</f>
        <v>1.5719274499679331E-2</v>
      </c>
    </row>
    <row r="26" spans="1:7" s="2" customFormat="1" x14ac:dyDescent="0.3">
      <c r="A26" s="26" t="s">
        <v>47</v>
      </c>
      <c r="B26" s="10">
        <v>6322.6239599999999</v>
      </c>
      <c r="C26" s="15">
        <f>IF(OR(5754.67089="",6322.62396=""),"-",6322.62396/5754.67089*100)</f>
        <v>109.86942747650335</v>
      </c>
      <c r="D26" s="15">
        <f>IF(5754.67089="","-",5754.67089/2809489.71283*100)</f>
        <v>0.20482975480281498</v>
      </c>
      <c r="E26" s="15">
        <f>IF(6322.62396="","-",6322.62396/2997495.34676*100)</f>
        <v>0.21093023436497207</v>
      </c>
      <c r="F26" s="15">
        <f>IF(OR(2113068.17363="",4361.3441="",5754.67089=""),"-",(5754.67089-4361.3441)/2113068.17363*100)</f>
        <v>6.5938563051963911E-2</v>
      </c>
      <c r="G26" s="15">
        <f>IF(OR(2809489.71283="",6322.62396="",5754.67089=""),"-",(6322.62396-5754.67089)/2809489.71283*100)</f>
        <v>2.0215524100563452E-2</v>
      </c>
    </row>
    <row r="27" spans="1:7" s="2" customFormat="1" x14ac:dyDescent="0.3">
      <c r="A27" s="26" t="s">
        <v>46</v>
      </c>
      <c r="B27" s="10">
        <v>6196.7992400000003</v>
      </c>
      <c r="C27" s="15">
        <f>IF(OR(7577.85405="",6196.79924=""),"-",6196.79924/7577.85405*100)</f>
        <v>81.775119962887118</v>
      </c>
      <c r="D27" s="15">
        <f>IF(7577.85405="","-",7577.85405/2809489.71283*100)</f>
        <v>0.26972350229276421</v>
      </c>
      <c r="E27" s="15">
        <f>IF(6196.79924="","-",6196.79924/2997495.34676*100)</f>
        <v>0.20673257246914947</v>
      </c>
      <c r="F27" s="15">
        <f>IF(OR(2113068.17363="",5055.14348="",7577.85405=""),"-",(7577.85405-5055.14348)/2113068.17363*100)</f>
        <v>0.1193861419845382</v>
      </c>
      <c r="G27" s="15">
        <f>IF(OR(2809489.71283="",6196.79924="",7577.85405=""),"-",(6196.79924-7577.85405)/2809489.71283*100)</f>
        <v>-4.9156784724755674E-2</v>
      </c>
    </row>
    <row r="28" spans="1:7" s="2" customFormat="1" x14ac:dyDescent="0.3">
      <c r="A28" s="26" t="s">
        <v>41</v>
      </c>
      <c r="B28" s="10">
        <v>5109.17184</v>
      </c>
      <c r="C28" s="15">
        <f>IF(OR(6148.44799="",5109.17184=""),"-",5109.17184/6148.44799*100)</f>
        <v>83.096935166560627</v>
      </c>
      <c r="D28" s="15">
        <f>IF(6148.44799="","-",6148.44799/2809489.71283*100)</f>
        <v>0.21884571998687496</v>
      </c>
      <c r="E28" s="15">
        <f>IF(5109.17184="","-",5109.17184/2997495.34676*100)</f>
        <v>0.17044803240553871</v>
      </c>
      <c r="F28" s="15">
        <f>IF(OR(2113068.17363="",3237.79739="",6148.44799=""),"-",(6148.44799-3237.79739)/2113068.17363*100)</f>
        <v>0.13774522925116267</v>
      </c>
      <c r="G28" s="15">
        <f>IF(OR(2809489.71283="",5109.17184="",6148.44799=""),"-",(5109.17184-6148.44799)/2809489.71283*100)</f>
        <v>-3.6991633934588652E-2</v>
      </c>
    </row>
    <row r="29" spans="1:7" s="2" customFormat="1" x14ac:dyDescent="0.3">
      <c r="A29" s="26" t="s">
        <v>51</v>
      </c>
      <c r="B29" s="10">
        <v>2548.0120900000002</v>
      </c>
      <c r="C29" s="15">
        <f>IF(OR(3480.25382="",2548.01209=""),"-",2548.01209/3480.25382*100)</f>
        <v>73.213398268750424</v>
      </c>
      <c r="D29" s="15">
        <f>IF(3480.25382="","-",3480.25382/2809489.71283*100)</f>
        <v>0.12387494441096704</v>
      </c>
      <c r="E29" s="15">
        <f>IF(2548.01209="","-",2548.01209/2997495.34676*100)</f>
        <v>8.5004705436962646E-2</v>
      </c>
      <c r="F29" s="15">
        <f>IF(OR(2113068.17363="",2419.35696="",3480.25382=""),"-",(3480.25382-2419.35696)/2113068.17363*100)</f>
        <v>5.0206466276831244E-2</v>
      </c>
      <c r="G29" s="15">
        <f>IF(OR(2809489.71283="",2548.01209="",3480.25382=""),"-",(2548.01209-3480.25382)/2809489.71283*100)</f>
        <v>-3.3181888004172551E-2</v>
      </c>
    </row>
    <row r="30" spans="1:7" s="2" customFormat="1" x14ac:dyDescent="0.3">
      <c r="A30" s="26" t="s">
        <v>291</v>
      </c>
      <c r="B30" s="10">
        <v>2209.4383899999998</v>
      </c>
      <c r="C30" s="15">
        <f>IF(OR(2193.73679="",2209.43839=""),"-",2209.43839/2193.73679*100)</f>
        <v>100.71574676012065</v>
      </c>
      <c r="D30" s="15">
        <f>IF(2193.73679="","-",2193.73679/2809489.71283*100)</f>
        <v>7.8083104557455305E-2</v>
      </c>
      <c r="E30" s="15">
        <f>IF(2209.43839="","-",2209.43839/2997495.34676*100)</f>
        <v>7.3709485233669741E-2</v>
      </c>
      <c r="F30" s="15">
        <f>IF(OR(2113068.17363="",2568.87607="",2193.73679=""),"-",(2193.73679-2568.87607)/2113068.17363*100)</f>
        <v>-1.7753297535855417E-2</v>
      </c>
      <c r="G30" s="15">
        <f>IF(OR(2809489.71283="",2209.43839="",2193.73679=""),"-",(2209.43839-2193.73679)/2809489.71283*100)</f>
        <v>5.5887729107161044E-4</v>
      </c>
    </row>
    <row r="31" spans="1:7" s="2" customFormat="1" x14ac:dyDescent="0.3">
      <c r="A31" s="26" t="s">
        <v>44</v>
      </c>
      <c r="B31" s="10">
        <v>2164.02079</v>
      </c>
      <c r="C31" s="15" t="s">
        <v>99</v>
      </c>
      <c r="D31" s="15">
        <f>IF(1305.69015="","-",1305.69015/2809489.71283*100)</f>
        <v>4.6474281220441907E-2</v>
      </c>
      <c r="E31" s="15">
        <f>IF(2164.02079="","-",2164.02079/2997495.34676*100)</f>
        <v>7.2194300229326311E-2</v>
      </c>
      <c r="F31" s="15">
        <f>IF(OR(2113068.17363="",1892.21069="",1305.69015=""),"-",(1305.69015-1892.21069)/2113068.17363*100)</f>
        <v>-2.7756820500136899E-2</v>
      </c>
      <c r="G31" s="15">
        <f>IF(OR(2809489.71283="",2164.02079="",1305.69015=""),"-",(2164.02079-1305.69015)/2809489.71283*100)</f>
        <v>3.0551122365043412E-2</v>
      </c>
    </row>
    <row r="32" spans="1:7" s="2" customFormat="1" x14ac:dyDescent="0.3">
      <c r="A32" s="26" t="s">
        <v>52</v>
      </c>
      <c r="B32" s="10">
        <v>695.70762999999999</v>
      </c>
      <c r="C32" s="15">
        <f>IF(OR(802.90205="",695.70763=""),"-",695.70763/802.90205*100)</f>
        <v>86.649128620359107</v>
      </c>
      <c r="D32" s="15">
        <f>IF(802.90205="","-",802.90205/2809489.71283*100)</f>
        <v>2.8578216404687828E-2</v>
      </c>
      <c r="E32" s="15">
        <f>IF(695.70763="","-",695.70763/2997495.34676*100)</f>
        <v>2.3209631693073086E-2</v>
      </c>
      <c r="F32" s="15">
        <f>IF(OR(2113068.17363="",1110.44934="",802.90205=""),"-",(802.90205-1110.44934)/2113068.17363*100)</f>
        <v>-1.4554537039459079E-2</v>
      </c>
      <c r="G32" s="15">
        <f>IF(OR(2809489.71283="",695.70763="",802.90205=""),"-",(695.70763-802.90205)/2809489.71283*100)</f>
        <v>-3.8154409147853063E-3</v>
      </c>
    </row>
    <row r="33" spans="1:7" s="2" customFormat="1" x14ac:dyDescent="0.3">
      <c r="A33" s="26" t="s">
        <v>45</v>
      </c>
      <c r="B33" s="10">
        <v>313.87248</v>
      </c>
      <c r="C33" s="15" t="s">
        <v>100</v>
      </c>
      <c r="D33" s="15">
        <f>IF(194.60488="","-",194.60488/2809489.71283*100)</f>
        <v>6.9266984360649049E-3</v>
      </c>
      <c r="E33" s="15">
        <f>IF(313.87248="","-",313.87248/2997495.34676*100)</f>
        <v>1.0471158206776384E-2</v>
      </c>
      <c r="F33" s="15">
        <f>IF(OR(2113068.17363="",212.19468="",194.60488=""),"-",(194.60488-212.19468)/2113068.17363*100)</f>
        <v>-8.3242936595759754E-4</v>
      </c>
      <c r="G33" s="15">
        <f>IF(OR(2809489.71283="",313.87248="",194.60488=""),"-",(313.87248-194.60488)/2809489.71283*100)</f>
        <v>4.2451694859513001E-3</v>
      </c>
    </row>
    <row r="34" spans="1:7" s="2" customFormat="1" x14ac:dyDescent="0.3">
      <c r="A34" s="26" t="s">
        <v>53</v>
      </c>
      <c r="B34" s="10">
        <v>6.2580099999999996</v>
      </c>
      <c r="C34" s="15">
        <f>IF(OR(21.76882="",6.25801=""),"-",6.25801/21.76882*100)</f>
        <v>28.747584848420811</v>
      </c>
      <c r="D34" s="15">
        <f>IF(21.76882="","-",21.76882/2809489.71283*100)</f>
        <v>7.7483181022479212E-4</v>
      </c>
      <c r="E34" s="15">
        <f>IF(6.25801="","-",6.25801/2997495.34676*100)</f>
        <v>2.0877463602284811E-4</v>
      </c>
      <c r="F34" s="15">
        <f>IF(OR(2113068.17363="",33.84283="",21.76882=""),"-",(21.76882-33.84283)/2113068.17363*100)</f>
        <v>-5.7139708745214228E-4</v>
      </c>
      <c r="G34" s="15">
        <f>IF(OR(2809489.71283="",6.25801="",21.76882=""),"-",(6.25801-21.76882)/2809489.71283*100)</f>
        <v>-5.5208637814786504E-4</v>
      </c>
    </row>
    <row r="35" spans="1:7" s="2" customFormat="1" x14ac:dyDescent="0.3">
      <c r="A35" s="25" t="s">
        <v>197</v>
      </c>
      <c r="B35" s="9">
        <v>666289.35016000003</v>
      </c>
      <c r="C35" s="16">
        <f>IF(836848.01155="","-",666289.35016/836848.01155*100)</f>
        <v>79.618920158023286</v>
      </c>
      <c r="D35" s="16">
        <f>IF(836848.01155="","-",836848.01155/2809489.71283*100)</f>
        <v>29.786477157342667</v>
      </c>
      <c r="E35" s="16">
        <f>IF(666289.35016="","-",666289.35016/2997495.34676*100)</f>
        <v>22.228202985542371</v>
      </c>
      <c r="F35" s="16">
        <f>IF(2113068.17363="","-",(836848.01155-490527.20939)/2113068.17363*100)</f>
        <v>16.389476046343649</v>
      </c>
      <c r="G35" s="16">
        <f>IF(2809489.71283="","-",(666289.35016-836848.01155)/2809489.71283*100)</f>
        <v>-6.0708056915501647</v>
      </c>
    </row>
    <row r="36" spans="1:7" s="2" customFormat="1" x14ac:dyDescent="0.3">
      <c r="A36" s="26" t="s">
        <v>10</v>
      </c>
      <c r="B36" s="10">
        <v>404606.03547</v>
      </c>
      <c r="C36" s="15" t="s">
        <v>196</v>
      </c>
      <c r="D36" s="15">
        <f>IF(229086.72479="","-",229086.72479/2809489.71283*100)</f>
        <v>8.1540332304417245</v>
      </c>
      <c r="E36" s="15">
        <f>IF(404606.03547="","-",404606.03547/2997495.34676*100)</f>
        <v>13.498137233385188</v>
      </c>
      <c r="F36" s="15">
        <f>IF(OR(2113068.17363="",184343.40735="",229086.72479=""),"-",(229086.72479-184343.40735)/2113068.17363*100)</f>
        <v>2.1174573541153814</v>
      </c>
      <c r="G36" s="15">
        <f>IF(OR(2809489.71283="",404606.03547="",229086.72479=""),"-",(404606.03547-229086.72479)/2809489.71283*100)</f>
        <v>6.2473733175979245</v>
      </c>
    </row>
    <row r="37" spans="1:7" s="2" customFormat="1" x14ac:dyDescent="0.3">
      <c r="A37" s="26" t="s">
        <v>292</v>
      </c>
      <c r="B37" s="10">
        <v>163095.6153</v>
      </c>
      <c r="C37" s="15">
        <f>IF(OR(542594.41161="",163095.6153=""),"-",163095.6153/542594.41161*100)</f>
        <v>30.058476794122988</v>
      </c>
      <c r="D37" s="15">
        <f>IF(542594.41161="","-",542594.41161/2809489.71283*100)</f>
        <v>19.312916830844859</v>
      </c>
      <c r="E37" s="15">
        <f>IF(163095.6153="","-",163095.6153/2997495.34676*100)</f>
        <v>5.4410631688316196</v>
      </c>
      <c r="F37" s="15">
        <f>IF(OR(2113068.17363="",257697.75121="",542594.41161=""),"-",(542594.41161-257697.75121)/2113068.17363*100)</f>
        <v>13.482606191099897</v>
      </c>
      <c r="G37" s="15">
        <f>IF(OR(2809489.71283="",163095.6153="",542594.41161=""),"-",(163095.6153-542594.41161)/2809489.71283*100)</f>
        <v>-13.507748206977082</v>
      </c>
    </row>
    <row r="38" spans="1:7" s="2" customFormat="1" x14ac:dyDescent="0.3">
      <c r="A38" s="26" t="s">
        <v>11</v>
      </c>
      <c r="B38" s="10">
        <v>42918.057580000001</v>
      </c>
      <c r="C38" s="15" t="s">
        <v>378</v>
      </c>
      <c r="D38" s="15">
        <f>IF(5950.54492="","-",5950.54492/2809489.71283*100)</f>
        <v>0.21180162692270599</v>
      </c>
      <c r="E38" s="15">
        <f>IF(42918.05758="","-",42918.05758/2997495.34676*100)</f>
        <v>1.4317973045859849</v>
      </c>
      <c r="F38" s="15">
        <f>IF(OR(2113068.17363="",4374.84031="",5950.54492=""),"-",(5950.54492-4374.84031)/2113068.17363*100)</f>
        <v>7.4569511275782804E-2</v>
      </c>
      <c r="G38" s="15">
        <f>IF(OR(2809489.71283="",42918.05758="",5950.54492=""),"-",(42918.05758-5950.54492)/2809489.71283*100)</f>
        <v>1.3158087922935517</v>
      </c>
    </row>
    <row r="39" spans="1:7" s="2" customFormat="1" x14ac:dyDescent="0.3">
      <c r="A39" s="26" t="s">
        <v>9</v>
      </c>
      <c r="B39" s="10">
        <v>28695.776389999999</v>
      </c>
      <c r="C39" s="15">
        <f>IF(OR(37960.74872="",28695.77639=""),"-",28695.77639/37960.74872*100)</f>
        <v>75.59328347726013</v>
      </c>
      <c r="D39" s="15">
        <f>IF(37960.74872="","-",37960.74872/2809489.71283*100)</f>
        <v>1.351161691272474</v>
      </c>
      <c r="E39" s="15">
        <f>IF(28695.77639="","-",28695.77639/2997495.34676*100)</f>
        <v>0.95732513550078835</v>
      </c>
      <c r="F39" s="15">
        <f>IF(OR(2113068.17363="",38965.31052="",37960.74872=""),"-",(37960.74872-38965.31052)/2113068.17363*100)</f>
        <v>-4.7540434924741588E-2</v>
      </c>
      <c r="G39" s="15">
        <f>IF(OR(2809489.71283="",28695.77639="",37960.74872=""),"-",(28695.77639-37960.74872)/2809489.71283*100)</f>
        <v>-0.32977420375273042</v>
      </c>
    </row>
    <row r="40" spans="1:7" s="2" customFormat="1" x14ac:dyDescent="0.3">
      <c r="A40" s="26" t="s">
        <v>12</v>
      </c>
      <c r="B40" s="10">
        <v>13007.609640000001</v>
      </c>
      <c r="C40" s="15" t="s">
        <v>196</v>
      </c>
      <c r="D40" s="15">
        <f>IF(7085.36573="","-",7085.36573/2809489.71283*100)</f>
        <v>0.252194044265174</v>
      </c>
      <c r="E40" s="15">
        <f>IF(13007.60964="","-",13007.60964/2997495.34676*100)</f>
        <v>0.43394928549463657</v>
      </c>
      <c r="F40" s="15">
        <f>IF(OR(2113068.17363="",439.33126="",7085.36573=""),"-",(7085.36573-439.33126)/2113068.17363*100)</f>
        <v>0.31452058920479137</v>
      </c>
      <c r="G40" s="15">
        <f>IF(OR(2809489.71283="",13007.60964="",7085.36573=""),"-",(13007.60964-7085.36573)/2809489.71283*100)</f>
        <v>0.21079429061281457</v>
      </c>
    </row>
    <row r="41" spans="1:7" s="2" customFormat="1" x14ac:dyDescent="0.3">
      <c r="A41" s="26" t="s">
        <v>14</v>
      </c>
      <c r="B41" s="10">
        <v>7970.5955899999999</v>
      </c>
      <c r="C41" s="15" t="s">
        <v>196</v>
      </c>
      <c r="D41" s="15">
        <f>IF(4519.13855="","-",4519.13855/2809489.71283*100)</f>
        <v>0.16085264627816948</v>
      </c>
      <c r="E41" s="15">
        <f>IF(7970.59559="","-",7970.59559/2997495.34676*100)</f>
        <v>0.26590852254751407</v>
      </c>
      <c r="F41" s="15">
        <f>IF(OR(2113068.17363="",243.74477="",4519.13855=""),"-",(4519.13855-243.74477)/2113068.17363*100)</f>
        <v>0.20233108582840376</v>
      </c>
      <c r="G41" s="15">
        <f>IF(OR(2809489.71283="",7970.59559="",4519.13855=""),"-",(7970.59559-4519.13855)/2809489.71283*100)</f>
        <v>0.12284996183607115</v>
      </c>
    </row>
    <row r="42" spans="1:7" s="2" customFormat="1" x14ac:dyDescent="0.3">
      <c r="A42" s="26" t="s">
        <v>13</v>
      </c>
      <c r="B42" s="10">
        <v>3535.6987100000001</v>
      </c>
      <c r="C42" s="15">
        <f>IF(OR(6634.92433="",3535.69871=""),"-",3535.69871/6634.92433*100)</f>
        <v>53.28920925312196</v>
      </c>
      <c r="D42" s="15">
        <f>IF(6634.92433="","-",6634.92433/2809489.71283*100)</f>
        <v>0.23616118968866548</v>
      </c>
      <c r="E42" s="15">
        <f>IF(3535.69871="","-",3535.69871/2997495.34676*100)</f>
        <v>0.11795510254325316</v>
      </c>
      <c r="F42" s="15">
        <f>IF(OR(2113068.17363="",4076.94868="",6634.92433=""),"-",(6634.92433-4076.94868)/2113068.17363*100)</f>
        <v>0.12105504601896973</v>
      </c>
      <c r="G42" s="15">
        <f>IF(OR(2809489.71283="",3535.69871="",6634.92433=""),"-",(3535.69871-6634.92433)/2809489.71283*100)</f>
        <v>-0.11031275914081026</v>
      </c>
    </row>
    <row r="43" spans="1:7" s="2" customFormat="1" x14ac:dyDescent="0.3">
      <c r="A43" s="26" t="s">
        <v>15</v>
      </c>
      <c r="B43" s="10">
        <v>1463.87339</v>
      </c>
      <c r="C43" s="15" t="s">
        <v>330</v>
      </c>
      <c r="D43" s="15">
        <f>IF(419.95953="","-",419.95953/2809489.71283*100)</f>
        <v>1.4947893494045742E-2</v>
      </c>
      <c r="E43" s="15">
        <f>IF(1463.87339="","-",1463.87339/2997495.34676*100)</f>
        <v>4.8836552543185911E-2</v>
      </c>
      <c r="F43" s="15">
        <f>IF(OR(2113068.17363="",327.96246="",419.95953=""),"-",(419.95953-327.96246)/2113068.17363*100)</f>
        <v>4.3537199200705352E-3</v>
      </c>
      <c r="G43" s="15">
        <f>IF(OR(2809489.71283="",1463.87339="",419.95953=""),"-",(1463.87339-419.95953)/2809489.71283*100)</f>
        <v>3.7156706971831738E-2</v>
      </c>
    </row>
    <row r="44" spans="1:7" s="2" customFormat="1" x14ac:dyDescent="0.3">
      <c r="A44" s="26" t="s">
        <v>299</v>
      </c>
      <c r="B44" s="10">
        <v>996.08808999999997</v>
      </c>
      <c r="C44" s="15">
        <f>IF(OR(2594.58062="",996.08809=""),"-",996.08809/2594.58062*100)</f>
        <v>38.391101911491191</v>
      </c>
      <c r="D44" s="15">
        <f>IF(2594.58062="","-",2594.58062/2809489.71283*100)</f>
        <v>9.2350600472086375E-2</v>
      </c>
      <c r="E44" s="15">
        <f>IF(996.08809="","-",996.08809/2997495.34676*100)</f>
        <v>3.3230680110201805E-2</v>
      </c>
      <c r="F44" s="15">
        <f>IF(OR(2113068.17363="",43.9081="",2594.58062=""),"-",(2594.58062-43.9081)/2113068.17363*100)</f>
        <v>0.1207094286796364</v>
      </c>
      <c r="G44" s="15">
        <f>IF(OR(2809489.71283="",996.08809="",2594.58062=""),"-",(996.08809-2594.58062)/2809489.71283*100)</f>
        <v>-5.6896187328973627E-2</v>
      </c>
    </row>
    <row r="45" spans="1:7" s="2" customFormat="1" x14ac:dyDescent="0.3">
      <c r="A45" s="25" t="s">
        <v>132</v>
      </c>
      <c r="B45" s="9">
        <v>886591.61831000005</v>
      </c>
      <c r="C45" s="16">
        <f>IF(730835.00205="","-",886591.61831/730835.00205*100)</f>
        <v>121.31214512483682</v>
      </c>
      <c r="D45" s="16">
        <f>IF(730835.00205="","-",730835.00205/2809489.71283*100)</f>
        <v>26.013086957126802</v>
      </c>
      <c r="E45" s="16">
        <f>IF(886591.61831="","-",886591.61831/2997495.34676*100)</f>
        <v>29.577747944406958</v>
      </c>
      <c r="F45" s="16">
        <f>IF(2113068.17363="","-",(730835.00205-617668.09707)/2113068.17363*100)</f>
        <v>5.3555728297015941</v>
      </c>
      <c r="G45" s="16">
        <f>IF(2809489.71283="","-",(886591.61831-730835.00205)/2809489.71283*100)</f>
        <v>5.5439468437528587</v>
      </c>
    </row>
    <row r="46" spans="1:7" s="2" customFormat="1" x14ac:dyDescent="0.3">
      <c r="A46" s="26" t="s">
        <v>57</v>
      </c>
      <c r="B46" s="10">
        <v>294386.77269000001</v>
      </c>
      <c r="C46" s="15">
        <f>IF(OR(250659.53944="",294386.77269=""),"-",294386.77269/250659.53944*100)</f>
        <v>117.44487097825653</v>
      </c>
      <c r="D46" s="15">
        <f>IF(250659.53944="","-",250659.53944/2809489.71283*100)</f>
        <v>8.921888494388206</v>
      </c>
      <c r="E46" s="15">
        <f>IF(294386.77269="","-",294386.77269/2997495.34676*100)</f>
        <v>9.821091899548847</v>
      </c>
      <c r="F46" s="15">
        <f>IF(OR(2113068.17363="",237248.97067="",250659.53944=""),"-",(250659.53944-237248.97067)/2113068.17363*100)</f>
        <v>0.63464912951493746</v>
      </c>
      <c r="G46" s="15">
        <f>IF(OR(2809489.71283="",294386.77269="",250659.53944=""),"-",(294386.77269-250659.53944)/2809489.71283*100)</f>
        <v>1.5564119366699356</v>
      </c>
    </row>
    <row r="47" spans="1:7" s="2" customFormat="1" x14ac:dyDescent="0.3">
      <c r="A47" s="26" t="s">
        <v>54</v>
      </c>
      <c r="B47" s="64">
        <v>247853.4596</v>
      </c>
      <c r="C47" s="15">
        <f>IF(OR(191162.02019="",247853.4596=""),"-",247853.4596/191162.02019*100)</f>
        <v>129.65622530754445</v>
      </c>
      <c r="D47" s="15">
        <f>IF(191162.02019="","-",191162.02019/2809489.71283*100)</f>
        <v>6.8041544810442609</v>
      </c>
      <c r="E47" s="15">
        <f>IF(247853.4596="","-",247853.4596/2997495.34676*100)</f>
        <v>8.2686853832118672</v>
      </c>
      <c r="F47" s="15">
        <f>IF(OR(2113068.17363="",156492.55804="",191162.02019=""),"-",(191162.02019-156492.55804)/2113068.17363*100)</f>
        <v>1.6407166878313248</v>
      </c>
      <c r="G47" s="15">
        <f>IF(OR(2809489.71283="",247853.4596="",191162.02019=""),"-",(247853.4596-191162.02019)/2809489.71283*100)</f>
        <v>2.0178553831718671</v>
      </c>
    </row>
    <row r="48" spans="1:7" s="2" customFormat="1" x14ac:dyDescent="0.3">
      <c r="A48" s="26" t="s">
        <v>67</v>
      </c>
      <c r="B48" s="10">
        <v>63889.21862</v>
      </c>
      <c r="C48" s="15">
        <f>IF(OR(49179.4553="",63889.21862=""),"-",63889.21862/49179.4553*100)</f>
        <v>129.91038276099002</v>
      </c>
      <c r="D48" s="15">
        <f>IF(49179.4553="","-",49179.4553/2809489.71283*100)</f>
        <v>1.7504764326209801</v>
      </c>
      <c r="E48" s="15">
        <f>IF(63889.21862="","-",63889.21862/2997495.34676*100)</f>
        <v>2.13142011009485</v>
      </c>
      <c r="F48" s="15">
        <f>IF(OR(2113068.17363="",15478.38678="",49179.4553=""),"-",(49179.4553-15478.38678)/2113068.17363*100)</f>
        <v>1.5948878952686874</v>
      </c>
      <c r="G48" s="15">
        <f>IF(OR(2809489.71283="",63889.21862="",49179.4553=""),"-",(63889.21862-49179.4553)/2809489.71283*100)</f>
        <v>0.52357420113785891</v>
      </c>
    </row>
    <row r="49" spans="1:7" s="2" customFormat="1" x14ac:dyDescent="0.3">
      <c r="A49" s="26" t="s">
        <v>17</v>
      </c>
      <c r="B49" s="64">
        <v>41652.579570000002</v>
      </c>
      <c r="C49" s="15">
        <f>IF(OR(51931.49319="",41652.57957=""),"-",41652.57957/51931.49319*100)</f>
        <v>80.206782072695489</v>
      </c>
      <c r="D49" s="15">
        <f>IF(51931.49319="","-",51931.49319/2809489.71283*100)</f>
        <v>1.8484315124147364</v>
      </c>
      <c r="E49" s="15">
        <f>IF(41652.57957="","-",41652.57957/2997495.34676*100)</f>
        <v>1.3895794572299294</v>
      </c>
      <c r="F49" s="15">
        <f>IF(OR(2113068.17363="",31870.06749="",51931.49319=""),"-",(51931.49319-31870.06749)/2113068.17363*100)</f>
        <v>0.94939793946812678</v>
      </c>
      <c r="G49" s="15">
        <f>IF(OR(2809489.71283="",41652.57957="",51931.49319=""),"-",(41652.57957-51931.49319)/2809489.71283*100)</f>
        <v>-0.3658640774892194</v>
      </c>
    </row>
    <row r="50" spans="1:7" s="2" customFormat="1" x14ac:dyDescent="0.3">
      <c r="A50" s="26" t="s">
        <v>73</v>
      </c>
      <c r="B50" s="64">
        <v>28070.75793</v>
      </c>
      <c r="C50" s="15" t="s">
        <v>196</v>
      </c>
      <c r="D50" s="15">
        <f>IF(15723.26988="","-",15723.26988/2809489.71283*100)</f>
        <v>0.55964860124588056</v>
      </c>
      <c r="E50" s="15">
        <f>IF(28070.75793="","-",28070.75793/2997495.34676*100)</f>
        <v>0.93647377836104906</v>
      </c>
      <c r="F50" s="15">
        <f>IF(OR(2113068.17363="",20674.55767="",15723.26988=""),"-",(15723.26988-20674.55767)/2113068.17363*100)</f>
        <v>-0.23431746555977293</v>
      </c>
      <c r="G50" s="15">
        <f>IF(OR(2809489.71283="",28070.75793="",15723.26988=""),"-",(28070.75793-15723.26988)/2809489.71283*100)</f>
        <v>0.43949219652284721</v>
      </c>
    </row>
    <row r="51" spans="1:7" s="2" customFormat="1" ht="26.4" x14ac:dyDescent="0.3">
      <c r="A51" s="26" t="s">
        <v>294</v>
      </c>
      <c r="B51" s="64">
        <v>25217.823489999999</v>
      </c>
      <c r="C51" s="15">
        <f>IF(OR(23030.39922="",25217.82349=""),"-",25217.82349/23030.39922*100)</f>
        <v>109.4979867656849</v>
      </c>
      <c r="D51" s="15">
        <f>IF(23030.39922="","-",23030.39922/2809489.71283*100)</f>
        <v>0.81973602233985299</v>
      </c>
      <c r="E51" s="15">
        <f>IF(25217.82349="","-",25217.82349/2997495.34676*100)</f>
        <v>0.84129650166956893</v>
      </c>
      <c r="F51" s="15">
        <f>IF(OR(2113068.17363="",20566.54832="",23030.39922=""),"-",(23030.39922-20566.54832)/2113068.17363*100)</f>
        <v>0.11660063460079448</v>
      </c>
      <c r="G51" s="15">
        <f>IF(OR(2809489.71283="",25217.82349="",23030.39922=""),"-",(25217.82349-23030.39922)/2809489.71283*100)</f>
        <v>7.7858418915391081E-2</v>
      </c>
    </row>
    <row r="52" spans="1:7" s="2" customFormat="1" x14ac:dyDescent="0.3">
      <c r="A52" s="26" t="s">
        <v>60</v>
      </c>
      <c r="B52" s="64">
        <v>18595.21228</v>
      </c>
      <c r="C52" s="15" t="s">
        <v>310</v>
      </c>
      <c r="D52" s="15">
        <f>IF(7491.40687="","-",7491.40687/2809489.71283*100)</f>
        <v>0.26664653142487937</v>
      </c>
      <c r="E52" s="15">
        <f>IF(18595.21228="","-",18595.21228/2997495.34676*100)</f>
        <v>0.62035833683944197</v>
      </c>
      <c r="F52" s="15">
        <f>IF(OR(2113068.17363="",4224.62328="",7491.40687=""),"-",(7491.40687-4224.62328)/2113068.17363*100)</f>
        <v>0.15459906266952353</v>
      </c>
      <c r="G52" s="15">
        <f>IF(OR(2809489.71283="",18595.21228="",7491.40687=""),"-",(18595.21228-7491.40687)/2809489.71283*100)</f>
        <v>0.39522498905379988</v>
      </c>
    </row>
    <row r="53" spans="1:7" s="2" customFormat="1" x14ac:dyDescent="0.3">
      <c r="A53" s="26" t="s">
        <v>69</v>
      </c>
      <c r="B53" s="64">
        <v>16598.860840000001</v>
      </c>
      <c r="C53" s="15">
        <f>IF(OR(12171.64716="",16598.86084=""),"-",16598.86084/12171.64716*100)</f>
        <v>136.37316808319312</v>
      </c>
      <c r="D53" s="15">
        <f>IF(12171.64716="","-",12171.64716/2809489.71283*100)</f>
        <v>0.433233377022744</v>
      </c>
      <c r="E53" s="15">
        <f>IF(16598.86084="","-",16598.86084/2997495.34676*100)</f>
        <v>0.55375768499329781</v>
      </c>
      <c r="F53" s="15">
        <f>IF(OR(2113068.17363="",15867.88694="",12171.64716=""),"-",(12171.64716-15867.88694)/2113068.17363*100)</f>
        <v>-0.17492288351730267</v>
      </c>
      <c r="G53" s="15">
        <f>IF(OR(2809489.71283="",16598.86084="",12171.64716=""),"-",(16598.86084-12171.64716)/2809489.71283*100)</f>
        <v>0.15758070441697639</v>
      </c>
    </row>
    <row r="54" spans="1:7" s="2" customFormat="1" x14ac:dyDescent="0.3">
      <c r="A54" s="26" t="s">
        <v>34</v>
      </c>
      <c r="B54" s="10">
        <v>15360.240760000001</v>
      </c>
      <c r="C54" s="15">
        <f>IF(OR(19907.26606="",15360.24076=""),"-",15360.24076/19907.26606*100)</f>
        <v>77.158966548719548</v>
      </c>
      <c r="D54" s="15">
        <f>IF(19907.26606="","-",19907.26606/2809489.71283*100)</f>
        <v>0.70857230653275483</v>
      </c>
      <c r="E54" s="15">
        <f>IF(15360.24076="","-",15360.24076/2997495.34676*100)</f>
        <v>0.51243585003736281</v>
      </c>
      <c r="F54" s="15">
        <f>IF(OR(2113068.17363="",13055.0557="",19907.26606=""),"-",(19907.26606-13055.0557)/2113068.17363*100)</f>
        <v>0.32427777037731431</v>
      </c>
      <c r="G54" s="15">
        <f>IF(OR(2809489.71283="",15360.24076="",19907.26606=""),"-",(15360.24076-19907.26606)/2809489.71283*100)</f>
        <v>-0.16184523756165603</v>
      </c>
    </row>
    <row r="55" spans="1:7" s="2" customFormat="1" x14ac:dyDescent="0.3">
      <c r="A55" s="26" t="s">
        <v>64</v>
      </c>
      <c r="B55" s="64">
        <v>13120.379489999999</v>
      </c>
      <c r="C55" s="15">
        <f>IF(OR(14198.83745="",13120.37949=""),"-",13120.37949/14198.83745*100)</f>
        <v>92.40460380085554</v>
      </c>
      <c r="D55" s="15">
        <f>IF(14198.83745="","-",14198.83745/2809489.71283*100)</f>
        <v>0.50538848336616637</v>
      </c>
      <c r="E55" s="15">
        <f>IF(13120.37949="","-",13120.37949/2997495.34676*100)</f>
        <v>0.43771142144330094</v>
      </c>
      <c r="F55" s="15">
        <f>IF(OR(2113068.17363="",9433.9903="",14198.83745=""),"-",(14198.83745-9433.9903)/2113068.17363*100)</f>
        <v>0.2254942462085622</v>
      </c>
      <c r="G55" s="15">
        <f>IF(OR(2809489.71283="",13120.37949="",14198.83745=""),"-",(13120.37949-14198.83745)/2809489.71283*100)</f>
        <v>-3.8386257656507682E-2</v>
      </c>
    </row>
    <row r="56" spans="1:7" s="2" customFormat="1" x14ac:dyDescent="0.3">
      <c r="A56" s="26" t="s">
        <v>293</v>
      </c>
      <c r="B56" s="10">
        <v>12219.835789999999</v>
      </c>
      <c r="C56" s="15">
        <f>IF(OR(11163.42642="",12219.83579=""),"-",12219.83579/11163.42642*100)</f>
        <v>109.46312834657444</v>
      </c>
      <c r="D56" s="15">
        <f>IF(11163.42642="","-",11163.42642/2809489.71283*100)</f>
        <v>0.39734711855396243</v>
      </c>
      <c r="E56" s="15">
        <f>IF(12219.83579="","-",12219.83579/2997495.34676*100)</f>
        <v>0.40766821550560367</v>
      </c>
      <c r="F56" s="15">
        <f>IF(OR(2113068.17363="",11347.75867="",11163.42642=""),"-",(11163.42642-11347.75867)/2113068.17363*100)</f>
        <v>-8.7234407436717291E-3</v>
      </c>
      <c r="G56" s="15">
        <f>IF(OR(2809489.71283="",12219.83579="",11163.42642=""),"-",(12219.83579-11163.42642)/2809489.71283*100)</f>
        <v>3.7601467810176738E-2</v>
      </c>
    </row>
    <row r="57" spans="1:7" s="2" customFormat="1" x14ac:dyDescent="0.3">
      <c r="A57" s="26" t="s">
        <v>76</v>
      </c>
      <c r="B57" s="10">
        <v>12033.606089999999</v>
      </c>
      <c r="C57" s="15">
        <f>IF(OR(8223.23562="",12033.60609=""),"-",12033.60609/8223.23562*100)</f>
        <v>146.33663251400304</v>
      </c>
      <c r="D57" s="15">
        <f>IF(8223.23562="","-",8223.23562/2809489.71283*100)</f>
        <v>0.2926949895010198</v>
      </c>
      <c r="E57" s="15">
        <f>IF(12033.60609="","-",12033.60609/2997495.34676*100)</f>
        <v>0.40145537183259195</v>
      </c>
      <c r="F57" s="15">
        <f>IF(OR(2113068.17363="",8562.93716="",8223.23562=""),"-",(8223.23562-8562.93716)/2113068.17363*100)</f>
        <v>-1.6076222444656538E-2</v>
      </c>
      <c r="G57" s="15">
        <f>IF(OR(2809489.71283="",12033.60609="",8223.23562=""),"-",(12033.60609-8223.23562)/2809489.71283*100)</f>
        <v>0.13562500167198732</v>
      </c>
    </row>
    <row r="58" spans="1:7" s="2" customFormat="1" x14ac:dyDescent="0.3">
      <c r="A58" s="26" t="s">
        <v>300</v>
      </c>
      <c r="B58" s="64">
        <v>7290.6318099999999</v>
      </c>
      <c r="C58" s="15">
        <f>IF(OR(6176.3591="",7290.63181=""),"-",7290.63181/6176.3591*100)</f>
        <v>118.04093142835559</v>
      </c>
      <c r="D58" s="15">
        <f>IF(6176.3591="","-",6176.3591/2809489.71283*100)</f>
        <v>0.21983917833173164</v>
      </c>
      <c r="E58" s="15">
        <f>IF(7290.63181="","-",7290.63181/2997495.34676*100)</f>
        <v>0.24322412436371121</v>
      </c>
      <c r="F58" s="15">
        <f>IF(OR(2113068.17363="",6104.25488="",6176.3591=""),"-",(6176.3591-6104.25488)/2113068.17363*100)</f>
        <v>3.4122997497109987E-3</v>
      </c>
      <c r="G58" s="15">
        <f>IF(OR(2809489.71283="",7290.63181="",6176.3591=""),"-",(7290.63181-6176.3591)/2809489.71283*100)</f>
        <v>3.9661035415488065E-2</v>
      </c>
    </row>
    <row r="59" spans="1:7" s="2" customFormat="1" x14ac:dyDescent="0.3">
      <c r="A59" s="26" t="s">
        <v>56</v>
      </c>
      <c r="B59" s="10">
        <v>6534.2693900000004</v>
      </c>
      <c r="C59" s="15" t="s">
        <v>379</v>
      </c>
      <c r="D59" s="15">
        <f>IF(924.40649="","-",924.40649/2809489.71283*100)</f>
        <v>3.2903003195866656E-2</v>
      </c>
      <c r="E59" s="15">
        <f>IF(6534.26939="","-",6534.26939/2997495.34676*100)</f>
        <v>0.21799097693555747</v>
      </c>
      <c r="F59" s="15">
        <f>IF(OR(2113068.17363="",1323.82611="",924.40649=""),"-",(924.40649-1323.82611)/2113068.17363*100)</f>
        <v>-1.8902353695188383E-2</v>
      </c>
      <c r="G59" s="15">
        <f>IF(OR(2809489.71283="",6534.26939="",924.40649=""),"-",(6534.26939-924.40649)/2809489.71283*100)</f>
        <v>0.19967550955540544</v>
      </c>
    </row>
    <row r="60" spans="1:7" s="2" customFormat="1" x14ac:dyDescent="0.3">
      <c r="A60" s="26" t="s">
        <v>61</v>
      </c>
      <c r="B60" s="10">
        <v>5960.6679400000003</v>
      </c>
      <c r="C60" s="15" t="s">
        <v>309</v>
      </c>
      <c r="D60" s="15">
        <f>IF(2248.04651="","-",2248.04651/2809489.71283*100)</f>
        <v>8.0016185848053603E-2</v>
      </c>
      <c r="E60" s="15">
        <f>IF(5960.66794="","-",5960.66794/2997495.34676*100)</f>
        <v>0.19885495223346722</v>
      </c>
      <c r="F60" s="15">
        <f>IF(OR(2113068.17363="",2479.00043="",2248.04651=""),"-",(2248.04651-2479.00043)/2113068.17363*100)</f>
        <v>-1.0929790287042586E-2</v>
      </c>
      <c r="G60" s="15">
        <f>IF(OR(2809489.71283="",5960.66794="",2248.04651=""),"-",(5960.66794-2248.04651)/2809489.71283*100)</f>
        <v>0.13214575632883435</v>
      </c>
    </row>
    <row r="61" spans="1:7" s="2" customFormat="1" x14ac:dyDescent="0.3">
      <c r="A61" s="26" t="s">
        <v>68</v>
      </c>
      <c r="B61" s="10">
        <v>5659.6964500000004</v>
      </c>
      <c r="C61" s="15" t="s">
        <v>99</v>
      </c>
      <c r="D61" s="15">
        <f>IF(3417.85275="","-",3417.85275/2809489.71283*100)</f>
        <v>0.12165386242177038</v>
      </c>
      <c r="E61" s="15">
        <f>IF(5659.69645="","-",5659.69645/2997495.34676*100)</f>
        <v>0.18881418635453695</v>
      </c>
      <c r="F61" s="15">
        <f>IF(OR(2113068.17363="",4092.14105="",3417.85275=""),"-",(3417.85275-4092.14105)/2113068.17363*100)</f>
        <v>-3.1910390228520311E-2</v>
      </c>
      <c r="G61" s="15">
        <f>IF(OR(2809489.71283="",5659.69645="",3417.85275=""),"-",(5659.69645-3417.85275)/2809489.71283*100)</f>
        <v>7.9795405185584048E-2</v>
      </c>
    </row>
    <row r="62" spans="1:7" s="2" customFormat="1" x14ac:dyDescent="0.3">
      <c r="A62" s="26" t="s">
        <v>79</v>
      </c>
      <c r="B62" s="64">
        <v>4503.21198</v>
      </c>
      <c r="C62" s="15">
        <f>IF(OR(4141.14115="",4503.21198=""),"-",4503.21198/4141.14115*100)</f>
        <v>108.74326222857678</v>
      </c>
      <c r="D62" s="15">
        <f>IF(4141.14115="","-",4141.14115/2809489.71283*100)</f>
        <v>0.14739833824942633</v>
      </c>
      <c r="E62" s="15">
        <f>IF(4503.21198="","-",4503.21198/2997495.34676*100)</f>
        <v>0.15023249276658704</v>
      </c>
      <c r="F62" s="15">
        <f>IF(OR(2113068.17363="",3912.59012="",4141.14115=""),"-",(4141.14115-3912.59012)/2113068.17363*100)</f>
        <v>1.0816074599589326E-2</v>
      </c>
      <c r="G62" s="15">
        <f>IF(OR(2809489.71283="",4503.21198="",4141.14115=""),"-",(4503.21198-4141.14115)/2809489.71283*100)</f>
        <v>1.2887423233711918E-2</v>
      </c>
    </row>
    <row r="63" spans="1:7" s="2" customFormat="1" x14ac:dyDescent="0.3">
      <c r="A63" s="26" t="s">
        <v>75</v>
      </c>
      <c r="B63" s="64">
        <v>4436.5486700000001</v>
      </c>
      <c r="C63" s="15">
        <f>IF(OR(5118.13255="",4436.54867=""),"-",4436.54867/5118.13255*100)</f>
        <v>86.682957634616159</v>
      </c>
      <c r="D63" s="15">
        <f>IF(5118.13255="","-",5118.13255/2809489.71283*100)</f>
        <v>0.18217303044845476</v>
      </c>
      <c r="E63" s="15">
        <f>IF(4436.54867="","-",4436.54867/2997495.34676*100)</f>
        <v>0.14800852567779552</v>
      </c>
      <c r="F63" s="15">
        <f>IF(OR(2113068.17363="",4583.30454="",5118.13255=""),"-",(5118.13255-4583.30454)/2113068.17363*100)</f>
        <v>2.5310494790200221E-2</v>
      </c>
      <c r="G63" s="15">
        <f>IF(OR(2809489.71283="",4436.54867="",5118.13255=""),"-",(4436.54867-5118.13255)/2809489.71283*100)</f>
        <v>-2.4260059643124318E-2</v>
      </c>
    </row>
    <row r="64" spans="1:7" s="2" customFormat="1" x14ac:dyDescent="0.3">
      <c r="A64" s="26" t="s">
        <v>80</v>
      </c>
      <c r="B64" s="10">
        <v>4340.21497</v>
      </c>
      <c r="C64" s="15">
        <f>IF(OR(3005.58957="",4340.21497=""),"-",4340.21497/3005.58957*100)</f>
        <v>144.40477879353298</v>
      </c>
      <c r="D64" s="15">
        <f>IF(3005.58957="","-",3005.58957/2809489.71283*100)</f>
        <v>0.10697991013366155</v>
      </c>
      <c r="E64" s="15">
        <f>IF(4340.21497="","-",4340.21497/2997495.34676*100)</f>
        <v>0.14479471918751596</v>
      </c>
      <c r="F64" s="15">
        <f>IF(OR(2113068.17363="",2646.46924="",3005.58957=""),"-",(3005.58957-2646.46924)/2113068.17363*100)</f>
        <v>1.6995207938940944E-2</v>
      </c>
      <c r="G64" s="15">
        <f>IF(OR(2809489.71283="",4340.21497="",3005.58957=""),"-",(4340.21497-3005.58957)/2809489.71283*100)</f>
        <v>4.7504192448372812E-2</v>
      </c>
    </row>
    <row r="65" spans="1:7" s="2" customFormat="1" x14ac:dyDescent="0.3">
      <c r="A65" s="26" t="s">
        <v>81</v>
      </c>
      <c r="B65" s="64">
        <v>4077.5456300000001</v>
      </c>
      <c r="C65" s="15">
        <f>IF(OR(3101.68552="",4077.54563=""),"-",4077.54563/3101.68552*100)</f>
        <v>131.46225185330846</v>
      </c>
      <c r="D65" s="15">
        <f>IF(3101.68552="","-",3101.68552/2809489.71283*100)</f>
        <v>0.11040031596612151</v>
      </c>
      <c r="E65" s="15">
        <f>IF(4077.54563="","-",4077.54563/2997495.34676*100)</f>
        <v>0.13603175846152452</v>
      </c>
      <c r="F65" s="15">
        <f>IF(OR(2113068.17363="",2275.79068="",3101.68552=""),"-",(3101.68552-2275.79068)/2113068.17363*100)</f>
        <v>3.9085101479769617E-2</v>
      </c>
      <c r="G65" s="15">
        <f>IF(OR(2809489.71283="",4077.54563="",3101.68552=""),"-",(4077.54563-3101.68552)/2809489.71283*100)</f>
        <v>3.4734425456109455E-2</v>
      </c>
    </row>
    <row r="66" spans="1:7" s="2" customFormat="1" x14ac:dyDescent="0.3">
      <c r="A66" s="26" t="s">
        <v>71</v>
      </c>
      <c r="B66" s="64">
        <v>4047.79574</v>
      </c>
      <c r="C66" s="15">
        <f>IF(OR(6843.68162="",4047.79574=""),"-",4047.79574/6843.68162*100)</f>
        <v>59.146464794193619</v>
      </c>
      <c r="D66" s="15">
        <f>IF(6843.68162="","-",6843.68162/2809489.71283*100)</f>
        <v>0.24359162408558377</v>
      </c>
      <c r="E66" s="15">
        <f>IF(4047.79574="","-",4047.79574/2997495.34676*100)</f>
        <v>0.13503926684574413</v>
      </c>
      <c r="F66" s="15">
        <f>IF(OR(2113068.17363="",3854.95471="",6843.68162=""),"-",(6843.68162-3854.95471)/2113068.17363*100)</f>
        <v>0.14144015547144997</v>
      </c>
      <c r="G66" s="15">
        <f>IF(OR(2809489.71283="",4047.79574="",6843.68162=""),"-",(4047.79574-6843.68162)/2809489.71283*100)</f>
        <v>-9.9515789904199486E-2</v>
      </c>
    </row>
    <row r="67" spans="1:7" s="2" customFormat="1" x14ac:dyDescent="0.3">
      <c r="A67" s="26" t="s">
        <v>63</v>
      </c>
      <c r="B67" s="64">
        <v>3758.2662300000002</v>
      </c>
      <c r="C67" s="15">
        <f>IF(OR(2858.39514="",3758.26623=""),"-",3758.26623/2858.39514*100)</f>
        <v>131.48168975686124</v>
      </c>
      <c r="D67" s="15">
        <f>IF(2858.39514="","-",2858.39514/2809489.71283*100)</f>
        <v>0.10174072277063929</v>
      </c>
      <c r="E67" s="15">
        <f>IF(3758.26623="","-",3758.26623/2997495.34676*100)</f>
        <v>0.12538021899057555</v>
      </c>
      <c r="F67" s="15">
        <f>IF(OR(2113068.17363="",2677.80885="",2858.39514=""),"-",(2858.39514-2677.80885)/2113068.17363*100)</f>
        <v>8.5461648731273258E-3</v>
      </c>
      <c r="G67" s="15">
        <f>IF(OR(2809489.71283="",3758.26623="",2858.39514=""),"-",(3758.26623-2858.39514)/2809489.71283*100)</f>
        <v>3.2029698699040959E-2</v>
      </c>
    </row>
    <row r="68" spans="1:7" s="2" customFormat="1" x14ac:dyDescent="0.3">
      <c r="A68" s="26" t="s">
        <v>59</v>
      </c>
      <c r="B68" s="64">
        <v>3123.9816300000002</v>
      </c>
      <c r="C68" s="15">
        <f>IF(OR(3557.36006="",3123.98163=""),"-",3123.98163/3557.36006*100)</f>
        <v>87.817414523960224</v>
      </c>
      <c r="D68" s="15">
        <f>IF(3557.36006="","-",3557.36006/2809489.71283*100)</f>
        <v>0.12661943710826654</v>
      </c>
      <c r="E68" s="15">
        <f>IF(3123.98163="","-",3123.98163/2997495.34676*100)</f>
        <v>0.10421973243016772</v>
      </c>
      <c r="F68" s="15">
        <f>IF(OR(2113068.17363="",4746.84417="",3557.36006=""),"-",(3557.36006-4746.84417)/2113068.17363*100)</f>
        <v>-5.6291799992264711E-2</v>
      </c>
      <c r="G68" s="15">
        <f>IF(OR(2809489.71283="",3123.98163="",3557.36006=""),"-",(3123.98163-3557.36006)/2809489.71283*100)</f>
        <v>-1.5425521154994994E-2</v>
      </c>
    </row>
    <row r="69" spans="1:7" s="2" customFormat="1" x14ac:dyDescent="0.3">
      <c r="A69" s="26" t="s">
        <v>72</v>
      </c>
      <c r="B69" s="10">
        <v>2832.6779099999999</v>
      </c>
      <c r="C69" s="15">
        <f>IF(OR(2560.16776="",2832.67791=""),"-",2832.67791/2560.16776*100)</f>
        <v>110.64423020466441</v>
      </c>
      <c r="D69" s="15">
        <f>IF(2560.16776="","-",2560.16776/2809489.71283*100)</f>
        <v>9.1125721098339302E-2</v>
      </c>
      <c r="E69" s="15">
        <f>IF(2832.67791="","-",2832.67791/2997495.34676*100)</f>
        <v>9.4501494825066146E-2</v>
      </c>
      <c r="F69" s="15">
        <f>IF(OR(2113068.17363="",1524.35601="",2560.16776=""),"-",(2560.16776-1524.35601)/2113068.17363*100)</f>
        <v>4.9019324739560971E-2</v>
      </c>
      <c r="G69" s="15">
        <f>IF(OR(2809489.71283="",2832.67791="",2560.16776=""),"-",(2832.67791-2560.16776)/2809489.71283*100)</f>
        <v>9.6996315293676767E-3</v>
      </c>
    </row>
    <row r="70" spans="1:7" s="2" customFormat="1" x14ac:dyDescent="0.3">
      <c r="A70" s="26" t="s">
        <v>121</v>
      </c>
      <c r="B70" s="64">
        <v>2821.95388</v>
      </c>
      <c r="C70" s="15">
        <f>IF(OR(2217.6018="",2821.95388=""),"-",2821.95388/2217.6018*100)</f>
        <v>127.25250673948769</v>
      </c>
      <c r="D70" s="15">
        <f>IF(2217.6018="","-",2217.6018/2809489.71283*100)</f>
        <v>7.8932547425710584E-2</v>
      </c>
      <c r="E70" s="15">
        <f>IF(2821.95388="","-",2821.95388/2997495.34676*100)</f>
        <v>9.4143728464841703E-2</v>
      </c>
      <c r="F70" s="15">
        <f>IF(OR(2113068.17363="",2274.42948="",2217.6018=""),"-",(2217.6018-2274.42948)/2113068.17363*100)</f>
        <v>-2.6893443718087272E-3</v>
      </c>
      <c r="G70" s="15">
        <f>IF(OR(2809489.71283="",2821.95388="",2217.6018=""),"-",(2821.95388-2217.6018)/2809489.71283*100)</f>
        <v>2.1511097806841087E-2</v>
      </c>
    </row>
    <row r="71" spans="1:7" s="2" customFormat="1" x14ac:dyDescent="0.3">
      <c r="A71" s="26" t="s">
        <v>37</v>
      </c>
      <c r="B71" s="10">
        <v>2700.9562799999999</v>
      </c>
      <c r="C71" s="15" t="s">
        <v>343</v>
      </c>
      <c r="D71" s="15">
        <f>IF(1115.38101="","-",1115.38101/2809489.71283*100)</f>
        <v>3.9700483860340474E-2</v>
      </c>
      <c r="E71" s="15">
        <f>IF(2700.95628="","-",2700.95628/2997495.34676*100)</f>
        <v>9.0107105017509695E-2</v>
      </c>
      <c r="F71" s="15">
        <f>IF(OR(2113068.17363="",1139.86623="",1115.38101=""),"-",(1115.38101-1139.86623)/2113068.17363*100)</f>
        <v>-1.1587520130946522E-3</v>
      </c>
      <c r="G71" s="15">
        <f>IF(OR(2809489.71283="",2700.95628="",1115.38101=""),"-",(2700.95628-1115.38101)/2809489.71283*100)</f>
        <v>5.6436414867767903E-2</v>
      </c>
    </row>
    <row r="72" spans="1:7" s="2" customFormat="1" x14ac:dyDescent="0.3">
      <c r="A72" s="26" t="s">
        <v>82</v>
      </c>
      <c r="B72" s="64">
        <v>2623.4774200000002</v>
      </c>
      <c r="C72" s="15" t="s">
        <v>196</v>
      </c>
      <c r="D72" s="15">
        <f>IF(1471.22731="","-",1471.22731/2809489.71283*100)</f>
        <v>5.2366353337454728E-2</v>
      </c>
      <c r="E72" s="15">
        <f>IF(2623.47742="","-",2623.47742/2997495.34676*100)</f>
        <v>8.7522318352744835E-2</v>
      </c>
      <c r="F72" s="15">
        <f>IF(OR(2113068.17363="",2601.87899="",1471.22731=""),"-",(1471.22731-2601.87899)/2113068.17363*100)</f>
        <v>-5.3507581729257452E-2</v>
      </c>
      <c r="G72" s="15">
        <f>IF(OR(2809489.71283="",2623.47742="",1471.22731=""),"-",(2623.47742-1471.22731)/2809489.71283*100)</f>
        <v>4.101278978663133E-2</v>
      </c>
    </row>
    <row r="73" spans="1:7" s="2" customFormat="1" x14ac:dyDescent="0.3">
      <c r="A73" s="26" t="s">
        <v>78</v>
      </c>
      <c r="B73" s="10">
        <v>2181.4213800000002</v>
      </c>
      <c r="C73" s="15" t="s">
        <v>312</v>
      </c>
      <c r="D73" s="15">
        <f>IF(958.17944="","-",958.17944/2809489.71283*100)</f>
        <v>3.410510583556562E-2</v>
      </c>
      <c r="E73" s="15">
        <f>IF(2181.42138="","-",2181.42138/2997495.34676*100)</f>
        <v>7.2774804550002181E-2</v>
      </c>
      <c r="F73" s="15">
        <f>IF(OR(2113068.17363="",384.26588="",958.17944=""),"-",(958.17944-384.26588)/2113068.17363*100)</f>
        <v>2.7160200847381303E-2</v>
      </c>
      <c r="G73" s="15">
        <f>IF(OR(2809489.71283="",2181.42138="",958.17944=""),"-",(2181.42138-958.17944)/2809489.71283*100)</f>
        <v>4.3539648300325272E-2</v>
      </c>
    </row>
    <row r="74" spans="1:7" s="2" customFormat="1" x14ac:dyDescent="0.3">
      <c r="A74" s="26" t="s">
        <v>87</v>
      </c>
      <c r="B74" s="64">
        <v>2149.2417099999998</v>
      </c>
      <c r="C74" s="15">
        <f>IF(OR(1371.79271="",2149.24171=""),"-",2149.24171/1371.79271*100)</f>
        <v>156.67394164822468</v>
      </c>
      <c r="D74" s="15">
        <f>IF(1371.79271="","-",1371.79271/2809489.71283*100)</f>
        <v>4.882711275771829E-2</v>
      </c>
      <c r="E74" s="15">
        <f>IF(2149.24171="","-",2149.24171/2997495.34676*100)</f>
        <v>7.1701252591538478E-2</v>
      </c>
      <c r="F74" s="15">
        <f>IF(OR(2113068.17363="",1260.18038="",1371.79271=""),"-",(1371.79271-1260.18038)/2113068.17363*100)</f>
        <v>5.2820032686528616E-3</v>
      </c>
      <c r="G74" s="15">
        <f>IF(OR(2809489.71283="",2149.24171="",1371.79271=""),"-",(2149.24171-1371.79271)/2809489.71283*100)</f>
        <v>2.7672249392822125E-2</v>
      </c>
    </row>
    <row r="75" spans="1:7" s="2" customFormat="1" x14ac:dyDescent="0.3">
      <c r="A75" s="26" t="s">
        <v>77</v>
      </c>
      <c r="B75" s="64">
        <v>1934.2519500000001</v>
      </c>
      <c r="C75" s="15">
        <f>IF(OR(1683.32765="",1934.25195=""),"-",1934.25195/1683.32765*100)</f>
        <v>114.90644438710433</v>
      </c>
      <c r="D75" s="15">
        <f>IF(1683.32765="","-",1683.32765/2809489.71283*100)</f>
        <v>5.9915779093719597E-2</v>
      </c>
      <c r="E75" s="15">
        <f>IF(1934.25195="","-",1934.25195/2997495.34676*100)</f>
        <v>6.4528939205551653E-2</v>
      </c>
      <c r="F75" s="15">
        <f>IF(OR(2113068.17363="",1450.47059="",1683.32765=""),"-",(1683.32765-1450.47059)/2113068.17363*100)</f>
        <v>1.1019855530736582E-2</v>
      </c>
      <c r="G75" s="15">
        <f>IF(OR(2809489.71283="",1934.25195="",1683.32765=""),"-",(1934.25195-1683.32765)/2809489.71283*100)</f>
        <v>8.9313122897055914E-3</v>
      </c>
    </row>
    <row r="76" spans="1:7" s="2" customFormat="1" x14ac:dyDescent="0.3">
      <c r="A76" s="26" t="s">
        <v>36</v>
      </c>
      <c r="B76" s="10">
        <v>1635.1082100000001</v>
      </c>
      <c r="C76" s="15" t="s">
        <v>380</v>
      </c>
      <c r="D76" s="15">
        <f>IF(419.3912="","-",419.3912/2809489.71283*100)</f>
        <v>1.4927664553629816E-2</v>
      </c>
      <c r="E76" s="15">
        <f>IF(1635.10821="","-",1635.10821/2997495.34676*100)</f>
        <v>5.4549149234456445E-2</v>
      </c>
      <c r="F76" s="15">
        <f>IF(OR(2113068.17363="",773.47217="",419.3912=""),"-",(419.3912-773.47217)/2113068.17363*100)</f>
        <v>-1.6756722495693592E-2</v>
      </c>
      <c r="G76" s="15">
        <f>IF(OR(2809489.71283="",1635.10821="",419.3912=""),"-",(1635.10821-419.3912)/2809489.71283*100)</f>
        <v>4.32718085582669E-2</v>
      </c>
    </row>
    <row r="77" spans="1:7" s="2" customFormat="1" x14ac:dyDescent="0.3">
      <c r="A77" s="26" t="s">
        <v>65</v>
      </c>
      <c r="B77" s="64">
        <v>1563.9274</v>
      </c>
      <c r="C77" s="15" t="s">
        <v>381</v>
      </c>
      <c r="D77" s="15">
        <f>IF(466.90368="","-",466.90368/2809489.71283*100)</f>
        <v>1.6618807247017385E-2</v>
      </c>
      <c r="E77" s="15">
        <f>IF(1563.9274="","-",1563.9274/2997495.34676*100)</f>
        <v>5.2174472987604567E-2</v>
      </c>
      <c r="F77" s="15">
        <f>IF(OR(2113068.17363="",457.37785="",466.90368=""),"-",(466.90368-457.37785)/2113068.17363*100)</f>
        <v>4.5080561615935659E-4</v>
      </c>
      <c r="G77" s="15">
        <f>IF(OR(2809489.71283="",1563.9274="",466.90368=""),"-",(1563.9274-466.90368)/2809489.71283*100)</f>
        <v>3.9047080862772324E-2</v>
      </c>
    </row>
    <row r="78" spans="1:7" s="2" customFormat="1" x14ac:dyDescent="0.3">
      <c r="A78" s="26" t="s">
        <v>70</v>
      </c>
      <c r="B78" s="64">
        <v>1523.60906</v>
      </c>
      <c r="C78" s="15">
        <f>IF(OR(2432.95358="",1523.60906=""),"-",1523.60906/2432.95358*100)</f>
        <v>62.623844224763225</v>
      </c>
      <c r="D78" s="15">
        <f>IF(2432.95358="","-",2432.95358/2809489.71283*100)</f>
        <v>8.6597703806834181E-2</v>
      </c>
      <c r="E78" s="15">
        <f>IF(1523.60906="","-",1523.60906/2997495.34676*100)</f>
        <v>5.082940534492815E-2</v>
      </c>
      <c r="F78" s="15">
        <f>IF(OR(2113068.17363="",1439.12869="",2432.95358=""),"-",(2432.95358-1439.12869)/2113068.17363*100)</f>
        <v>4.703231549281852E-2</v>
      </c>
      <c r="G78" s="15">
        <f>IF(OR(2809489.71283="",1523.60906="",2432.95358=""),"-",(1523.60906-2432.95358)/2809489.71283*100)</f>
        <v>-3.2366892672620495E-2</v>
      </c>
    </row>
    <row r="79" spans="1:7" s="2" customFormat="1" x14ac:dyDescent="0.3">
      <c r="A79" s="26" t="s">
        <v>85</v>
      </c>
      <c r="B79" s="10">
        <v>1484.7079000000001</v>
      </c>
      <c r="C79" s="15">
        <f>IF(OR(1437.2553="",1484.7079=""),"-",1484.7079/1437.2553*100)</f>
        <v>103.30161245535155</v>
      </c>
      <c r="D79" s="15">
        <f>IF(1437.2553="","-",1437.2553/2809489.71283*100)</f>
        <v>5.1157165425327444E-2</v>
      </c>
      <c r="E79" s="15">
        <f>IF(1484.7079="","-",1484.7079/2997495.34676*100)</f>
        <v>4.9531616507923003E-2</v>
      </c>
      <c r="F79" s="15">
        <f>IF(OR(2113068.17363="",2438.92952="",1437.2553=""),"-",(1437.2553-2438.92952)/2113068.17363*100)</f>
        <v>-4.7403781501249097E-2</v>
      </c>
      <c r="G79" s="15">
        <f>IF(OR(2809489.71283="",1484.7079="",1437.2553=""),"-",(1484.7079-1437.2553)/2809489.71283*100)</f>
        <v>1.6890113454874E-3</v>
      </c>
    </row>
    <row r="80" spans="1:7" s="2" customFormat="1" x14ac:dyDescent="0.3">
      <c r="A80" s="26" t="s">
        <v>66</v>
      </c>
      <c r="B80" s="10">
        <v>1475.9537399999999</v>
      </c>
      <c r="C80" s="15">
        <f>IF(OR(2303.77853="",1475.95374=""),"-",1475.95374/2303.77853*100)</f>
        <v>64.066650538669606</v>
      </c>
      <c r="D80" s="15">
        <f>IF(2303.77853="","-",2303.77853/2809489.71283*100)</f>
        <v>8.1999891990328852E-2</v>
      </c>
      <c r="E80" s="15">
        <f>IF(1475.95374="","-",1475.95374/2997495.34676*100)</f>
        <v>4.9239567347297529E-2</v>
      </c>
      <c r="F80" s="15">
        <f>IF(OR(2113068.17363="",2097.36752="",2303.77853=""),"-",(2303.77853-2097.36752)/2113068.17363*100)</f>
        <v>9.7683081206703642E-3</v>
      </c>
      <c r="G80" s="15">
        <f>IF(OR(2809489.71283="",1475.95374="",2303.77853=""),"-",(1475.95374-2303.77853)/2809489.71283*100)</f>
        <v>-2.9465307746798328E-2</v>
      </c>
    </row>
    <row r="81" spans="1:7" s="2" customFormat="1" x14ac:dyDescent="0.3">
      <c r="A81" s="26" t="s">
        <v>295</v>
      </c>
      <c r="B81" s="10">
        <v>1338.4041099999999</v>
      </c>
      <c r="C81" s="15">
        <f>IF(OR(1124.53269="",1338.40411=""),"-",1338.40411/1124.53269*100)</f>
        <v>119.01869300037866</v>
      </c>
      <c r="D81" s="15">
        <f>IF(1124.53269="","-",1124.53269/2809489.71283*100)</f>
        <v>4.0026225576290077E-2</v>
      </c>
      <c r="E81" s="15">
        <f>IF(1338.40411="","-",1338.40411/2997495.34676*100)</f>
        <v>4.4650748547339171E-2</v>
      </c>
      <c r="F81" s="15">
        <f>IF(OR(2113068.17363="",500.95161="",1124.53269=""),"-",(1124.53269-500.95161)/2113068.17363*100)</f>
        <v>2.9510693870740658E-2</v>
      </c>
      <c r="G81" s="15">
        <f>IF(OR(2809489.71283="",1338.40411="",1124.53269=""),"-",(1338.40411-1124.53269)/2809489.71283*100)</f>
        <v>7.612464961993656E-3</v>
      </c>
    </row>
    <row r="82" spans="1:7" s="2" customFormat="1" x14ac:dyDescent="0.3">
      <c r="A82" s="26" t="s">
        <v>86</v>
      </c>
      <c r="B82" s="10">
        <v>1335.05646</v>
      </c>
      <c r="C82" s="15">
        <f>IF(OR(1042.49298="",1335.05646=""),"-",1335.05646/1042.49298*100)</f>
        <v>128.06383214206392</v>
      </c>
      <c r="D82" s="15">
        <f>IF(1042.49298="","-",1042.49298/2809489.71283*100)</f>
        <v>3.7106132663141035E-2</v>
      </c>
      <c r="E82" s="15">
        <f>IF(1335.05646="","-",1335.05646/2997495.34676*100)</f>
        <v>4.4539066972799995E-2</v>
      </c>
      <c r="F82" s="15">
        <f>IF(OR(2113068.17363="",1384.67045="",1042.49298=""),"-",(1042.49298-1384.67045)/2113068.17363*100)</f>
        <v>-1.6193394717226743E-2</v>
      </c>
      <c r="G82" s="15">
        <f>IF(OR(2809489.71283="",1335.05646="",1042.49298=""),"-",(1335.05646-1042.49298)/2809489.71283*100)</f>
        <v>1.0413402784995454E-2</v>
      </c>
    </row>
    <row r="83" spans="1:7" s="2" customFormat="1" x14ac:dyDescent="0.3">
      <c r="A83" s="26" t="s">
        <v>93</v>
      </c>
      <c r="B83" s="64">
        <v>1241.62589</v>
      </c>
      <c r="C83" s="15" t="s">
        <v>101</v>
      </c>
      <c r="D83" s="15">
        <f>IF(654.05187="","-",654.05187/2809489.71283*100)</f>
        <v>2.3280094851857395E-2</v>
      </c>
      <c r="E83" s="15">
        <f>IF(1241.62589="","-",1241.62589/2997495.34676*100)</f>
        <v>4.1422112342628874E-2</v>
      </c>
      <c r="F83" s="15">
        <f>IF(OR(2113068.17363="",523.01117="",654.05187=""),"-",(654.05187-523.01117)/2113068.17363*100)</f>
        <v>6.2014421321242878E-3</v>
      </c>
      <c r="G83" s="15">
        <f>IF(OR(2809489.71283="",1241.62589="",654.05187=""),"-",(1241.62589-654.05187)/2809489.71283*100)</f>
        <v>2.0913905372806525E-2</v>
      </c>
    </row>
    <row r="84" spans="1:7" s="2" customFormat="1" x14ac:dyDescent="0.3">
      <c r="A84" s="26" t="s">
        <v>84</v>
      </c>
      <c r="B84" s="10">
        <v>1070.73696</v>
      </c>
      <c r="C84" s="15">
        <f>IF(OR(1102.28381="",1070.73696=""),"-",1070.73696/1102.28381*100)</f>
        <v>97.138046507278375</v>
      </c>
      <c r="D84" s="15">
        <f>IF(1102.28381="","-",1102.28381/2809489.71283*100)</f>
        <v>3.9234306677338536E-2</v>
      </c>
      <c r="E84" s="15">
        <f>IF(1070.73696="","-",1070.73696/2997495.34676*100)</f>
        <v>3.5721054952007253E-2</v>
      </c>
      <c r="F84" s="15">
        <f>IF(OR(2113068.17363="",1164.65285="",1102.28381=""),"-",(1102.28381-1164.65285)/2113068.17363*100)</f>
        <v>-2.9515867390524104E-3</v>
      </c>
      <c r="G84" s="15">
        <f>IF(OR(2809489.71283="",1070.73696="",1102.28381=""),"-",(1070.73696-1102.28381)/2809489.71283*100)</f>
        <v>-1.1228676102972021E-3</v>
      </c>
    </row>
    <row r="85" spans="1:7" x14ac:dyDescent="0.3">
      <c r="A85" s="26" t="s">
        <v>35</v>
      </c>
      <c r="B85" s="10">
        <v>1001.46721</v>
      </c>
      <c r="C85" s="15" t="s">
        <v>313</v>
      </c>
      <c r="D85" s="15">
        <f>IF(345.15821="","-",345.15821/2809489.71283*100)</f>
        <v>1.2285441317822873E-2</v>
      </c>
      <c r="E85" s="15">
        <f>IF(1001.46721="","-",1001.46721/2997495.34676*100)</f>
        <v>3.3410133933401712E-2</v>
      </c>
      <c r="F85" s="15">
        <f>IF(OR(2113068.17363="",1043.68382="",345.15821=""),"-",(345.15821-1043.68382)/2113068.17363*100)</f>
        <v>-3.3057410012475648E-2</v>
      </c>
      <c r="G85" s="15">
        <f>IF(OR(2809489.71283="",1001.46721="",345.15821=""),"-",(1001.46721-345.15821)/2809489.71283*100)</f>
        <v>2.3360434352290248E-2</v>
      </c>
    </row>
    <row r="86" spans="1:7" x14ac:dyDescent="0.3">
      <c r="A86" s="26" t="s">
        <v>98</v>
      </c>
      <c r="B86" s="10">
        <v>867.80565999999999</v>
      </c>
      <c r="C86" s="15">
        <f>IF(OR(689.74143="",867.80566=""),"-",867.80566/689.74143*100)</f>
        <v>125.81608444196254</v>
      </c>
      <c r="D86" s="15">
        <f>IF(689.74143="","-",689.74143/2809489.71283*100)</f>
        <v>2.4550416641505448E-2</v>
      </c>
      <c r="E86" s="15">
        <f>IF(867.80566="","-",867.80566/2997495.34676*100)</f>
        <v>2.8951026093769028E-2</v>
      </c>
      <c r="F86" s="15">
        <f>IF(OR(2113068.17363="",358.07891="",689.74143=""),"-",(689.74143-358.07891)/2113068.17363*100)</f>
        <v>1.5695779442375643E-2</v>
      </c>
      <c r="G86" s="15">
        <f>IF(OR(2809489.71283="",867.80566="",689.74143=""),"-",(867.80566-689.74143)/2809489.71283*100)</f>
        <v>6.337956291024671E-3</v>
      </c>
    </row>
    <row r="87" spans="1:7" x14ac:dyDescent="0.3">
      <c r="A87" s="26" t="s">
        <v>301</v>
      </c>
      <c r="B87" s="64">
        <v>783.71112000000005</v>
      </c>
      <c r="C87" s="15">
        <f>IF(OR(518.23632="",783.71112=""),"-",783.71112/518.23632*100)</f>
        <v>151.22659098845099</v>
      </c>
      <c r="D87" s="15">
        <f>IF(518.23632="","-",518.23632/2809489.71283*100)</f>
        <v>1.8445923387204018E-2</v>
      </c>
      <c r="E87" s="15">
        <f>IF(783.71112="","-",783.71112/2997495.34676*100)</f>
        <v>2.6145532497560513E-2</v>
      </c>
      <c r="F87" s="15">
        <f>IF(OR(2113068.17363="",1305.56557="",518.23632=""),"-",(518.23632-1305.56557)/2113068.17363*100)</f>
        <v>-3.7260002295499146E-2</v>
      </c>
      <c r="G87" s="15">
        <f>IF(OR(2809489.71283="",783.71112="",518.23632=""),"-",(783.71112-518.23632)/2809489.71283*100)</f>
        <v>9.4492177276060286E-3</v>
      </c>
    </row>
    <row r="88" spans="1:7" x14ac:dyDescent="0.3">
      <c r="A88" s="26" t="s">
        <v>88</v>
      </c>
      <c r="B88" s="10">
        <v>707.28823</v>
      </c>
      <c r="C88" s="15">
        <f>IF(OR(543.39193="",707.28823=""),"-",707.28823/543.39193*100)</f>
        <v>130.16171035149529</v>
      </c>
      <c r="D88" s="15">
        <f>IF(543.39193="","-",543.39193/2809489.71283*100)</f>
        <v>1.9341303423127367E-2</v>
      </c>
      <c r="E88" s="15">
        <f>IF(707.28823="","-",707.28823/2997495.34676*100)</f>
        <v>2.3595974244447437E-2</v>
      </c>
      <c r="F88" s="15">
        <f>IF(OR(2113068.17363="",245.63212="",543.39193=""),"-",(543.39193-245.63212)/2113068.17363*100)</f>
        <v>1.4091348954846261E-2</v>
      </c>
      <c r="G88" s="15">
        <f>IF(OR(2809489.71283="",707.28823="",543.39193=""),"-",(707.28823-543.39193)/2809489.71283*100)</f>
        <v>5.8336679166875174E-3</v>
      </c>
    </row>
    <row r="89" spans="1:7" x14ac:dyDescent="0.3">
      <c r="A89" s="26" t="s">
        <v>136</v>
      </c>
      <c r="B89" s="10">
        <v>690.67193999999995</v>
      </c>
      <c r="C89" s="15">
        <f>IF(OR(541.97894="",690.67194=""),"-",690.67194/541.97894*100)</f>
        <v>127.43519886584522</v>
      </c>
      <c r="D89" s="15">
        <f>IF(541.97894="","-",541.97894/2809489.71283*100)</f>
        <v>1.9291009948353373E-2</v>
      </c>
      <c r="E89" s="15">
        <f>IF(690.67194="","-",690.67194/2997495.34676*100)</f>
        <v>2.3041635102004375E-2</v>
      </c>
      <c r="F89" s="15">
        <f>IF(OR(2113068.17363="",507.26832="",541.97894=""),"-",(541.97894-507.26832)/2113068.17363*100)</f>
        <v>1.6426644645530402E-3</v>
      </c>
      <c r="G89" s="15">
        <f>IF(OR(2809489.71283="",690.67194="",541.97894=""),"-",(690.67194-541.97894)/2809489.71283*100)</f>
        <v>5.2925269425607348E-3</v>
      </c>
    </row>
    <row r="90" spans="1:7" x14ac:dyDescent="0.3">
      <c r="A90" s="26" t="s">
        <v>62</v>
      </c>
      <c r="B90" s="64">
        <v>610.46014000000002</v>
      </c>
      <c r="C90" s="15" t="s">
        <v>100</v>
      </c>
      <c r="D90" s="15">
        <f>IF(377.64404="","-",377.64404/2809489.71283*100)</f>
        <v>1.3441730655763784E-2</v>
      </c>
      <c r="E90" s="15">
        <f>IF(610.46014="","-",610.46014/2997495.34676*100)</f>
        <v>2.0365674317387943E-2</v>
      </c>
      <c r="F90" s="15">
        <f>IF(OR(2113068.17363="",407.61673="",377.64404=""),"-",(377.64404-407.61673)/2113068.17363*100)</f>
        <v>-1.4184440603499545E-3</v>
      </c>
      <c r="G90" s="15">
        <f>IF(OR(2809489.71283="",610.46014="",377.64404=""),"-",(610.46014-377.64404)/2809489.71283*100)</f>
        <v>8.2867753149907172E-3</v>
      </c>
    </row>
    <row r="91" spans="1:7" x14ac:dyDescent="0.3">
      <c r="A91" s="26" t="s">
        <v>74</v>
      </c>
      <c r="B91" s="64">
        <v>590.44105999999999</v>
      </c>
      <c r="C91" s="15" t="s">
        <v>382</v>
      </c>
      <c r="D91" s="15">
        <f>IF(14.11743="","-",14.11743/2809489.71283*100)</f>
        <v>5.0249089489562524E-4</v>
      </c>
      <c r="E91" s="15">
        <f>IF(590.44106="","-",590.44106/2997495.34676*100)</f>
        <v>1.9697814064605943E-2</v>
      </c>
      <c r="F91" s="15">
        <f>IF(OR(2113068.17363="",30.44357="",14.11743=""),"-",(14.11743-30.44357)/2113068.17363*100)</f>
        <v>-7.7262722536555143E-4</v>
      </c>
      <c r="G91" s="15">
        <f>IF(OR(2809489.71283="",590.44106="",14.11743=""),"-",(590.44106-14.11743)/2809489.71283*100)</f>
        <v>2.0513462902822625E-2</v>
      </c>
    </row>
    <row r="92" spans="1:7" x14ac:dyDescent="0.3">
      <c r="A92" s="26" t="s">
        <v>83</v>
      </c>
      <c r="B92" s="64">
        <v>552.54900999999995</v>
      </c>
      <c r="C92" s="15">
        <f>IF(OR(695.88907="",552.54901=""),"-",552.54901/695.88907*100)</f>
        <v>79.401880819884113</v>
      </c>
      <c r="D92" s="15">
        <f>IF(695.88907="","-",695.88907/2809489.71283*100)</f>
        <v>2.4769233602177199E-2</v>
      </c>
      <c r="E92" s="15">
        <f>IF(552.54901="","-",552.54901/2997495.34676*100)</f>
        <v>1.8433690334073462E-2</v>
      </c>
      <c r="F92" s="15">
        <f>IF(OR(2113068.17363="",918.14871="",695.88907=""),"-",(695.88907-918.14871)/2113068.17363*100)</f>
        <v>-1.0518337400264017E-2</v>
      </c>
      <c r="G92" s="15">
        <f>IF(OR(2809489.71283="",552.54901="",695.88907=""),"-",(552.54901-695.88907)/2809489.71283*100)</f>
        <v>-5.1019962573777677E-3</v>
      </c>
    </row>
    <row r="93" spans="1:7" x14ac:dyDescent="0.3">
      <c r="A93" s="26" t="s">
        <v>89</v>
      </c>
      <c r="B93" s="10">
        <v>515.72739999999999</v>
      </c>
      <c r="C93" s="15">
        <f>IF(OR(373.56801="",515.7274=""),"-",515.7274/373.56801*100)</f>
        <v>138.05448705310715</v>
      </c>
      <c r="D93" s="15">
        <f>IF(373.56801="","-",373.56801/2809489.71283*100)</f>
        <v>1.3296649861148799E-2</v>
      </c>
      <c r="E93" s="15">
        <f>IF(515.7274="","-",515.7274/2997495.34676*100)</f>
        <v>1.7205277751555177E-2</v>
      </c>
      <c r="F93" s="15">
        <f>IF(OR(2113068.17363="",1165.28391="",373.56801=""),"-",(373.56801-1165.28391)/2113068.17363*100)</f>
        <v>-3.746759853185079E-2</v>
      </c>
      <c r="G93" s="15">
        <f>IF(OR(2809489.71283="",515.7274="",373.56801=""),"-",(515.7274-373.56801)/2809489.71283*100)</f>
        <v>5.0599718999078582E-3</v>
      </c>
    </row>
    <row r="94" spans="1:7" x14ac:dyDescent="0.3">
      <c r="A94" s="26" t="s">
        <v>202</v>
      </c>
      <c r="B94" s="64">
        <v>514.20875000000001</v>
      </c>
      <c r="C94" s="15" t="s">
        <v>343</v>
      </c>
      <c r="D94" s="15">
        <f>IF(217.23706="","-",217.23706/2809489.71283*100)</f>
        <v>7.7322603819459101E-3</v>
      </c>
      <c r="E94" s="15">
        <f>IF(514.20875="","-",514.20875/2997495.34676*100)</f>
        <v>1.7154613786333629E-2</v>
      </c>
      <c r="F94" s="15">
        <f>IF(OR(2113068.17363="",400.25344="",217.23706=""),"-",(217.23706-400.25344)/2113068.17363*100)</f>
        <v>-8.6611677883349884E-3</v>
      </c>
      <c r="G94" s="15">
        <f>IF(OR(2809489.71283="",514.20875="",217.23706=""),"-",(514.20875-217.23706)/2809489.71283*100)</f>
        <v>1.0570307079033945E-2</v>
      </c>
    </row>
    <row r="95" spans="1:7" x14ac:dyDescent="0.3">
      <c r="A95" s="26" t="s">
        <v>94</v>
      </c>
      <c r="B95" s="64">
        <v>397.93943999999999</v>
      </c>
      <c r="C95" s="15" t="s">
        <v>100</v>
      </c>
      <c r="D95" s="15">
        <f>IF(243.88611="","-",243.88611/2809489.71283*100)</f>
        <v>8.6807974019713872E-3</v>
      </c>
      <c r="E95" s="15">
        <f>IF(397.93944="","-",397.93944/2997495.34676*100)</f>
        <v>1.3275731701473155E-2</v>
      </c>
      <c r="F95" s="15">
        <f>IF(OR(2113068.17363="",433.51798="",243.88611=""),"-",(243.88611-433.51798)/2113068.17363*100)</f>
        <v>-8.9742428742483494E-3</v>
      </c>
      <c r="G95" s="15">
        <f>IF(OR(2809489.71283="",397.93944="",243.88611=""),"-",(397.93944-243.88611)/2809489.71283*100)</f>
        <v>5.4833206648342561E-3</v>
      </c>
    </row>
    <row r="96" spans="1:7" x14ac:dyDescent="0.3">
      <c r="A96" s="26" t="s">
        <v>122</v>
      </c>
      <c r="B96" s="10">
        <v>390.97769</v>
      </c>
      <c r="C96" s="15" t="s">
        <v>378</v>
      </c>
      <c r="D96" s="15">
        <f>IF(53.98397="","-",53.98397/2809489.71283*100)</f>
        <v>1.9214866583591055E-3</v>
      </c>
      <c r="E96" s="15">
        <f>IF(390.97769="","-",390.97769/2997495.34676*100)</f>
        <v>1.3043479464367101E-2</v>
      </c>
      <c r="F96" s="15">
        <f>IF(OR(2113068.17363="",94.27435="",53.98397=""),"-",(53.98397-94.27435)/2113068.17363*100)</f>
        <v>-1.9067240945087878E-3</v>
      </c>
      <c r="G96" s="15">
        <f>IF(OR(2809489.71283="",390.97769="",53.98397=""),"-",(390.97769-53.98397)/2809489.71283*100)</f>
        <v>1.1994837299494722E-2</v>
      </c>
    </row>
    <row r="97" spans="1:7" x14ac:dyDescent="0.3">
      <c r="A97" s="26" t="s">
        <v>90</v>
      </c>
      <c r="B97" s="64">
        <v>370.92203999999998</v>
      </c>
      <c r="C97" s="15">
        <f>IF(OR(445.65828="",370.92204=""),"-",370.92204/445.65828*100)</f>
        <v>83.230146649580931</v>
      </c>
      <c r="D97" s="15">
        <f>IF(445.65828="","-",445.65828/2809489.71283*100)</f>
        <v>1.5862605866283391E-2</v>
      </c>
      <c r="E97" s="15">
        <f>IF(370.92204="","-",370.92204/2997495.34676*100)</f>
        <v>1.2374399193010609E-2</v>
      </c>
      <c r="F97" s="15">
        <f>IF(OR(2113068.17363="",241.84373="",445.65828=""),"-",(445.65828-241.84373)/2113068.17363*100)</f>
        <v>9.6454318201135373E-3</v>
      </c>
      <c r="G97" s="15">
        <f>IF(OR(2809489.71283="",370.92204="",445.65828=""),"-",(370.92204-445.65828)/2809489.71283*100)</f>
        <v>-2.6601357413306979E-3</v>
      </c>
    </row>
    <row r="98" spans="1:7" x14ac:dyDescent="0.3">
      <c r="A98" s="26" t="s">
        <v>97</v>
      </c>
      <c r="B98" s="64">
        <v>346.005</v>
      </c>
      <c r="C98" s="15" t="s">
        <v>380</v>
      </c>
      <c r="D98" s="15">
        <f>IF(88.73="","-",88.73/2809489.71283*100)</f>
        <v>3.1582247692454528E-3</v>
      </c>
      <c r="E98" s="15">
        <f>IF(346.005="","-",346.005/2997495.34676*100)</f>
        <v>1.1543137185316989E-2</v>
      </c>
      <c r="F98" s="15">
        <f>IF(OR(2113068.17363="",0.08108="",88.73=""),"-",(88.73-0.08108)/2113068.17363*100)</f>
        <v>4.1952702286794505E-3</v>
      </c>
      <c r="G98" s="15">
        <f>IF(OR(2809489.71283="",346.005="",88.73=""),"-",(346.005-88.73)/2809489.71283*100)</f>
        <v>9.157356897414896E-3</v>
      </c>
    </row>
    <row r="99" spans="1:7" x14ac:dyDescent="0.3">
      <c r="A99" s="26" t="s">
        <v>297</v>
      </c>
      <c r="B99" s="64">
        <v>342.42183</v>
      </c>
      <c r="C99" s="15">
        <f>IF(OR(522.62635="",342.42183=""),"-",342.42183/522.62635*100)</f>
        <v>65.519434678331862</v>
      </c>
      <c r="D99" s="15">
        <f>IF(522.62635="","-",522.62635/2809489.71283*100)</f>
        <v>1.860218058864356E-2</v>
      </c>
      <c r="E99" s="15">
        <f>IF(342.42183="","-",342.42183/2997495.34676*100)</f>
        <v>1.1423598384235178E-2</v>
      </c>
      <c r="F99" s="15">
        <f>IF(OR(2113068.17363="",449.92615="",522.62635=""),"-",(522.62635-449.92615)/2113068.17363*100)</f>
        <v>3.44050423489696E-3</v>
      </c>
      <c r="G99" s="15">
        <f>IF(OR(2809489.71283="",342.42183="",522.62635=""),"-",(342.42183-522.62635)/2809489.71283*100)</f>
        <v>-6.4141370291219153E-3</v>
      </c>
    </row>
    <row r="100" spans="1:7" x14ac:dyDescent="0.3">
      <c r="A100" s="26" t="s">
        <v>117</v>
      </c>
      <c r="B100" s="10">
        <v>280.90170000000001</v>
      </c>
      <c r="C100" s="15" t="s">
        <v>196</v>
      </c>
      <c r="D100" s="15">
        <f>IF(152.12813="","-",152.12813/2809489.71283*100)</f>
        <v>5.4147957654118364E-3</v>
      </c>
      <c r="E100" s="15">
        <f>IF(280.9017="","-",280.9017/2997495.34676*100)</f>
        <v>9.3712138804027609E-3</v>
      </c>
      <c r="F100" s="15">
        <f>IF(OR(2113068.17363="",243.75881="",152.12813=""),"-",(152.12813-243.75881)/2113068.17363*100)</f>
        <v>-4.3363806782716991E-3</v>
      </c>
      <c r="G100" s="15">
        <f>IF(OR(2809489.71283="",280.9017="",152.12813=""),"-",(280.9017-152.12813)/2809489.71283*100)</f>
        <v>4.5835216769769321E-3</v>
      </c>
    </row>
    <row r="101" spans="1:7" x14ac:dyDescent="0.3">
      <c r="A101" s="26" t="s">
        <v>314</v>
      </c>
      <c r="B101" s="64">
        <v>239.38319000000001</v>
      </c>
      <c r="C101" s="15" t="s">
        <v>348</v>
      </c>
      <c r="D101" s="15">
        <f>IF(41.63609="","-",41.63609/2809489.71283*100)</f>
        <v>1.4819805109042366E-3</v>
      </c>
      <c r="E101" s="15">
        <f>IF(239.38319="","-",239.38319/2997495.34676*100)</f>
        <v>7.986107143043604E-3</v>
      </c>
      <c r="F101" s="15">
        <f>IF(OR(2113068.17363="",36.40916="",41.63609=""),"-",(41.63609-36.40916)/2113068.17363*100)</f>
        <v>2.4736210905210686E-4</v>
      </c>
      <c r="G101" s="15">
        <f>IF(OR(2809489.71283="",239.38319="",41.63609=""),"-",(239.38319-41.63609)/2809489.71283*100)</f>
        <v>7.0385415222186127E-3</v>
      </c>
    </row>
    <row r="102" spans="1:7" x14ac:dyDescent="0.3">
      <c r="A102" s="26" t="s">
        <v>337</v>
      </c>
      <c r="B102" s="10">
        <v>222.32549</v>
      </c>
      <c r="C102" s="15">
        <f>IF(OR(271.76993="",222.32549=""),"-",222.32549/271.76993*100)</f>
        <v>81.80650817402794</v>
      </c>
      <c r="D102" s="15">
        <f>IF(271.76993="","-",271.76993/2809489.71283*100)</f>
        <v>9.6732843960566067E-3</v>
      </c>
      <c r="E102" s="15">
        <f>IF(222.32549="","-",222.32549/2997495.34676*100)</f>
        <v>7.4170420394584491E-3</v>
      </c>
      <c r="F102" s="15">
        <f>IF(OR(2113068.17363="",14.07595="",271.76993=""),"-",(271.76993-14.07595)/2113068.17363*100)</f>
        <v>1.2195251587993602E-2</v>
      </c>
      <c r="G102" s="15">
        <f>IF(OR(2809489.71283="",222.32549="",271.76993=""),"-",(222.32549-271.76993)/2809489.71283*100)</f>
        <v>-1.7599082058995896E-3</v>
      </c>
    </row>
    <row r="103" spans="1:7" x14ac:dyDescent="0.3">
      <c r="A103" s="26" t="s">
        <v>115</v>
      </c>
      <c r="B103" s="64">
        <v>206.28630000000001</v>
      </c>
      <c r="C103" s="15" t="s">
        <v>347</v>
      </c>
      <c r="D103" s="15">
        <f>IF(0.51364="","-",0.51364/2809489.71283*100)</f>
        <v>1.8282323571229959E-5</v>
      </c>
      <c r="E103" s="15">
        <f>IF(206.2863="","-",206.2863/2997495.34676*100)</f>
        <v>6.8819556374949955E-3</v>
      </c>
      <c r="F103" s="15">
        <f>IF(OR(2113068.17363="",236.06458="",0.51364=""),"-",(0.51364-236.06458)/2113068.17363*100)</f>
        <v>-1.1147342188934277E-2</v>
      </c>
      <c r="G103" s="15">
        <f>IF(OR(2809489.71283="",206.2863="",0.51364=""),"-",(206.2863-0.51364)/2809489.71283*100)</f>
        <v>7.3242005144316807E-3</v>
      </c>
    </row>
    <row r="104" spans="1:7" x14ac:dyDescent="0.3">
      <c r="A104" s="26" t="s">
        <v>125</v>
      </c>
      <c r="B104" s="10">
        <v>169.04562999999999</v>
      </c>
      <c r="C104" s="15" t="s">
        <v>91</v>
      </c>
      <c r="D104" s="15">
        <f>IF(79.7745="","-",79.7745/2809489.71283*100)</f>
        <v>2.8394658160055381E-3</v>
      </c>
      <c r="E104" s="15">
        <f>IF(169.04563="","-",169.04563/2997495.34676*100)</f>
        <v>5.6395627163432233E-3</v>
      </c>
      <c r="F104" s="15">
        <f>IF(OR(2113068.17363="",149.15639="",79.7745=""),"-",(79.7745-149.15639)/2113068.17363*100)</f>
        <v>-3.2834667080717107E-3</v>
      </c>
      <c r="G104" s="15">
        <f>IF(OR(2809489.71283="",169.04563="",79.7745=""),"-",(169.04563-79.7745)/2809489.71283*100)</f>
        <v>3.1774855623186156E-3</v>
      </c>
    </row>
    <row r="105" spans="1:7" x14ac:dyDescent="0.3">
      <c r="A105" s="26" t="s">
        <v>58</v>
      </c>
      <c r="B105" s="64">
        <v>155.54304999999999</v>
      </c>
      <c r="C105" s="15">
        <f>IF(OR(241.87747="",155.54305=""),"-",155.54305/241.87747*100)</f>
        <v>64.306547443215777</v>
      </c>
      <c r="D105" s="15">
        <f>IF(241.87747="","-",241.87747/2809489.71283*100)</f>
        <v>8.6093025682004269E-3</v>
      </c>
      <c r="E105" s="15">
        <f>IF(155.54305="","-",155.54305/2997495.34676*100)</f>
        <v>5.1891006325706845E-3</v>
      </c>
      <c r="F105" s="15">
        <f>IF(OR(2113068.17363="",1.72413="",241.87747=""),"-",(241.87747-1.72413)/2113068.17363*100)</f>
        <v>1.1365148696903853E-2</v>
      </c>
      <c r="G105" s="15">
        <f>IF(OR(2809489.71283="",155.54305="",241.87747=""),"-",(155.54305-241.87747)/2809489.71283*100)</f>
        <v>-3.0729573276506252E-3</v>
      </c>
    </row>
    <row r="106" spans="1:7" x14ac:dyDescent="0.3">
      <c r="A106" s="67" t="s">
        <v>124</v>
      </c>
      <c r="B106" s="64">
        <v>149.98193000000001</v>
      </c>
      <c r="C106" s="15">
        <f>IF(OR(184.3994="",149.98193=""),"-",149.98193/184.3994*100)</f>
        <v>81.335367685578149</v>
      </c>
      <c r="D106" s="15">
        <f>IF(184.3994="","-",184.3994/2809489.71283*100)</f>
        <v>6.5634481293136478E-3</v>
      </c>
      <c r="E106" s="15">
        <f>IF(149.98193="","-",149.98193/2997495.34676*100)</f>
        <v>5.0035750735064801E-3</v>
      </c>
      <c r="F106" s="15">
        <f>IF(OR(2113068.17363="",78.89201="",184.3994=""),"-",(184.3994-78.89201)/2113068.17363*100)</f>
        <v>4.9930897316365734E-3</v>
      </c>
      <c r="G106" s="15">
        <f>IF(OR(2809489.71283="",149.98193="",184.3994=""),"-",(149.98193-184.3994)/2809489.71283*100)</f>
        <v>-1.2250434604841917E-3</v>
      </c>
    </row>
    <row r="107" spans="1:7" x14ac:dyDescent="0.3">
      <c r="A107" s="26" t="s">
        <v>334</v>
      </c>
      <c r="B107" s="10">
        <v>144.97065000000001</v>
      </c>
      <c r="C107" s="15" t="s">
        <v>399</v>
      </c>
      <c r="D107" s="15">
        <f>IF(0.37434="","-",0.37434/2809489.71283*100)</f>
        <v>1.3324127804793675E-5</v>
      </c>
      <c r="E107" s="15">
        <f>IF(144.97065="","-",144.97065/2997495.34676*100)</f>
        <v>4.8363928289896808E-3</v>
      </c>
      <c r="F107" s="15" t="str">
        <f>IF(OR(2113068.17363="",""="",0.37434=""),"-",(0.37434-"")/2113068.17363*100)</f>
        <v>-</v>
      </c>
      <c r="G107" s="15">
        <f>IF(OR(2809489.71283="",144.97065="",0.37434=""),"-",(144.97065-0.37434)/2809489.71283*100)</f>
        <v>5.1467107830890793E-3</v>
      </c>
    </row>
    <row r="108" spans="1:7" x14ac:dyDescent="0.3">
      <c r="A108" s="26" t="s">
        <v>201</v>
      </c>
      <c r="B108" s="10">
        <v>139.6164</v>
      </c>
      <c r="C108" s="15">
        <f>IF(OR(121.87922="",139.6164=""),"-",139.6164/121.87922*100)</f>
        <v>114.55307968003076</v>
      </c>
      <c r="D108" s="15">
        <f>IF(121.87922="","-",121.87922/2809489.71283*100)</f>
        <v>4.3381265801906432E-3</v>
      </c>
      <c r="E108" s="15">
        <f>IF(139.6164="","-",139.6164/2997495.34676*100)</f>
        <v>4.6577686984872789E-3</v>
      </c>
      <c r="F108" s="15">
        <f>IF(OR(2113068.17363="",18.08309="",121.87922=""),"-",(121.87922-18.08309)/2113068.17363*100)</f>
        <v>4.9121051225569593E-3</v>
      </c>
      <c r="G108" s="15">
        <f>IF(OR(2809489.71283="",139.6164="",121.87922=""),"-",(139.6164-121.87922)/2809489.71283*100)</f>
        <v>6.3133101783573804E-4</v>
      </c>
    </row>
    <row r="109" spans="1:7" x14ac:dyDescent="0.3">
      <c r="A109" s="26" t="s">
        <v>286</v>
      </c>
      <c r="B109" s="64">
        <v>119.01365</v>
      </c>
      <c r="C109" s="15">
        <f>IF(OR(76.04734="",119.01365=""),"-",119.01365/76.04734*100)</f>
        <v>156.49942522644446</v>
      </c>
      <c r="D109" s="15">
        <f>IF(76.04734="","-",76.04734/2809489.71283*100)</f>
        <v>2.7068025788710751E-3</v>
      </c>
      <c r="E109" s="15">
        <f>IF(119.01365="","-",119.01365/2997495.34676*100)</f>
        <v>3.9704365222332089E-3</v>
      </c>
      <c r="F109" s="15">
        <f>IF(OR(2113068.17363="",0.54251="",76.04734=""),"-",(76.04734-0.54251)/2113068.17363*100)</f>
        <v>3.5732320869842865E-3</v>
      </c>
      <c r="G109" s="15">
        <f>IF(OR(2809489.71283="",119.01365="",76.04734=""),"-",(119.01365-76.04734)/2809489.71283*100)</f>
        <v>1.5293278990767334E-3</v>
      </c>
    </row>
    <row r="110" spans="1:7" x14ac:dyDescent="0.3">
      <c r="A110" s="26" t="s">
        <v>338</v>
      </c>
      <c r="B110" s="64">
        <v>74.937920000000005</v>
      </c>
      <c r="C110" s="15" t="s">
        <v>383</v>
      </c>
      <c r="D110" s="15">
        <f>IF(1.64603="","-",1.64603/2809489.71283*100)</f>
        <v>5.858821950773236E-5</v>
      </c>
      <c r="E110" s="15">
        <f>IF(74.93792="","-",74.93792/2997495.34676*100)</f>
        <v>2.5000178926382851E-3</v>
      </c>
      <c r="F110" s="15">
        <f>IF(OR(2113068.17363="",21.80647="",1.64603=""),"-",(1.64603-21.80647)/2113068.17363*100)</f>
        <v>-9.5408374663874464E-4</v>
      </c>
      <c r="G110" s="15">
        <f>IF(OR(2809489.71283="",74.93792="",1.64603=""),"-",(74.93792-1.64603)/2809489.71283*100)</f>
        <v>2.6087260496203443E-3</v>
      </c>
    </row>
    <row r="111" spans="1:7" x14ac:dyDescent="0.3">
      <c r="A111" s="26" t="s">
        <v>340</v>
      </c>
      <c r="B111" s="64">
        <v>58.388379999999998</v>
      </c>
      <c r="C111" s="15">
        <f>IF(OR(58.2026="",58.38838=""),"-",58.38838/58.2026*100)</f>
        <v>100.3191953624065</v>
      </c>
      <c r="D111" s="15">
        <f>IF(58.2026="","-",58.2026/2809489.71283*100)</f>
        <v>2.0716431077931409E-3</v>
      </c>
      <c r="E111" s="15">
        <f>IF(58.38838="","-",58.38838/2997495.34676*100)</f>
        <v>1.9479056093652369E-3</v>
      </c>
      <c r="F111" s="15">
        <f>IF(OR(2113068.17363="",55.01592="",58.2026=""),"-",(58.2026-55.01592)/2113068.17363*100)</f>
        <v>1.5080819633593069E-4</v>
      </c>
      <c r="G111" s="15">
        <f>IF(OR(2809489.71283="",58.38838="",58.2026=""),"-",(58.38838-58.2026)/2809489.71283*100)</f>
        <v>6.6125887256894379E-6</v>
      </c>
    </row>
    <row r="112" spans="1:7" x14ac:dyDescent="0.3">
      <c r="A112" s="26" t="s">
        <v>368</v>
      </c>
      <c r="B112" s="64">
        <v>57.647509999999997</v>
      </c>
      <c r="C112" s="15" t="s">
        <v>384</v>
      </c>
      <c r="D112" s="15">
        <f>IF(0.73729="","-",0.73729/2809489.71283*100)</f>
        <v>2.6242843909804797E-5</v>
      </c>
      <c r="E112" s="15">
        <f>IF(57.64751="","-",57.64751/2997495.34676*100)</f>
        <v>1.9231893074433402E-3</v>
      </c>
      <c r="F112" s="15">
        <f>IF(OR(2113068.17363="",0.49835="",0.73729=""),"-",(0.73729-0.49835)/2113068.17363*100)</f>
        <v>1.1307727927657415E-5</v>
      </c>
      <c r="G112" s="15">
        <f>IF(OR(2809489.71283="",57.64751="",0.73729=""),"-",(57.64751-0.73729)/2809489.71283*100)</f>
        <v>2.0256425834239596E-3</v>
      </c>
    </row>
    <row r="113" spans="1:7" x14ac:dyDescent="0.3">
      <c r="A113" s="26" t="s">
        <v>376</v>
      </c>
      <c r="B113" s="10">
        <v>55.731630000000003</v>
      </c>
      <c r="C113" s="15" t="str">
        <f>IF(OR(""="",55.73163=""),"-",55.73163/""*100)</f>
        <v>-</v>
      </c>
      <c r="D113" s="15" t="str">
        <f>IF(""="","-",""/2809489.71283*100)</f>
        <v>-</v>
      </c>
      <c r="E113" s="15">
        <f>IF(55.73163="","-",55.73163/2997495.34676*100)</f>
        <v>1.8592732782801633E-3</v>
      </c>
      <c r="F113" s="15" t="str">
        <f>IF(OR(2113068.17363="",98.9305="",""=""),"-",(""-98.9305)/2113068.17363*100)</f>
        <v>-</v>
      </c>
      <c r="G113" s="15" t="str">
        <f>IF(OR(2809489.71283="",55.73163="",""=""),"-",(55.73163-"")/2809489.71283*100)</f>
        <v>-</v>
      </c>
    </row>
    <row r="114" spans="1:7" x14ac:dyDescent="0.3">
      <c r="A114" s="26" t="s">
        <v>339</v>
      </c>
      <c r="B114" s="64">
        <v>53.711770000000001</v>
      </c>
      <c r="C114" s="15" t="s">
        <v>385</v>
      </c>
      <c r="D114" s="15">
        <f>IF(2.44997="","-",2.44997/2809489.71283*100)</f>
        <v>8.7203380343832762E-5</v>
      </c>
      <c r="E114" s="15">
        <f>IF(53.71177="","-",53.71177/2997495.34676*100)</f>
        <v>1.791888352989678E-3</v>
      </c>
      <c r="F114" s="15">
        <f>IF(OR(2113068.17363="",45.8732="",2.44997=""),"-",(2.44997-45.8732)/2113068.17363*100)</f>
        <v>-2.054984810329335E-3</v>
      </c>
      <c r="G114" s="15">
        <f>IF(OR(2809489.71283="",53.71177="",2.44997=""),"-",(53.71177-2.44997)/2809489.71283*100)</f>
        <v>1.8245946858571685E-3</v>
      </c>
    </row>
    <row r="115" spans="1:7" x14ac:dyDescent="0.3">
      <c r="A115" s="27" t="s">
        <v>377</v>
      </c>
      <c r="B115" s="69">
        <v>50.203789999999998</v>
      </c>
      <c r="C115" s="18">
        <f>IF(OR(45.89347="",50.20379=""),"-",50.20379/45.89347*100)</f>
        <v>109.3920115432544</v>
      </c>
      <c r="D115" s="18">
        <f>IF(45.89347="","-",45.89347/2809489.71283*100)</f>
        <v>1.6335162143651877E-3</v>
      </c>
      <c r="E115" s="18">
        <f>IF(50.20379="","-",50.20379/2997495.34676*100)</f>
        <v>1.6748579794882883E-3</v>
      </c>
      <c r="F115" s="18">
        <f>IF(OR(2113068.17363="",0.59908="",45.89347=""),"-",(45.89347-0.59908)/2113068.17363*100)</f>
        <v>2.1435366149209286E-3</v>
      </c>
      <c r="G115" s="18">
        <f>IF(OR(2809489.71283="",50.20379="",45.89347=""),"-",(50.20379-45.89347)/2809489.71283*100)</f>
        <v>1.5342003141411079E-4</v>
      </c>
    </row>
    <row r="116" spans="1:7" x14ac:dyDescent="0.3">
      <c r="A116" s="19" t="s">
        <v>278</v>
      </c>
      <c r="B116" s="20"/>
      <c r="C116" s="20"/>
      <c r="D116" s="20"/>
      <c r="E116" s="20"/>
      <c r="F116" s="2"/>
      <c r="G116" s="2"/>
    </row>
    <row r="117" spans="1:7" x14ac:dyDescent="0.3">
      <c r="A117" s="66" t="s">
        <v>324</v>
      </c>
      <c r="B117" s="66"/>
      <c r="C117" s="66"/>
      <c r="D117" s="66"/>
      <c r="E117" s="66"/>
      <c r="F117" s="2"/>
      <c r="G117" s="2"/>
    </row>
  </sheetData>
  <mergeCells count="6">
    <mergeCell ref="A1:G1"/>
    <mergeCell ref="A3:A4"/>
    <mergeCell ref="B3:C3"/>
    <mergeCell ref="D3:E3"/>
    <mergeCell ref="F3:G3"/>
    <mergeCell ref="A2:G2"/>
  </mergeCells>
  <phoneticPr fontId="6" type="noConversion"/>
  <pageMargins left="0.59055118110236227" right="0.39370078740157483" top="0.39370078740157483" bottom="0.39370078740157483" header="0.11811023622047245" footer="0.1181102362204724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E131"/>
  <sheetViews>
    <sheetView workbookViewId="0">
      <selection sqref="A1:D1"/>
    </sheetView>
  </sheetViews>
  <sheetFormatPr defaultRowHeight="15.6" x14ac:dyDescent="0.3"/>
  <cols>
    <col min="1" max="1" width="44.19921875" customWidth="1"/>
    <col min="2" max="4" width="15" customWidth="1"/>
  </cols>
  <sheetData>
    <row r="1" spans="1:4" ht="16.2" x14ac:dyDescent="0.35">
      <c r="A1" s="83" t="s">
        <v>289</v>
      </c>
      <c r="B1" s="83"/>
      <c r="C1" s="83"/>
      <c r="D1" s="83"/>
    </row>
    <row r="2" spans="1:4" ht="16.2" x14ac:dyDescent="0.35">
      <c r="A2" s="84"/>
      <c r="B2" s="84"/>
      <c r="C2" s="84"/>
      <c r="D2" s="84"/>
    </row>
    <row r="3" spans="1:4" ht="70.5" customHeight="1" x14ac:dyDescent="0.3">
      <c r="A3" s="43"/>
      <c r="B3" s="43" t="s">
        <v>360</v>
      </c>
      <c r="C3" s="44" t="s">
        <v>361</v>
      </c>
      <c r="D3" s="44" t="s">
        <v>362</v>
      </c>
    </row>
    <row r="4" spans="1:4" s="1" customFormat="1" ht="16.5" customHeight="1" x14ac:dyDescent="0.25">
      <c r="A4" s="50" t="s">
        <v>328</v>
      </c>
      <c r="B4" s="51">
        <v>-1350501.33614</v>
      </c>
      <c r="C4" s="51">
        <v>-1608477.42469</v>
      </c>
      <c r="D4" s="51">
        <f>IF(-1350501.33614="","-",-1608477.42469/-1350501.33614*100)</f>
        <v>119.10224608050717</v>
      </c>
    </row>
    <row r="5" spans="1:4" x14ac:dyDescent="0.3">
      <c r="A5" s="17" t="s">
        <v>123</v>
      </c>
      <c r="B5" s="33"/>
      <c r="C5" s="33"/>
      <c r="D5" s="33"/>
    </row>
    <row r="6" spans="1:4" x14ac:dyDescent="0.3">
      <c r="A6" s="25" t="s">
        <v>305</v>
      </c>
      <c r="B6" s="16">
        <v>-270462.83137000003</v>
      </c>
      <c r="C6" s="16">
        <v>-582960.37462000002</v>
      </c>
      <c r="D6" s="16">
        <f>IF(-270462.83137="","-",-582960.37462/-270462.83137*100)</f>
        <v>215.54177025622252</v>
      </c>
    </row>
    <row r="7" spans="1:4" x14ac:dyDescent="0.3">
      <c r="A7" s="26" t="s">
        <v>4</v>
      </c>
      <c r="B7" s="15">
        <v>-101482.63566</v>
      </c>
      <c r="C7" s="15">
        <v>-121129.17449999999</v>
      </c>
      <c r="D7" s="15">
        <f>IF(OR(-101482.63566="",-121129.1745="",-101482.63566=0),"-",-121129.1745/-101482.63566*100)</f>
        <v>119.35950787267915</v>
      </c>
    </row>
    <row r="8" spans="1:4" x14ac:dyDescent="0.3">
      <c r="A8" s="26" t="s">
        <v>290</v>
      </c>
      <c r="B8" s="15">
        <v>-60168.404880000002</v>
      </c>
      <c r="C8" s="15">
        <v>-64802.908819999997</v>
      </c>
      <c r="D8" s="15">
        <f>IF(OR(-60168.40488="",-64802.90882="",-60168.40488=0),"-",-64802.90882/-60168.40488*100)</f>
        <v>107.70255410500422</v>
      </c>
    </row>
    <row r="9" spans="1:4" x14ac:dyDescent="0.3">
      <c r="A9" s="26" t="s">
        <v>3</v>
      </c>
      <c r="B9" s="15">
        <v>-4472.9040599999998</v>
      </c>
      <c r="C9" s="15">
        <v>-63279.433660000002</v>
      </c>
      <c r="D9" s="15" t="s">
        <v>329</v>
      </c>
    </row>
    <row r="10" spans="1:4" x14ac:dyDescent="0.3">
      <c r="A10" s="26" t="s">
        <v>5</v>
      </c>
      <c r="B10" s="15">
        <v>-50822.941180000002</v>
      </c>
      <c r="C10" s="15">
        <v>-60275.120779999903</v>
      </c>
      <c r="D10" s="15">
        <f>IF(OR(-50822.94118="",-60275.1207799999="",-50822.94118=0),"-",-60275.1207799999/-50822.94118*100)</f>
        <v>118.59825382109044</v>
      </c>
    </row>
    <row r="11" spans="1:4" x14ac:dyDescent="0.3">
      <c r="A11" s="26" t="s">
        <v>8</v>
      </c>
      <c r="B11" s="15">
        <v>4823.6354000000001</v>
      </c>
      <c r="C11" s="15">
        <v>-51361.063649999996</v>
      </c>
      <c r="D11" s="15" t="s">
        <v>20</v>
      </c>
    </row>
    <row r="12" spans="1:4" x14ac:dyDescent="0.3">
      <c r="A12" s="26" t="s">
        <v>40</v>
      </c>
      <c r="B12" s="15">
        <v>-46771.900430000002</v>
      </c>
      <c r="C12" s="15">
        <v>-51257.702279999998</v>
      </c>
      <c r="D12" s="15">
        <f>IF(OR(-46771.90043="",-51257.70228="",-46771.90043=0),"-",-51257.70228/-46771.90043*100)</f>
        <v>109.59080518165723</v>
      </c>
    </row>
    <row r="13" spans="1:4" x14ac:dyDescent="0.3">
      <c r="A13" s="26" t="s">
        <v>6</v>
      </c>
      <c r="B13" s="15">
        <v>27021.15756</v>
      </c>
      <c r="C13" s="15">
        <v>-37711.770879999996</v>
      </c>
      <c r="D13" s="15" t="s">
        <v>20</v>
      </c>
    </row>
    <row r="14" spans="1:4" x14ac:dyDescent="0.3">
      <c r="A14" s="26" t="s">
        <v>7</v>
      </c>
      <c r="B14" s="15">
        <v>-20659.620719999999</v>
      </c>
      <c r="C14" s="15">
        <v>-27139.93014</v>
      </c>
      <c r="D14" s="15">
        <f>IF(OR(-20659.62072="",-27139.93014="",-20659.62072=0),"-",-27139.93014/-20659.62072*100)</f>
        <v>131.36702995581422</v>
      </c>
    </row>
    <row r="15" spans="1:4" x14ac:dyDescent="0.3">
      <c r="A15" s="26" t="s">
        <v>42</v>
      </c>
      <c r="B15" s="15">
        <v>-12589.89741</v>
      </c>
      <c r="C15" s="15">
        <v>-24105.811539999999</v>
      </c>
      <c r="D15" s="15" t="s">
        <v>101</v>
      </c>
    </row>
    <row r="16" spans="1:4" x14ac:dyDescent="0.3">
      <c r="A16" s="26" t="s">
        <v>304</v>
      </c>
      <c r="B16" s="15">
        <v>-2828.6740199999999</v>
      </c>
      <c r="C16" s="15">
        <v>-17152.36376</v>
      </c>
      <c r="D16" s="15" t="s">
        <v>349</v>
      </c>
    </row>
    <row r="17" spans="1:4" x14ac:dyDescent="0.3">
      <c r="A17" s="26" t="s">
        <v>39</v>
      </c>
      <c r="B17" s="15">
        <v>-9887.8700399999998</v>
      </c>
      <c r="C17" s="15">
        <v>-16796.198339999999</v>
      </c>
      <c r="D17" s="15" t="s">
        <v>99</v>
      </c>
    </row>
    <row r="18" spans="1:4" x14ac:dyDescent="0.3">
      <c r="A18" s="26" t="s">
        <v>2</v>
      </c>
      <c r="B18" s="15">
        <v>74595.014559999996</v>
      </c>
      <c r="C18" s="15">
        <v>-12043.13313</v>
      </c>
      <c r="D18" s="15" t="s">
        <v>20</v>
      </c>
    </row>
    <row r="19" spans="1:4" x14ac:dyDescent="0.3">
      <c r="A19" s="26" t="s">
        <v>48</v>
      </c>
      <c r="B19" s="15">
        <v>-10918.11111</v>
      </c>
      <c r="C19" s="15">
        <v>-12530.41439</v>
      </c>
      <c r="D19" s="15">
        <f>IF(OR(-10918.11111="",-12530.41439="",-10918.11111=0),"-",-12530.41439/-10918.11111*100)</f>
        <v>114.76723641805839</v>
      </c>
    </row>
    <row r="20" spans="1:4" x14ac:dyDescent="0.3">
      <c r="A20" s="26" t="s">
        <v>49</v>
      </c>
      <c r="B20" s="15">
        <v>5278.4027500000002</v>
      </c>
      <c r="C20" s="15">
        <v>-11834.32036</v>
      </c>
      <c r="D20" s="15" t="s">
        <v>20</v>
      </c>
    </row>
    <row r="21" spans="1:4" x14ac:dyDescent="0.3">
      <c r="A21" s="26" t="s">
        <v>38</v>
      </c>
      <c r="B21" s="15">
        <v>-25992.84635</v>
      </c>
      <c r="C21" s="15">
        <v>-11795.36363</v>
      </c>
      <c r="D21" s="15">
        <f>IF(OR(-25992.84635="",-11795.36363="",-25992.84635=0),"-",-11795.36363/-25992.84635*100)</f>
        <v>45.379268861795893</v>
      </c>
    </row>
    <row r="22" spans="1:4" x14ac:dyDescent="0.3">
      <c r="A22" s="26" t="s">
        <v>50</v>
      </c>
      <c r="B22" s="15">
        <v>-9989.2079799999992</v>
      </c>
      <c r="C22" s="15">
        <v>-9842.6223800000007</v>
      </c>
      <c r="D22" s="15">
        <f>IF(OR(-9989.20798="",-9842.62238="",-9989.20798=0),"-",-9842.62238/-9989.20798*100)</f>
        <v>98.532560336179941</v>
      </c>
    </row>
    <row r="23" spans="1:4" x14ac:dyDescent="0.3">
      <c r="A23" s="26" t="s">
        <v>47</v>
      </c>
      <c r="B23" s="15">
        <v>-5703.4307099999996</v>
      </c>
      <c r="C23" s="15">
        <v>-6164.6433100000004</v>
      </c>
      <c r="D23" s="15">
        <f>IF(OR(-5703.43071="",-6164.64331="",-5703.43071=0),"-",-6164.64331/-5703.43071*100)</f>
        <v>108.08658197935748</v>
      </c>
    </row>
    <row r="24" spans="1:4" x14ac:dyDescent="0.3">
      <c r="A24" s="26" t="s">
        <v>46</v>
      </c>
      <c r="B24" s="15">
        <v>-7025.9019900000003</v>
      </c>
      <c r="C24" s="15">
        <v>-5581.5884800000003</v>
      </c>
      <c r="D24" s="15">
        <f>IF(OR(-7025.90199="",-5581.58848="",-7025.90199=0),"-",-5581.58848/-7025.90199*100)</f>
        <v>79.44301654000158</v>
      </c>
    </row>
    <row r="25" spans="1:4" x14ac:dyDescent="0.3">
      <c r="A25" s="26" t="s">
        <v>43</v>
      </c>
      <c r="B25" s="15">
        <v>-4278.8299399999996</v>
      </c>
      <c r="C25" s="15">
        <v>-4173.9655300000004</v>
      </c>
      <c r="D25" s="15">
        <f>IF(OR(-4278.82994="",-4173.96553="",-4278.82994=0),"-",-4173.96553/-4278.82994*100)</f>
        <v>97.54922697395169</v>
      </c>
    </row>
    <row r="26" spans="1:4" x14ac:dyDescent="0.3">
      <c r="A26" s="26" t="s">
        <v>51</v>
      </c>
      <c r="B26" s="15">
        <v>-3170.08313</v>
      </c>
      <c r="C26" s="15">
        <v>-2281.6968900000002</v>
      </c>
      <c r="D26" s="15">
        <f>IF(OR(-3170.08313="",-2281.69689="",-3170.08313=0),"-",-2281.69689/-3170.08313*100)</f>
        <v>71.975932378782773</v>
      </c>
    </row>
    <row r="27" spans="1:4" x14ac:dyDescent="0.3">
      <c r="A27" s="26" t="s">
        <v>291</v>
      </c>
      <c r="B27" s="15">
        <v>-1667.78638</v>
      </c>
      <c r="C27" s="15">
        <v>-1511.5827300000001</v>
      </c>
      <c r="D27" s="15">
        <f>IF(OR(-1667.78638="",-1511.58273="",-1667.78638=0),"-",-1511.58273/-1667.78638*100)</f>
        <v>90.634073291808519</v>
      </c>
    </row>
    <row r="28" spans="1:4" x14ac:dyDescent="0.3">
      <c r="A28" s="26" t="s">
        <v>44</v>
      </c>
      <c r="B28" s="15">
        <v>-135.17995999999999</v>
      </c>
      <c r="C28" s="15">
        <v>-828.40470000000005</v>
      </c>
      <c r="D28" s="15" t="s">
        <v>349</v>
      </c>
    </row>
    <row r="29" spans="1:4" x14ac:dyDescent="0.3">
      <c r="A29" s="26" t="s">
        <v>52</v>
      </c>
      <c r="B29" s="15">
        <v>-802.90205000000003</v>
      </c>
      <c r="C29" s="15">
        <v>-691.40006000000005</v>
      </c>
      <c r="D29" s="15">
        <f>IF(OR(-802.90205="",-691.40006="",-802.90205=0),"-",-691.40006/-802.90205*100)</f>
        <v>86.112628557867055</v>
      </c>
    </row>
    <row r="30" spans="1:4" x14ac:dyDescent="0.3">
      <c r="A30" s="26" t="s">
        <v>53</v>
      </c>
      <c r="B30" s="15">
        <v>-19.165479999999999</v>
      </c>
      <c r="C30" s="15">
        <v>-4.5403900000000004</v>
      </c>
      <c r="D30" s="15">
        <f>IF(OR(-19.16548="",-4.54039="",-19.16548=0),"-",-4.54039/-19.16548*100)</f>
        <v>23.690458052707267</v>
      </c>
    </row>
    <row r="31" spans="1:4" ht="26.4" x14ac:dyDescent="0.3">
      <c r="A31" s="26" t="s">
        <v>386</v>
      </c>
      <c r="B31" s="15">
        <v>-42.912309999999998</v>
      </c>
      <c r="C31" s="15" t="s">
        <v>318</v>
      </c>
      <c r="D31" s="15" t="s">
        <v>318</v>
      </c>
    </row>
    <row r="32" spans="1:4" x14ac:dyDescent="0.3">
      <c r="A32" s="26" t="s">
        <v>41</v>
      </c>
      <c r="B32" s="15">
        <v>-2669.22109</v>
      </c>
      <c r="C32" s="15">
        <v>2631.1410099999998</v>
      </c>
      <c r="D32" s="15" t="s">
        <v>20</v>
      </c>
    </row>
    <row r="33" spans="1:4" x14ac:dyDescent="0.3">
      <c r="A33" s="26" t="s">
        <v>298</v>
      </c>
      <c r="B33" s="15">
        <v>-8943.9237400000002</v>
      </c>
      <c r="C33" s="15">
        <v>7318.9108800000004</v>
      </c>
      <c r="D33" s="15" t="s">
        <v>20</v>
      </c>
    </row>
    <row r="34" spans="1:4" x14ac:dyDescent="0.3">
      <c r="A34" s="26" t="s">
        <v>45</v>
      </c>
      <c r="B34" s="15">
        <v>8863.3089799999998</v>
      </c>
      <c r="C34" s="15">
        <v>21384.72782</v>
      </c>
      <c r="D34" s="15" t="s">
        <v>343</v>
      </c>
    </row>
    <row r="35" spans="1:4" x14ac:dyDescent="0.3">
      <c r="A35" s="25" t="s">
        <v>197</v>
      </c>
      <c r="B35" s="16">
        <v>-658336.93299999996</v>
      </c>
      <c r="C35" s="16">
        <v>-319754.41960999998</v>
      </c>
      <c r="D35" s="16">
        <f>IF(-658336.933="","-",-319754.41961/-658336.933*100)</f>
        <v>48.570026012804604</v>
      </c>
    </row>
    <row r="36" spans="1:4" x14ac:dyDescent="0.3">
      <c r="A36" s="26" t="s">
        <v>10</v>
      </c>
      <c r="B36" s="15">
        <v>-150605.51306</v>
      </c>
      <c r="C36" s="15">
        <v>-173260.48342999999</v>
      </c>
      <c r="D36" s="15">
        <f>IF(OR(-150605.51306="",-173260.48343="",-150605.51306=0),"-",-173260.48343/-150605.51306*100)</f>
        <v>115.04259034725671</v>
      </c>
    </row>
    <row r="37" spans="1:4" x14ac:dyDescent="0.3">
      <c r="A37" s="26" t="s">
        <v>292</v>
      </c>
      <c r="B37" s="15">
        <v>-472246.66346000001</v>
      </c>
      <c r="C37" s="15">
        <v>-106734.7831</v>
      </c>
      <c r="D37" s="15">
        <f>IF(OR(-472246.66346="",-106734.7831="",-472246.66346=0),"-",-106734.7831/-472246.66346*100)</f>
        <v>22.601490144575813</v>
      </c>
    </row>
    <row r="38" spans="1:4" x14ac:dyDescent="0.3">
      <c r="A38" s="26" t="s">
        <v>11</v>
      </c>
      <c r="B38" s="15">
        <v>-2665.2830600000002</v>
      </c>
      <c r="C38" s="15">
        <v>-26949.75604</v>
      </c>
      <c r="D38" s="15" t="s">
        <v>387</v>
      </c>
    </row>
    <row r="39" spans="1:4" x14ac:dyDescent="0.3">
      <c r="A39" s="26" t="s">
        <v>12</v>
      </c>
      <c r="B39" s="15">
        <v>-5977.6947</v>
      </c>
      <c r="C39" s="15">
        <v>-11289.48056</v>
      </c>
      <c r="D39" s="15" t="s">
        <v>101</v>
      </c>
    </row>
    <row r="40" spans="1:4" x14ac:dyDescent="0.3">
      <c r="A40" s="26" t="s">
        <v>14</v>
      </c>
      <c r="B40" s="15">
        <v>-3865.31097</v>
      </c>
      <c r="C40" s="15">
        <v>-7348.3681200000001</v>
      </c>
      <c r="D40" s="15" t="s">
        <v>101</v>
      </c>
    </row>
    <row r="41" spans="1:4" x14ac:dyDescent="0.3">
      <c r="A41" s="26" t="s">
        <v>13</v>
      </c>
      <c r="B41" s="15">
        <v>-4097.7242900000001</v>
      </c>
      <c r="C41" s="15">
        <v>-479.51792999999998</v>
      </c>
      <c r="D41" s="15">
        <f>IF(OR(-4097.72429="",-479.51793="",-4097.72429=0),"-",-479.51793/-4097.72429*100)</f>
        <v>11.702054507918099</v>
      </c>
    </row>
    <row r="42" spans="1:4" x14ac:dyDescent="0.3">
      <c r="A42" s="26" t="s">
        <v>15</v>
      </c>
      <c r="B42" s="15">
        <v>-159.87018</v>
      </c>
      <c r="C42" s="15">
        <v>-38.458840000000002</v>
      </c>
      <c r="D42" s="15">
        <f>IF(OR(-159.87018="",-38.45884="",-159.87018=0),"-",-38.45884/-159.87018*100)</f>
        <v>24.056293675280781</v>
      </c>
    </row>
    <row r="43" spans="1:4" x14ac:dyDescent="0.3">
      <c r="A43" s="26" t="s">
        <v>16</v>
      </c>
      <c r="B43" s="15">
        <v>18.319430000000001</v>
      </c>
      <c r="C43" s="15">
        <v>75.933269999999993</v>
      </c>
      <c r="D43" s="15" t="s">
        <v>388</v>
      </c>
    </row>
    <row r="44" spans="1:4" x14ac:dyDescent="0.3">
      <c r="A44" s="26" t="s">
        <v>299</v>
      </c>
      <c r="B44" s="15">
        <v>-2234.8794499999999</v>
      </c>
      <c r="C44" s="15">
        <v>2051.9433899999999</v>
      </c>
      <c r="D44" s="15" t="s">
        <v>20</v>
      </c>
    </row>
    <row r="45" spans="1:4" x14ac:dyDescent="0.3">
      <c r="A45" s="26" t="s">
        <v>9</v>
      </c>
      <c r="B45" s="15">
        <v>-16502.313259999999</v>
      </c>
      <c r="C45" s="15">
        <v>4218.5517499999996</v>
      </c>
      <c r="D45" s="15" t="s">
        <v>318</v>
      </c>
    </row>
    <row r="46" spans="1:4" x14ac:dyDescent="0.3">
      <c r="A46" s="25" t="s">
        <v>132</v>
      </c>
      <c r="B46" s="16">
        <v>-421701.57176999998</v>
      </c>
      <c r="C46" s="16">
        <v>-705762.63046000001</v>
      </c>
      <c r="D46" s="16" t="s">
        <v>99</v>
      </c>
    </row>
    <row r="47" spans="1:4" x14ac:dyDescent="0.3">
      <c r="A47" s="26" t="s">
        <v>57</v>
      </c>
      <c r="B47" s="15">
        <v>-248269.32772</v>
      </c>
      <c r="C47" s="15">
        <v>-292355.14902999997</v>
      </c>
      <c r="D47" s="15">
        <f>IF(OR(-248269.32772="",-292355.14903="",-248269.32772=0),"-",-292355.14903/-248269.32772*100)</f>
        <v>117.75725649030649</v>
      </c>
    </row>
    <row r="48" spans="1:4" x14ac:dyDescent="0.3">
      <c r="A48" s="26" t="s">
        <v>54</v>
      </c>
      <c r="B48" s="23">
        <v>-43678.121650000001</v>
      </c>
      <c r="C48" s="15">
        <v>-192539.95051</v>
      </c>
      <c r="D48" s="15" t="s">
        <v>389</v>
      </c>
    </row>
    <row r="49" spans="1:4" x14ac:dyDescent="0.3">
      <c r="A49" s="26" t="s">
        <v>67</v>
      </c>
      <c r="B49" s="15">
        <v>-49164.659699999997</v>
      </c>
      <c r="C49" s="15">
        <v>-63708.123079999998</v>
      </c>
      <c r="D49" s="15">
        <f>IF(OR(-49164.6597="",-63708.12308="",-49164.6597=0),"-",-63708.12308/-49164.6597*100)</f>
        <v>129.58113301046606</v>
      </c>
    </row>
    <row r="50" spans="1:4" x14ac:dyDescent="0.3">
      <c r="A50" s="26" t="s">
        <v>73</v>
      </c>
      <c r="B50" s="15">
        <v>-14742.303610000001</v>
      </c>
      <c r="C50" s="15">
        <v>-27218.810700000002</v>
      </c>
      <c r="D50" s="15" t="s">
        <v>196</v>
      </c>
    </row>
    <row r="51" spans="1:4" x14ac:dyDescent="0.3">
      <c r="A51" s="26" t="s">
        <v>17</v>
      </c>
      <c r="B51" s="15">
        <v>-38102.283530000001</v>
      </c>
      <c r="C51" s="15">
        <v>-23374.57475</v>
      </c>
      <c r="D51" s="15">
        <f>IF(OR(-38102.28353="",-23374.57475="",-38102.28353=0),"-",-23374.57475/-38102.28353*100)</f>
        <v>61.346913057313024</v>
      </c>
    </row>
    <row r="52" spans="1:4" x14ac:dyDescent="0.3">
      <c r="A52" s="26" t="s">
        <v>69</v>
      </c>
      <c r="B52" s="23">
        <v>-11717.669159999999</v>
      </c>
      <c r="C52" s="15">
        <v>-15942.84175</v>
      </c>
      <c r="D52" s="15">
        <f>IF(OR(-11717.66916="",-15942.84175="",-11717.66916=0),"-",-15942.84175/-11717.66916*100)</f>
        <v>136.05813180340724</v>
      </c>
    </row>
    <row r="53" spans="1:4" x14ac:dyDescent="0.3">
      <c r="A53" s="26" t="s">
        <v>60</v>
      </c>
      <c r="B53" s="15">
        <v>-5031.7855499999996</v>
      </c>
      <c r="C53" s="15">
        <v>-15574.61054</v>
      </c>
      <c r="D53" s="15" t="s">
        <v>303</v>
      </c>
    </row>
    <row r="54" spans="1:4" x14ac:dyDescent="0.3">
      <c r="A54" s="26" t="s">
        <v>34</v>
      </c>
      <c r="B54" s="15">
        <v>-18493.269619999999</v>
      </c>
      <c r="C54" s="15">
        <v>-15202.02716</v>
      </c>
      <c r="D54" s="15">
        <f>IF(OR(-18493.26962="",-15202.02716="",-18493.26962=0),"-",-15202.02716/-18493.26962*100)</f>
        <v>82.203025599969592</v>
      </c>
    </row>
    <row r="55" spans="1:4" x14ac:dyDescent="0.3">
      <c r="A55" s="26" t="s">
        <v>76</v>
      </c>
      <c r="B55" s="15">
        <v>-8223.2356199999995</v>
      </c>
      <c r="C55" s="15">
        <v>-12031.006090000001</v>
      </c>
      <c r="D55" s="15">
        <f>IF(OR(-8223.23562="",-12031.00609="",-8223.23562=0),"-",-12031.00609/-8223.23562*100)</f>
        <v>146.3050147893002</v>
      </c>
    </row>
    <row r="56" spans="1:4" x14ac:dyDescent="0.3">
      <c r="A56" s="26" t="s">
        <v>294</v>
      </c>
      <c r="B56" s="15">
        <v>5036.5141400000002</v>
      </c>
      <c r="C56" s="15">
        <v>-10793.78888</v>
      </c>
      <c r="D56" s="15" t="s">
        <v>20</v>
      </c>
    </row>
    <row r="57" spans="1:4" x14ac:dyDescent="0.3">
      <c r="A57" s="26" t="s">
        <v>64</v>
      </c>
      <c r="B57" s="15">
        <v>-8508.7230400000008</v>
      </c>
      <c r="C57" s="15">
        <v>-7944.5495199999996</v>
      </c>
      <c r="D57" s="15">
        <f>IF(OR(-8508.72304="",-7944.54952="",-8508.72304=0),"-",-7944.54952/-8508.72304*100)</f>
        <v>93.369468986735271</v>
      </c>
    </row>
    <row r="58" spans="1:4" x14ac:dyDescent="0.3">
      <c r="A58" s="26" t="s">
        <v>300</v>
      </c>
      <c r="B58" s="15">
        <v>-6019.0943799999995</v>
      </c>
      <c r="C58" s="15">
        <v>-7177.6149699999996</v>
      </c>
      <c r="D58" s="15">
        <f>IF(OR(-6019.09438="",-7177.61497="",-6019.09438=0),"-",-7177.61497/-6019.09438*100)</f>
        <v>119.2474235634099</v>
      </c>
    </row>
    <row r="59" spans="1:4" x14ac:dyDescent="0.3">
      <c r="A59" s="26" t="s">
        <v>68</v>
      </c>
      <c r="B59" s="15">
        <v>-3397.0807500000001</v>
      </c>
      <c r="C59" s="15">
        <v>-5338.6481999999996</v>
      </c>
      <c r="D59" s="15">
        <f>IF(OR(-3397.08075="",-5338.6482="",-3397.08075=0),"-",-5338.6482/-3397.08075*100)</f>
        <v>157.15399759043112</v>
      </c>
    </row>
    <row r="60" spans="1:4" x14ac:dyDescent="0.3">
      <c r="A60" s="26" t="s">
        <v>79</v>
      </c>
      <c r="B60" s="15">
        <v>-3989.0616599999998</v>
      </c>
      <c r="C60" s="15">
        <v>-4502.6067000000003</v>
      </c>
      <c r="D60" s="15">
        <f>IF(OR(-3989.06166="",-4502.6067="",-3989.06166=0),"-",-4502.6067/-3989.06166*100)</f>
        <v>112.87383058400758</v>
      </c>
    </row>
    <row r="61" spans="1:4" x14ac:dyDescent="0.3">
      <c r="A61" s="26" t="s">
        <v>80</v>
      </c>
      <c r="B61" s="15">
        <v>-2837.2566700000002</v>
      </c>
      <c r="C61" s="15">
        <v>-4177.2920000000004</v>
      </c>
      <c r="D61" s="15">
        <f>IF(OR(-2837.25667="",-4177.292="",-2837.25667=0),"-",-4177.292/-2837.25667*100)</f>
        <v>147.22996492241924</v>
      </c>
    </row>
    <row r="62" spans="1:4" x14ac:dyDescent="0.3">
      <c r="A62" s="26" t="s">
        <v>81</v>
      </c>
      <c r="B62" s="15">
        <v>-1346.25875</v>
      </c>
      <c r="C62" s="15">
        <v>-4054.3849500000001</v>
      </c>
      <c r="D62" s="15" t="s">
        <v>311</v>
      </c>
    </row>
    <row r="63" spans="1:4" x14ac:dyDescent="0.3">
      <c r="A63" s="26" t="s">
        <v>71</v>
      </c>
      <c r="B63" s="15">
        <v>-6787.7518899999995</v>
      </c>
      <c r="C63" s="15">
        <v>-4047.79574</v>
      </c>
      <c r="D63" s="15">
        <f>IF(OR(-6787.75189="",-4047.79574="",-6787.75189=0),"-",-4047.79574/-6787.75189*100)</f>
        <v>59.633819939166933</v>
      </c>
    </row>
    <row r="64" spans="1:4" x14ac:dyDescent="0.3">
      <c r="A64" s="26" t="s">
        <v>75</v>
      </c>
      <c r="B64" s="15">
        <v>-4322.8438800000004</v>
      </c>
      <c r="C64" s="15">
        <v>-3678.7780899999998</v>
      </c>
      <c r="D64" s="15">
        <f>IF(OR(-4322.84388="",-3678.77809="",-4322.84388=0),"-",-3678.77809/-4322.84388*100)</f>
        <v>85.100877850809624</v>
      </c>
    </row>
    <row r="65" spans="1:4" x14ac:dyDescent="0.3">
      <c r="A65" s="26" t="s">
        <v>63</v>
      </c>
      <c r="B65" s="15">
        <v>-2663.05249</v>
      </c>
      <c r="C65" s="15">
        <v>-3345.71146</v>
      </c>
      <c r="D65" s="15">
        <f>IF(OR(-2663.05249="",-3345.71146="",-2663.05249=0),"-",-3345.71146/-2663.05249*100)</f>
        <v>125.63445416729282</v>
      </c>
    </row>
    <row r="66" spans="1:4" x14ac:dyDescent="0.3">
      <c r="A66" s="26" t="s">
        <v>61</v>
      </c>
      <c r="B66" s="15">
        <v>2222.6393200000002</v>
      </c>
      <c r="C66" s="15">
        <v>-3115.2367100000001</v>
      </c>
      <c r="D66" s="15" t="s">
        <v>20</v>
      </c>
    </row>
    <row r="67" spans="1:4" x14ac:dyDescent="0.3">
      <c r="A67" s="26" t="s">
        <v>59</v>
      </c>
      <c r="B67" s="15">
        <v>-3445.1467499999999</v>
      </c>
      <c r="C67" s="15">
        <v>-3055.9379300000001</v>
      </c>
      <c r="D67" s="15">
        <f>IF(OR(-3445.14675="",-3055.93793="",-3445.14675=0),"-",-3055.93793/-3445.14675*100)</f>
        <v>88.702692563096193</v>
      </c>
    </row>
    <row r="68" spans="1:4" x14ac:dyDescent="0.3">
      <c r="A68" s="26" t="s">
        <v>37</v>
      </c>
      <c r="B68" s="15">
        <v>-130.42264</v>
      </c>
      <c r="C68" s="15">
        <v>-2423.6502399999999</v>
      </c>
      <c r="D68" s="15" t="s">
        <v>390</v>
      </c>
    </row>
    <row r="69" spans="1:4" x14ac:dyDescent="0.3">
      <c r="A69" s="26" t="s">
        <v>78</v>
      </c>
      <c r="B69" s="15">
        <v>83.593239999999994</v>
      </c>
      <c r="C69" s="15">
        <v>-2134.64867</v>
      </c>
      <c r="D69" s="15" t="s">
        <v>20</v>
      </c>
    </row>
    <row r="70" spans="1:4" x14ac:dyDescent="0.3">
      <c r="A70" s="26" t="s">
        <v>87</v>
      </c>
      <c r="B70" s="23">
        <v>207.43617</v>
      </c>
      <c r="C70" s="15">
        <v>-2097.3663799999999</v>
      </c>
      <c r="D70" s="15" t="s">
        <v>20</v>
      </c>
    </row>
    <row r="71" spans="1:4" x14ac:dyDescent="0.3">
      <c r="A71" s="26" t="s">
        <v>77</v>
      </c>
      <c r="B71" s="15">
        <v>-1681.13463</v>
      </c>
      <c r="C71" s="15">
        <v>-1931.4328800000001</v>
      </c>
      <c r="D71" s="15">
        <f>IF(OR(-1681.13463="",-1931.43288="",-1681.13463=0),"-",-1931.43288/-1681.13463*100)</f>
        <v>114.88864993519287</v>
      </c>
    </row>
    <row r="72" spans="1:4" x14ac:dyDescent="0.3">
      <c r="A72" s="26" t="s">
        <v>121</v>
      </c>
      <c r="B72" s="15">
        <v>-899.07209999999998</v>
      </c>
      <c r="C72" s="15">
        <v>-1839.8751199999999</v>
      </c>
      <c r="D72" s="15" t="s">
        <v>18</v>
      </c>
    </row>
    <row r="73" spans="1:4" x14ac:dyDescent="0.3">
      <c r="A73" s="26" t="s">
        <v>70</v>
      </c>
      <c r="B73" s="15">
        <v>-2432.9535799999999</v>
      </c>
      <c r="C73" s="15">
        <v>-1523.60906</v>
      </c>
      <c r="D73" s="15">
        <f>IF(OR(-2432.95358="",-1523.60906="",-2432.95358=0),"-",-1523.60906/-2432.95358*100)</f>
        <v>62.623844224763225</v>
      </c>
    </row>
    <row r="74" spans="1:4" x14ac:dyDescent="0.3">
      <c r="A74" s="26" t="s">
        <v>85</v>
      </c>
      <c r="B74" s="15">
        <v>-1352.4145699999999</v>
      </c>
      <c r="C74" s="15">
        <v>-1484.7079000000001</v>
      </c>
      <c r="D74" s="15">
        <f>IF(OR(-1352.41457="",-1484.7079="",-1352.41457=0),"-",-1484.7079/-1352.41457*100)</f>
        <v>109.7820101124761</v>
      </c>
    </row>
    <row r="75" spans="1:4" x14ac:dyDescent="0.3">
      <c r="A75" s="26" t="s">
        <v>65</v>
      </c>
      <c r="B75" s="15">
        <v>1486.40562</v>
      </c>
      <c r="C75" s="15">
        <v>-1447.6639700000001</v>
      </c>
      <c r="D75" s="15" t="s">
        <v>20</v>
      </c>
    </row>
    <row r="76" spans="1:4" x14ac:dyDescent="0.3">
      <c r="A76" s="26" t="s">
        <v>86</v>
      </c>
      <c r="B76" s="15">
        <v>-1042.49298</v>
      </c>
      <c r="C76" s="15">
        <v>-1335.0454400000001</v>
      </c>
      <c r="D76" s="15">
        <f>IF(OR(-1042.49298="",-1335.04544="",-1042.49298=0),"-",-1335.04544/-1042.49298*100)</f>
        <v>128.06277506060522</v>
      </c>
    </row>
    <row r="77" spans="1:4" x14ac:dyDescent="0.3">
      <c r="A77" s="26" t="s">
        <v>93</v>
      </c>
      <c r="B77" s="15">
        <v>-649.80987000000005</v>
      </c>
      <c r="C77" s="15">
        <v>-1236.44706</v>
      </c>
      <c r="D77" s="15" t="s">
        <v>101</v>
      </c>
    </row>
    <row r="78" spans="1:4" x14ac:dyDescent="0.3">
      <c r="A78" s="26" t="s">
        <v>82</v>
      </c>
      <c r="B78" s="15">
        <v>-1358.6368500000001</v>
      </c>
      <c r="C78" s="15">
        <v>-817.86653000000001</v>
      </c>
      <c r="D78" s="15">
        <f>IF(OR(-1358.63685="",-817.86653="",-1358.63685=0),"-",-817.86653/-1358.63685*100)</f>
        <v>60.197581863026898</v>
      </c>
    </row>
    <row r="79" spans="1:4" x14ac:dyDescent="0.3">
      <c r="A79" s="26" t="s">
        <v>84</v>
      </c>
      <c r="B79" s="15">
        <v>-844.04494999999997</v>
      </c>
      <c r="C79" s="15">
        <v>-798.37337000000002</v>
      </c>
      <c r="D79" s="15">
        <f>IF(OR(-844.04495="",-798.37337="",-844.04495=0),"-",-798.37337/-844.04495*100)</f>
        <v>94.58896353802011</v>
      </c>
    </row>
    <row r="80" spans="1:4" x14ac:dyDescent="0.3">
      <c r="A80" s="26" t="s">
        <v>301</v>
      </c>
      <c r="B80" s="15">
        <v>-518.23631999999998</v>
      </c>
      <c r="C80" s="15">
        <v>-783.71112000000005</v>
      </c>
      <c r="D80" s="15">
        <f>IF(OR(-518.23632="",-783.71112="",-518.23632=0),"-",-783.71112/-518.23632*100)</f>
        <v>151.22659098845099</v>
      </c>
    </row>
    <row r="81" spans="1:4" x14ac:dyDescent="0.3">
      <c r="A81" s="26" t="s">
        <v>36</v>
      </c>
      <c r="B81" s="23">
        <v>-100.57514999999999</v>
      </c>
      <c r="C81" s="15">
        <v>-748.30332999999996</v>
      </c>
      <c r="D81" s="15" t="s">
        <v>346</v>
      </c>
    </row>
    <row r="82" spans="1:4" x14ac:dyDescent="0.3">
      <c r="A82" s="26" t="s">
        <v>136</v>
      </c>
      <c r="B82" s="15">
        <v>-541.97893999999997</v>
      </c>
      <c r="C82" s="15">
        <v>-690.67193999999995</v>
      </c>
      <c r="D82" s="15">
        <f>IF(OR(-541.97894="",-690.67194="",-541.97894=0),"-",-690.67194/-541.97894*100)</f>
        <v>127.43519886584522</v>
      </c>
    </row>
    <row r="83" spans="1:4" x14ac:dyDescent="0.3">
      <c r="A83" s="26" t="s">
        <v>98</v>
      </c>
      <c r="B83" s="15">
        <v>-41.94952</v>
      </c>
      <c r="C83" s="15">
        <v>-655.16093999999998</v>
      </c>
      <c r="D83" s="15" t="s">
        <v>391</v>
      </c>
    </row>
    <row r="84" spans="1:4" x14ac:dyDescent="0.3">
      <c r="A84" s="26" t="s">
        <v>62</v>
      </c>
      <c r="B84" s="15">
        <v>-377.64404000000002</v>
      </c>
      <c r="C84" s="15">
        <v>-610.46014000000002</v>
      </c>
      <c r="D84" s="15" t="s">
        <v>100</v>
      </c>
    </row>
    <row r="85" spans="1:4" x14ac:dyDescent="0.3">
      <c r="A85" s="26" t="s">
        <v>202</v>
      </c>
      <c r="B85" s="15">
        <v>-217.23706000000001</v>
      </c>
      <c r="C85" s="15">
        <v>-514.20875000000001</v>
      </c>
      <c r="D85" s="15" t="s">
        <v>343</v>
      </c>
    </row>
    <row r="86" spans="1:4" x14ac:dyDescent="0.3">
      <c r="A86" s="26" t="s">
        <v>88</v>
      </c>
      <c r="B86" s="15">
        <v>-538.77431000000001</v>
      </c>
      <c r="C86" s="15">
        <v>-464.53604000000001</v>
      </c>
      <c r="D86" s="15">
        <f>IF(OR(-538.77431="",-464.53604="",-538.77431=0),"-",-464.53604/-538.77431*100)</f>
        <v>86.220896464050043</v>
      </c>
    </row>
    <row r="87" spans="1:4" x14ac:dyDescent="0.3">
      <c r="A87" s="26" t="s">
        <v>56</v>
      </c>
      <c r="B87" s="15">
        <v>3195.7185199999999</v>
      </c>
      <c r="C87" s="15">
        <v>-405.72973000000002</v>
      </c>
      <c r="D87" s="15" t="s">
        <v>20</v>
      </c>
    </row>
    <row r="88" spans="1:4" x14ac:dyDescent="0.3">
      <c r="A88" s="26" t="s">
        <v>295</v>
      </c>
      <c r="B88" s="15">
        <v>-350.29163</v>
      </c>
      <c r="C88" s="15">
        <v>-405.00477999999998</v>
      </c>
      <c r="D88" s="15">
        <f>IF(OR(-350.29163="",-405.00478="",-350.29163=0),"-",-405.00478/-350.29163*100)</f>
        <v>115.61931411264379</v>
      </c>
    </row>
    <row r="89" spans="1:4" x14ac:dyDescent="0.3">
      <c r="A89" s="26" t="s">
        <v>90</v>
      </c>
      <c r="B89" s="15">
        <v>-443.89683000000002</v>
      </c>
      <c r="C89" s="15">
        <v>-361.56903999999997</v>
      </c>
      <c r="D89" s="15">
        <f>IF(OR(-443.89683="",-361.56904="",-443.89683=0),"-",-361.56904/-443.89683*100)</f>
        <v>81.453395375677715</v>
      </c>
    </row>
    <row r="90" spans="1:4" x14ac:dyDescent="0.3">
      <c r="A90" s="26" t="s">
        <v>297</v>
      </c>
      <c r="B90" s="15">
        <v>-487.27634999999998</v>
      </c>
      <c r="C90" s="15">
        <v>-327.80883</v>
      </c>
      <c r="D90" s="15">
        <f>IF(OR(-487.27635="",-327.80883="",-487.27635=0),"-",-327.80883/-487.27635*100)</f>
        <v>67.27370002668917</v>
      </c>
    </row>
    <row r="91" spans="1:4" x14ac:dyDescent="0.3">
      <c r="A91" s="26" t="s">
        <v>117</v>
      </c>
      <c r="B91" s="15">
        <v>-152.12813</v>
      </c>
      <c r="C91" s="15">
        <v>-280.90170000000001</v>
      </c>
      <c r="D91" s="15" t="s">
        <v>196</v>
      </c>
    </row>
    <row r="92" spans="1:4" x14ac:dyDescent="0.3">
      <c r="A92" s="26" t="s">
        <v>94</v>
      </c>
      <c r="B92" s="15">
        <v>-156.35202000000001</v>
      </c>
      <c r="C92" s="15">
        <v>-265.55585000000002</v>
      </c>
      <c r="D92" s="15" t="s">
        <v>99</v>
      </c>
    </row>
    <row r="93" spans="1:4" x14ac:dyDescent="0.3">
      <c r="A93" s="26" t="s">
        <v>314</v>
      </c>
      <c r="B93" s="15">
        <v>-16.619219999999999</v>
      </c>
      <c r="C93" s="15">
        <v>-231.18319</v>
      </c>
      <c r="D93" s="15" t="s">
        <v>392</v>
      </c>
    </row>
    <row r="94" spans="1:4" x14ac:dyDescent="0.3">
      <c r="A94" s="26" t="s">
        <v>337</v>
      </c>
      <c r="B94" s="15">
        <v>-271.76992999999999</v>
      </c>
      <c r="C94" s="15">
        <v>-222.32549</v>
      </c>
      <c r="D94" s="15">
        <f>IF(OR(-271.76993="",-222.32549="",-271.76993=0),"-",-222.32549/-271.76993*100)</f>
        <v>81.80650817402794</v>
      </c>
    </row>
    <row r="95" spans="1:4" x14ac:dyDescent="0.3">
      <c r="A95" s="26" t="s">
        <v>89</v>
      </c>
      <c r="B95" s="15">
        <v>-251.60025999999999</v>
      </c>
      <c r="C95" s="15">
        <v>-215.82759999999999</v>
      </c>
      <c r="D95" s="15">
        <f>IF(OR(-251.60026="",-215.8276="",-251.60026=0),"-",-215.8276/-251.60026*100)</f>
        <v>85.781946330262144</v>
      </c>
    </row>
    <row r="96" spans="1:4" x14ac:dyDescent="0.3">
      <c r="A96" s="26" t="s">
        <v>125</v>
      </c>
      <c r="B96" s="15">
        <v>35.750720000000001</v>
      </c>
      <c r="C96" s="15">
        <v>-168.97962999999999</v>
      </c>
      <c r="D96" s="15" t="s">
        <v>20</v>
      </c>
    </row>
    <row r="97" spans="1:4" x14ac:dyDescent="0.3">
      <c r="A97" s="26" t="s">
        <v>115</v>
      </c>
      <c r="B97" s="15">
        <v>2258.9729200000002</v>
      </c>
      <c r="C97" s="15">
        <v>-166.51013</v>
      </c>
      <c r="D97" s="15" t="s">
        <v>20</v>
      </c>
    </row>
    <row r="98" spans="1:4" x14ac:dyDescent="0.3">
      <c r="A98" s="67" t="s">
        <v>124</v>
      </c>
      <c r="B98" s="23">
        <v>-184.39940000000001</v>
      </c>
      <c r="C98" s="23">
        <v>-149.98193000000001</v>
      </c>
      <c r="D98" s="15">
        <f>IF(OR(-184.3994="",-149.98193="",-184.3994=0),"-",-149.98193/-184.3994*100)</f>
        <v>81.335367685578149</v>
      </c>
    </row>
    <row r="99" spans="1:4" x14ac:dyDescent="0.3">
      <c r="A99" s="26" t="s">
        <v>97</v>
      </c>
      <c r="B99" s="15">
        <v>-54.914499999999997</v>
      </c>
      <c r="C99" s="15">
        <v>-142.46440000000001</v>
      </c>
      <c r="D99" s="15" t="s">
        <v>308</v>
      </c>
    </row>
    <row r="100" spans="1:4" x14ac:dyDescent="0.3">
      <c r="A100" s="26" t="s">
        <v>286</v>
      </c>
      <c r="B100" s="15">
        <v>-76.047340000000005</v>
      </c>
      <c r="C100" s="15">
        <v>-119.01365</v>
      </c>
      <c r="D100" s="15">
        <f>IF(OR(-76.04734="",-119.01365="",-76.04734=0),"-",-119.01365/-76.04734*100)</f>
        <v>156.49942522644446</v>
      </c>
    </row>
    <row r="101" spans="1:4" x14ac:dyDescent="0.3">
      <c r="A101" s="26" t="s">
        <v>74</v>
      </c>
      <c r="B101" s="15">
        <v>718.36644000000001</v>
      </c>
      <c r="C101" s="15">
        <v>-83.280410000000003</v>
      </c>
      <c r="D101" s="15" t="s">
        <v>20</v>
      </c>
    </row>
    <row r="102" spans="1:4" x14ac:dyDescent="0.3">
      <c r="A102" s="26" t="s">
        <v>338</v>
      </c>
      <c r="B102" s="15">
        <v>-1.6460300000000001</v>
      </c>
      <c r="C102" s="15">
        <v>-74.937920000000005</v>
      </c>
      <c r="D102" s="15" t="s">
        <v>383</v>
      </c>
    </row>
    <row r="103" spans="1:4" x14ac:dyDescent="0.3">
      <c r="A103" s="26" t="s">
        <v>334</v>
      </c>
      <c r="B103" s="15">
        <v>-0.37434000000000001</v>
      </c>
      <c r="C103" s="15">
        <v>-66.878699999999995</v>
      </c>
      <c r="D103" s="15" t="s">
        <v>393</v>
      </c>
    </row>
    <row r="104" spans="1:4" x14ac:dyDescent="0.3">
      <c r="A104" s="26" t="s">
        <v>340</v>
      </c>
      <c r="B104" s="15">
        <v>-58.202599999999997</v>
      </c>
      <c r="C104" s="15">
        <v>-58.388379999999998</v>
      </c>
      <c r="D104" s="15">
        <f>IF(OR(-58.2026="",-58.38838="",-58.2026=0),"-",-58.38838/-58.2026*100)</f>
        <v>100.3191953624065</v>
      </c>
    </row>
    <row r="105" spans="1:4" x14ac:dyDescent="0.3">
      <c r="A105" s="26" t="s">
        <v>376</v>
      </c>
      <c r="B105" s="15">
        <v>0</v>
      </c>
      <c r="C105" s="15">
        <v>-55.731630000000003</v>
      </c>
      <c r="D105" s="15" t="str">
        <f>IF(OR(0="",-55.73163="",0=0),"-",-55.73163/0*100)</f>
        <v>-</v>
      </c>
    </row>
    <row r="106" spans="1:4" x14ac:dyDescent="0.3">
      <c r="A106" s="26" t="s">
        <v>339</v>
      </c>
      <c r="B106" s="15">
        <v>-2.44997</v>
      </c>
      <c r="C106" s="15">
        <v>-53.711770000000001</v>
      </c>
      <c r="D106" s="15" t="s">
        <v>385</v>
      </c>
    </row>
    <row r="107" spans="1:4" x14ac:dyDescent="0.3">
      <c r="A107" s="26" t="s">
        <v>377</v>
      </c>
      <c r="B107" s="23">
        <v>-45.893470000000001</v>
      </c>
      <c r="C107" s="15">
        <v>-50.203789999999998</v>
      </c>
      <c r="D107" s="15">
        <f>IF(OR(-45.89347="",-50.20379="",-45.89347=0),"-",-50.20379/-45.89347*100)</f>
        <v>109.3920115432544</v>
      </c>
    </row>
    <row r="108" spans="1:4" x14ac:dyDescent="0.3">
      <c r="A108" s="26" t="s">
        <v>341</v>
      </c>
      <c r="B108" s="15">
        <v>48.742350000000002</v>
      </c>
      <c r="C108" s="15">
        <v>47.35</v>
      </c>
      <c r="D108" s="15">
        <f>IF(OR(48.74235="",47.35="",48.74235=0),"-",47.35/48.74235*100)</f>
        <v>97.143449177152931</v>
      </c>
    </row>
    <row r="109" spans="1:4" x14ac:dyDescent="0.3">
      <c r="A109" s="26" t="s">
        <v>130</v>
      </c>
      <c r="B109" s="15">
        <v>118.00157</v>
      </c>
      <c r="C109" s="15">
        <v>62.479010000000002</v>
      </c>
      <c r="D109" s="15">
        <f>IF(OR(118.00157="",62.47901="",118.00157=0),"-",62.47901/118.00157*100)</f>
        <v>52.947609086896051</v>
      </c>
    </row>
    <row r="110" spans="1:4" x14ac:dyDescent="0.3">
      <c r="A110" s="26" t="s">
        <v>335</v>
      </c>
      <c r="B110" s="15">
        <v>107.54342</v>
      </c>
      <c r="C110" s="15">
        <v>66.359020000000001</v>
      </c>
      <c r="D110" s="15">
        <f>IF(OR(107.54342="",66.35902="",107.54342=0),"-",66.35902/107.54342*100)</f>
        <v>61.70439809334686</v>
      </c>
    </row>
    <row r="111" spans="1:4" x14ac:dyDescent="0.3">
      <c r="A111" s="26" t="s">
        <v>336</v>
      </c>
      <c r="B111" s="15">
        <v>0</v>
      </c>
      <c r="C111" s="15">
        <v>70.084810000000004</v>
      </c>
      <c r="D111" s="15" t="str">
        <f>IF(OR(0="",70.08481="",0=0),"-",70.08481/0*100)</f>
        <v>-</v>
      </c>
    </row>
    <row r="112" spans="1:4" x14ac:dyDescent="0.3">
      <c r="A112" s="26" t="s">
        <v>302</v>
      </c>
      <c r="B112" s="15">
        <v>134.62724</v>
      </c>
      <c r="C112" s="15">
        <v>71.528599999999997</v>
      </c>
      <c r="D112" s="15">
        <f>IF(OR(134.62724="",71.5286="",134.62724=0),"-",71.5286/134.62724*100)</f>
        <v>53.130852270313198</v>
      </c>
    </row>
    <row r="113" spans="1:4" x14ac:dyDescent="0.3">
      <c r="A113" s="26" t="s">
        <v>315</v>
      </c>
      <c r="B113" s="15">
        <v>44.686039999999998</v>
      </c>
      <c r="C113" s="15">
        <v>74.889539999999997</v>
      </c>
      <c r="D113" s="15" t="s">
        <v>99</v>
      </c>
    </row>
    <row r="114" spans="1:4" x14ac:dyDescent="0.3">
      <c r="A114" s="26" t="s">
        <v>103</v>
      </c>
      <c r="B114" s="15">
        <v>114.82170000000001</v>
      </c>
      <c r="C114" s="15">
        <v>162.04123999999999</v>
      </c>
      <c r="D114" s="15">
        <f>IF(OR(114.8217="",162.04124="",114.8217=0),"-",162.04124/114.8217*100)</f>
        <v>141.12423000182019</v>
      </c>
    </row>
    <row r="115" spans="1:4" x14ac:dyDescent="0.3">
      <c r="A115" s="26" t="s">
        <v>367</v>
      </c>
      <c r="B115" s="15">
        <v>39.533410000000003</v>
      </c>
      <c r="C115" s="15">
        <v>164.60524000000001</v>
      </c>
      <c r="D115" s="15" t="s">
        <v>323</v>
      </c>
    </row>
    <row r="116" spans="1:4" x14ac:dyDescent="0.3">
      <c r="A116" s="26" t="s">
        <v>118</v>
      </c>
      <c r="B116" s="15">
        <v>146.90987000000001</v>
      </c>
      <c r="C116" s="15">
        <v>169.94685000000001</v>
      </c>
      <c r="D116" s="15">
        <f>IF(OR(146.90987="",169.94685="",146.90987=0),"-",169.94685/146.90987*100)</f>
        <v>115.68102946384747</v>
      </c>
    </row>
    <row r="117" spans="1:4" x14ac:dyDescent="0.3">
      <c r="A117" s="26" t="s">
        <v>320</v>
      </c>
      <c r="B117" s="15" t="s">
        <v>318</v>
      </c>
      <c r="C117" s="15">
        <v>175.10164</v>
      </c>
      <c r="D117" s="15" t="str">
        <f>IF(OR(0="",175.10164="",0=0),"-",175.10164/0*100)</f>
        <v>-</v>
      </c>
    </row>
    <row r="118" spans="1:4" x14ac:dyDescent="0.3">
      <c r="A118" s="26" t="s">
        <v>92</v>
      </c>
      <c r="B118" s="15">
        <v>621.85628999999994</v>
      </c>
      <c r="C118" s="15">
        <v>207.12123</v>
      </c>
      <c r="D118" s="15">
        <f>IF(OR(621.85629="",207.12123="",621.85629=0),"-",207.12123/621.85629*100)</f>
        <v>33.306928518806174</v>
      </c>
    </row>
    <row r="119" spans="1:4" x14ac:dyDescent="0.3">
      <c r="A119" s="26" t="s">
        <v>333</v>
      </c>
      <c r="B119" s="15">
        <v>176.90536</v>
      </c>
      <c r="C119" s="15">
        <v>215.64302000000001</v>
      </c>
      <c r="D119" s="15">
        <f>IF(OR(176.90536="",215.64302="",176.90536=0),"-",215.64302/176.90536*100)</f>
        <v>121.89739191622007</v>
      </c>
    </row>
    <row r="120" spans="1:4" x14ac:dyDescent="0.3">
      <c r="A120" s="26" t="s">
        <v>317</v>
      </c>
      <c r="B120" s="23">
        <v>-1.8919999999999999E-2</v>
      </c>
      <c r="C120" s="15">
        <v>257.17333000000002</v>
      </c>
      <c r="D120" s="15" t="s">
        <v>20</v>
      </c>
    </row>
    <row r="121" spans="1:4" x14ac:dyDescent="0.3">
      <c r="A121" s="26" t="s">
        <v>326</v>
      </c>
      <c r="B121" s="15">
        <v>-16.709330000000001</v>
      </c>
      <c r="C121" s="15">
        <v>259.03831000000002</v>
      </c>
      <c r="D121" s="15" t="s">
        <v>20</v>
      </c>
    </row>
    <row r="122" spans="1:4" x14ac:dyDescent="0.3">
      <c r="A122" s="26" t="s">
        <v>137</v>
      </c>
      <c r="B122" s="15">
        <v>268.04766999999998</v>
      </c>
      <c r="C122" s="15">
        <v>427.66082999999998</v>
      </c>
      <c r="D122" s="15">
        <f>IF(OR(268.04767="",427.66083="",268.04767=0),"-",427.66083/268.04767*100)</f>
        <v>159.54655752090662</v>
      </c>
    </row>
    <row r="123" spans="1:4" x14ac:dyDescent="0.3">
      <c r="A123" s="26" t="s">
        <v>135</v>
      </c>
      <c r="B123" s="15">
        <v>228.09440000000001</v>
      </c>
      <c r="C123" s="15">
        <v>549.90565000000004</v>
      </c>
      <c r="D123" s="15" t="s">
        <v>343</v>
      </c>
    </row>
    <row r="124" spans="1:4" x14ac:dyDescent="0.3">
      <c r="A124" s="26" t="s">
        <v>55</v>
      </c>
      <c r="B124" s="15">
        <v>3623.9843599999999</v>
      </c>
      <c r="C124" s="15">
        <v>1480.6813099999999</v>
      </c>
      <c r="D124" s="15">
        <f>IF(OR(3623.98436="",1480.68131="",3623.98436=0),"-",1480.68131/3623.98436*100)</f>
        <v>40.85782837098116</v>
      </c>
    </row>
    <row r="125" spans="1:4" x14ac:dyDescent="0.3">
      <c r="A125" s="26" t="s">
        <v>293</v>
      </c>
      <c r="B125" s="15">
        <v>30322.47538</v>
      </c>
      <c r="C125" s="15">
        <v>1647.06384</v>
      </c>
      <c r="D125" s="15">
        <f>IF(OR(30322.47538="",1647.06384="",30322.47538=0),"-",1647.06384/30322.47538*100)</f>
        <v>5.4318251374898141</v>
      </c>
    </row>
    <row r="126" spans="1:4" x14ac:dyDescent="0.3">
      <c r="A126" s="26" t="s">
        <v>35</v>
      </c>
      <c r="B126" s="15">
        <v>2926.7502500000001</v>
      </c>
      <c r="C126" s="15">
        <v>2274.91093</v>
      </c>
      <c r="D126" s="15">
        <f>IF(OR(2926.75025="",2274.91093="",2926.75025=0),"-",2274.91093/2926.75025*100)</f>
        <v>77.728221941725295</v>
      </c>
    </row>
    <row r="127" spans="1:4" x14ac:dyDescent="0.3">
      <c r="A127" s="26" t="s">
        <v>325</v>
      </c>
      <c r="B127" s="23">
        <v>-25.827809999999999</v>
      </c>
      <c r="C127" s="15">
        <v>2969.7099499999999</v>
      </c>
      <c r="D127" s="15" t="s">
        <v>20</v>
      </c>
    </row>
    <row r="128" spans="1:4" x14ac:dyDescent="0.3">
      <c r="A128" s="26" t="s">
        <v>66</v>
      </c>
      <c r="B128" s="15">
        <v>2957.84681</v>
      </c>
      <c r="C128" s="15">
        <v>3205.3159999999998</v>
      </c>
      <c r="D128" s="15">
        <f>IF(OR(2957.84681="",3205.316="",2957.84681=0),"-",3205.316/2957.84681*100)</f>
        <v>108.36653166632384</v>
      </c>
    </row>
    <row r="129" spans="1:5" x14ac:dyDescent="0.3">
      <c r="A129" s="26" t="s">
        <v>72</v>
      </c>
      <c r="B129" s="15">
        <v>-1336.81942</v>
      </c>
      <c r="C129" s="15">
        <v>4182.3647300000002</v>
      </c>
      <c r="D129" s="15" t="s">
        <v>20</v>
      </c>
    </row>
    <row r="130" spans="1:5" x14ac:dyDescent="0.3">
      <c r="A130" s="27" t="s">
        <v>58</v>
      </c>
      <c r="B130" s="18">
        <v>12752.13992</v>
      </c>
      <c r="C130" s="18">
        <v>18044.732110000001</v>
      </c>
      <c r="D130" s="18">
        <f>IF(OR(12752.13992="",18044.73211="",12752.13992=0),"-",18044.73211/12752.13992*100)</f>
        <v>141.50356115289551</v>
      </c>
    </row>
    <row r="131" spans="1:5" x14ac:dyDescent="0.3">
      <c r="A131" s="19" t="s">
        <v>278</v>
      </c>
      <c r="B131" s="20"/>
      <c r="C131" s="20"/>
      <c r="D131" s="20"/>
      <c r="E131" s="20"/>
    </row>
  </sheetData>
  <sortState xmlns:xlrd2="http://schemas.microsoft.com/office/spreadsheetml/2017/richdata2" ref="A47:E104">
    <sortCondition ref="C47:C104"/>
  </sortState>
  <mergeCells count="2">
    <mergeCell ref="A1:D1"/>
    <mergeCell ref="A2:D2"/>
  </mergeCells>
  <phoneticPr fontId="6" type="noConversion"/>
  <pageMargins left="0.59055118110236227" right="0.39370078740157483" top="0.39370078740157483" bottom="0.39370078740157483" header="0.11811023622047245" footer="0.11811023622047245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F40"/>
  <sheetViews>
    <sheetView workbookViewId="0">
      <selection sqref="A1:E1"/>
    </sheetView>
  </sheetViews>
  <sheetFormatPr defaultRowHeight="15.6" x14ac:dyDescent="0.3"/>
  <cols>
    <col min="1" max="1" width="28" customWidth="1"/>
    <col min="2" max="2" width="14.19921875" customWidth="1"/>
    <col min="3" max="3" width="14.69921875" customWidth="1"/>
    <col min="4" max="4" width="12.69921875" customWidth="1"/>
    <col min="5" max="5" width="12.59765625" customWidth="1"/>
  </cols>
  <sheetData>
    <row r="1" spans="1:5" ht="16.2" x14ac:dyDescent="0.35">
      <c r="A1" s="73" t="s">
        <v>284</v>
      </c>
      <c r="B1" s="73"/>
      <c r="C1" s="73"/>
      <c r="D1" s="73"/>
      <c r="E1" s="73"/>
    </row>
    <row r="2" spans="1:5" ht="16.2" x14ac:dyDescent="0.35">
      <c r="A2" s="86"/>
      <c r="B2" s="86"/>
      <c r="C2" s="86"/>
      <c r="D2" s="86"/>
      <c r="E2" s="86"/>
    </row>
    <row r="3" spans="1:5" ht="18.75" customHeight="1" x14ac:dyDescent="0.3">
      <c r="A3" s="74"/>
      <c r="B3" s="76" t="s">
        <v>361</v>
      </c>
      <c r="C3" s="77"/>
      <c r="D3" s="78" t="s">
        <v>104</v>
      </c>
      <c r="E3" s="85"/>
    </row>
    <row r="4" spans="1:5" ht="42.75" customHeight="1" x14ac:dyDescent="0.3">
      <c r="A4" s="75"/>
      <c r="B4" s="42" t="s">
        <v>114</v>
      </c>
      <c r="C4" s="41" t="s">
        <v>363</v>
      </c>
      <c r="D4" s="42" t="s">
        <v>354</v>
      </c>
      <c r="E4" s="40" t="s">
        <v>355</v>
      </c>
    </row>
    <row r="5" spans="1:5" ht="15.75" customHeight="1" x14ac:dyDescent="0.3">
      <c r="A5" s="50" t="s">
        <v>126</v>
      </c>
      <c r="B5" s="52">
        <v>1389017.9220700001</v>
      </c>
      <c r="C5" s="51">
        <v>95.204180119738751</v>
      </c>
      <c r="D5" s="52">
        <v>100</v>
      </c>
      <c r="E5" s="52">
        <v>100</v>
      </c>
    </row>
    <row r="6" spans="1:5" ht="15.75" customHeight="1" x14ac:dyDescent="0.3">
      <c r="A6" s="17" t="s">
        <v>119</v>
      </c>
      <c r="B6" s="23"/>
      <c r="C6" s="31"/>
      <c r="D6" s="16"/>
      <c r="E6" s="16"/>
    </row>
    <row r="7" spans="1:5" x14ac:dyDescent="0.3">
      <c r="A7" s="17" t="s">
        <v>105</v>
      </c>
      <c r="B7" s="15">
        <v>208786.85459999999</v>
      </c>
      <c r="C7" s="15">
        <v>92.982474621523409</v>
      </c>
      <c r="D7" s="15">
        <f>IF(224544.30843="","-",224544.30843/1458988.37669*100)</f>
        <v>15.390411055873015</v>
      </c>
      <c r="E7" s="15">
        <f>IF(208786.8546="","-",208786.8546/1389017.92207*100)</f>
        <v>15.031257068940693</v>
      </c>
    </row>
    <row r="8" spans="1:5" x14ac:dyDescent="0.3">
      <c r="A8" s="17" t="s">
        <v>106</v>
      </c>
      <c r="B8" s="15">
        <v>39672.504240000002</v>
      </c>
      <c r="C8" s="15">
        <v>28.245922319733278</v>
      </c>
      <c r="D8" s="15">
        <f>IF(140453.91682="","-",140453.91682/1458988.37669*100)</f>
        <v>9.6268016294034595</v>
      </c>
      <c r="E8" s="15">
        <f>IF(39672.50424="","-",39672.50424/1389017.92207*100)</f>
        <v>2.8561549573728748</v>
      </c>
    </row>
    <row r="9" spans="1:5" x14ac:dyDescent="0.3">
      <c r="A9" s="17" t="s">
        <v>107</v>
      </c>
      <c r="B9" s="15">
        <v>1110142.80859</v>
      </c>
      <c r="C9" s="15">
        <v>102.50519983002462</v>
      </c>
      <c r="D9" s="15">
        <f>IF(1083011.21351="","-",1083011.21351/1458988.37669*100)</f>
        <v>74.230283860589921</v>
      </c>
      <c r="E9" s="15">
        <f>IF(1110142.80859="","-",1110142.80859/1389017.92207*100)</f>
        <v>79.922857074125929</v>
      </c>
    </row>
    <row r="10" spans="1:5" x14ac:dyDescent="0.3">
      <c r="A10" s="17" t="s">
        <v>108</v>
      </c>
      <c r="B10" s="15">
        <v>16256.702359999999</v>
      </c>
      <c r="C10" s="15">
        <v>152.65741956128394</v>
      </c>
      <c r="D10" s="15">
        <f>IF(10649.14002="","-",10649.14002/1458988.37669*100)</f>
        <v>0.72989889365394767</v>
      </c>
      <c r="E10" s="15">
        <f>IF(16256.70236="","-",16256.70236/1389017.92207*100)</f>
        <v>1.170373837637261</v>
      </c>
    </row>
    <row r="11" spans="1:5" x14ac:dyDescent="0.3">
      <c r="A11" s="17" t="s">
        <v>109</v>
      </c>
      <c r="B11" s="15">
        <v>252.3596</v>
      </c>
      <c r="C11" s="15">
        <v>91.823694007279187</v>
      </c>
      <c r="D11" s="15">
        <f>IF(274.83059="","-",274.83059/1458988.37669*100)</f>
        <v>1.8837065078167847E-2</v>
      </c>
      <c r="E11" s="15">
        <f>IF(252.3596="","-",252.3596/1389017.92207*100)</f>
        <v>1.8168203303231552E-2</v>
      </c>
    </row>
    <row r="12" spans="1:5" x14ac:dyDescent="0.3">
      <c r="A12" s="17" t="s">
        <v>110</v>
      </c>
      <c r="B12" s="15">
        <v>13298.066430000001</v>
      </c>
      <c r="C12" s="15" t="s">
        <v>394</v>
      </c>
      <c r="D12" s="15">
        <f>IF(2.28466="","-",2.28466/1458988.37669*100)</f>
        <v>1.5659206313782959E-4</v>
      </c>
      <c r="E12" s="15">
        <f>IF(13298.06643="","-",13298.06643/1389017.92207*100)</f>
        <v>0.95737183939156101</v>
      </c>
    </row>
    <row r="13" spans="1:5" x14ac:dyDescent="0.3">
      <c r="A13" s="17" t="s">
        <v>111</v>
      </c>
      <c r="B13" s="15">
        <v>608.62625000000003</v>
      </c>
      <c r="C13" s="15" t="s">
        <v>345</v>
      </c>
      <c r="D13" s="15">
        <f>IF(52.68266="","-",52.68266/1458988.37669*100)</f>
        <v>3.6109033383474169E-3</v>
      </c>
      <c r="E13" s="15">
        <f>IF(608.62625="","-",608.62625/1389017.92207*100)</f>
        <v>4.3817019228447947E-2</v>
      </c>
    </row>
    <row r="14" spans="1:5" x14ac:dyDescent="0.3">
      <c r="A14" s="25" t="s">
        <v>198</v>
      </c>
      <c r="B14" s="16">
        <v>861654.00367000001</v>
      </c>
      <c r="C14" s="16">
        <v>88.707411677837484</v>
      </c>
      <c r="D14" s="16">
        <f>IF(971343.86786="","-",971343.86786/1458988.37669*100)</f>
        <v>66.576532299981935</v>
      </c>
      <c r="E14" s="16">
        <f>IF(861654.00367="","-",861654.00367/1389017.92207*100)</f>
        <v>62.033325127001248</v>
      </c>
    </row>
    <row r="15" spans="1:5" x14ac:dyDescent="0.3">
      <c r="A15" s="17" t="s">
        <v>119</v>
      </c>
      <c r="B15" s="16"/>
      <c r="C15" s="16"/>
      <c r="D15" s="16"/>
      <c r="E15" s="16"/>
    </row>
    <row r="16" spans="1:5" x14ac:dyDescent="0.3">
      <c r="A16" s="17" t="s">
        <v>105</v>
      </c>
      <c r="B16" s="15">
        <v>158676.98155999999</v>
      </c>
      <c r="C16" s="15">
        <v>80.141330694796864</v>
      </c>
      <c r="D16" s="15">
        <f>IF(197996.43977="","-",197996.43977/1458988.37669*100)</f>
        <v>13.570803094346342</v>
      </c>
      <c r="E16" s="15">
        <f>IF(158676.98156="","-",158676.98156/1389017.92207*100)</f>
        <v>11.423681367878233</v>
      </c>
    </row>
    <row r="17" spans="1:6" x14ac:dyDescent="0.3">
      <c r="A17" s="17" t="s">
        <v>106</v>
      </c>
      <c r="B17" s="15">
        <v>20260.921999999999</v>
      </c>
      <c r="C17" s="15">
        <v>84.311990861715159</v>
      </c>
      <c r="D17" s="15">
        <f>IF(24030.89026="","-",24030.89026/1458988.37669*100)</f>
        <v>1.6470926461058424</v>
      </c>
      <c r="E17" s="15">
        <f>IF(20260.922="","-",20260.922/1389017.92207*100)</f>
        <v>1.4586508696594731</v>
      </c>
    </row>
    <row r="18" spans="1:6" x14ac:dyDescent="0.3">
      <c r="A18" s="17" t="s">
        <v>107</v>
      </c>
      <c r="B18" s="15">
        <v>672962.09242999996</v>
      </c>
      <c r="C18" s="15">
        <v>90.029068420205036</v>
      </c>
      <c r="D18" s="15">
        <f>IF(747494.23074="","-",747494.23074/1458988.37669*100)</f>
        <v>51.233734461671077</v>
      </c>
      <c r="E18" s="15">
        <f>IF(672962.09243="","-",672962.09243/1389017.92207*100)</f>
        <v>48.448769575781306</v>
      </c>
    </row>
    <row r="19" spans="1:6" x14ac:dyDescent="0.3">
      <c r="A19" s="17" t="s">
        <v>108</v>
      </c>
      <c r="B19" s="15">
        <v>2861.9636799999998</v>
      </c>
      <c r="C19" s="15" t="s">
        <v>99</v>
      </c>
      <c r="D19" s="15">
        <f>IF(1658.48237="","-",1658.48237/1458988.37669*100)</f>
        <v>0.1136734463753982</v>
      </c>
      <c r="E19" s="15">
        <f>IF(2861.96368="","-",2861.96368/1389017.92207*100)</f>
        <v>0.20604224283405392</v>
      </c>
    </row>
    <row r="20" spans="1:6" x14ac:dyDescent="0.3">
      <c r="A20" s="17" t="s">
        <v>109</v>
      </c>
      <c r="B20" s="15">
        <v>111.15523</v>
      </c>
      <c r="C20" s="15">
        <v>80.186620076212307</v>
      </c>
      <c r="D20" s="15">
        <f>IF(138.62067="","-",138.62067/1458988.37669*100)</f>
        <v>9.5011497154273445E-3</v>
      </c>
      <c r="E20" s="15">
        <f>IF(111.15523="","-",111.15523/1389017.92207*100)</f>
        <v>8.0024331028320812E-3</v>
      </c>
    </row>
    <row r="21" spans="1:6" x14ac:dyDescent="0.3">
      <c r="A21" s="17" t="s">
        <v>110</v>
      </c>
      <c r="B21" s="15">
        <v>6683.8870500000003</v>
      </c>
      <c r="C21" s="15" t="s">
        <v>318</v>
      </c>
      <c r="D21" s="15" t="s">
        <v>318</v>
      </c>
      <c r="E21" s="15">
        <f>IF(6683.88705="","-",6683.88705/1389017.92207*100)</f>
        <v>0.48119516269734375</v>
      </c>
    </row>
    <row r="22" spans="1:6" x14ac:dyDescent="0.3">
      <c r="A22" s="17" t="s">
        <v>111</v>
      </c>
      <c r="B22" s="15">
        <v>97.001720000000006</v>
      </c>
      <c r="C22" s="15" t="s">
        <v>332</v>
      </c>
      <c r="D22" s="15">
        <f>IF(25.20405="","-",25.20405/1458988.37669*100)</f>
        <v>1.7275017678468629E-3</v>
      </c>
      <c r="E22" s="15">
        <f>IF(97.00172="","-",97.00172/1389017.92207*100)</f>
        <v>6.98347504799953E-3</v>
      </c>
    </row>
    <row r="23" spans="1:6" x14ac:dyDescent="0.3">
      <c r="A23" s="25" t="s">
        <v>199</v>
      </c>
      <c r="B23" s="16">
        <v>346534.93054999999</v>
      </c>
      <c r="C23" s="16" t="s">
        <v>101</v>
      </c>
      <c r="D23" s="16">
        <f>IF(178511.07855="","-",178511.07855/1458988.37669*100)</f>
        <v>12.235263926844107</v>
      </c>
      <c r="E23" s="16">
        <f>IF(346534.93055="","-",346534.93055/1389017.92207*100)</f>
        <v>24.948197215020258</v>
      </c>
    </row>
    <row r="24" spans="1:6" x14ac:dyDescent="0.3">
      <c r="A24" s="17" t="s">
        <v>119</v>
      </c>
      <c r="B24" s="16"/>
      <c r="C24" s="16"/>
      <c r="D24" s="16"/>
      <c r="E24" s="16"/>
    </row>
    <row r="25" spans="1:6" x14ac:dyDescent="0.3">
      <c r="A25" s="17" t="s">
        <v>105</v>
      </c>
      <c r="B25" s="15">
        <v>5038.53766</v>
      </c>
      <c r="C25" s="15" t="s">
        <v>350</v>
      </c>
      <c r="D25" s="15">
        <f>IF(82.09698="","-",82.09698/1458988.37669*100)</f>
        <v>5.6269797149620226E-3</v>
      </c>
      <c r="E25" s="15">
        <f>IF(5038.53766="","-",5038.53766/1389017.92207*100)</f>
        <v>0.36274101146882692</v>
      </c>
    </row>
    <row r="26" spans="1:6" x14ac:dyDescent="0.3">
      <c r="A26" s="17" t="s">
        <v>106</v>
      </c>
      <c r="B26" s="15">
        <v>15568.62096</v>
      </c>
      <c r="C26" s="15">
        <v>55.181925993916856</v>
      </c>
      <c r="D26" s="15">
        <f>IF(28213.26128="","-",28213.26128/1458988.37669*100)</f>
        <v>1.933755040873409</v>
      </c>
      <c r="E26" s="15">
        <f>IF(15568.62096="","-",15568.62096/1389017.92207*100)</f>
        <v>1.1208365790413044</v>
      </c>
    </row>
    <row r="27" spans="1:6" x14ac:dyDescent="0.3">
      <c r="A27" s="17" t="s">
        <v>107</v>
      </c>
      <c r="B27" s="15">
        <v>313878.81871999998</v>
      </c>
      <c r="C27" s="15" t="s">
        <v>91</v>
      </c>
      <c r="D27" s="15">
        <f>IF(147539.42472="","-",147539.42472/1458988.37669*100)</f>
        <v>10.112446889722452</v>
      </c>
      <c r="E27" s="15">
        <f>IF(313878.81872="","-",313878.81872/1389017.92207*100)</f>
        <v>22.597175582316346</v>
      </c>
      <c r="F27" s="3"/>
    </row>
    <row r="28" spans="1:6" x14ac:dyDescent="0.3">
      <c r="A28" s="17" t="s">
        <v>108</v>
      </c>
      <c r="B28" s="15">
        <v>5208.7885299999998</v>
      </c>
      <c r="C28" s="15" t="s">
        <v>18</v>
      </c>
      <c r="D28" s="15">
        <f>IF(2602.22329="","-",2602.22329/1458988.37669*100)</f>
        <v>0.17835805490813103</v>
      </c>
      <c r="E28" s="15">
        <f>IF(5208.78853="","-",5208.78853/1389017.92207*100)</f>
        <v>0.37499793539290999</v>
      </c>
    </row>
    <row r="29" spans="1:6" x14ac:dyDescent="0.3">
      <c r="A29" s="17" t="s">
        <v>109</v>
      </c>
      <c r="B29" s="15">
        <v>2.4147599999999998</v>
      </c>
      <c r="C29" s="15">
        <v>5.4498170913771258</v>
      </c>
      <c r="D29" s="15">
        <f>IF(44.30901="","-",44.30901/1458988.37669*100)</f>
        <v>3.0369679915150279E-3</v>
      </c>
      <c r="E29" s="15">
        <f>IF(2.41476="","-",2.41476/1389017.92207*100)</f>
        <v>1.7384656897740928E-4</v>
      </c>
    </row>
    <row r="30" spans="1:6" x14ac:dyDescent="0.3">
      <c r="A30" s="17" t="s">
        <v>110</v>
      </c>
      <c r="B30" s="15">
        <v>6614.1793799999996</v>
      </c>
      <c r="C30" s="15" t="s">
        <v>395</v>
      </c>
      <c r="D30" s="15">
        <f>IF(2.28466="","-",2.28466/1458988.37669*100)</f>
        <v>1.5659206313782959E-4</v>
      </c>
      <c r="E30" s="15">
        <f>IF(6614.17938="","-",6614.17938/1389017.92207*100)</f>
        <v>0.47617667669421726</v>
      </c>
    </row>
    <row r="31" spans="1:6" x14ac:dyDescent="0.3">
      <c r="A31" s="17" t="s">
        <v>111</v>
      </c>
      <c r="B31" s="15">
        <v>223.57053999999999</v>
      </c>
      <c r="C31" s="15" t="s">
        <v>318</v>
      </c>
      <c r="D31" s="15">
        <f>IF(27.47861="","-",27.47861/1458988.37669*100)</f>
        <v>1.883401570500554E-3</v>
      </c>
      <c r="E31" s="15">
        <f>IF(223.57054="","-",223.57054/1389017.92207*100)</f>
        <v>1.6095583537671092E-2</v>
      </c>
    </row>
    <row r="32" spans="1:6" x14ac:dyDescent="0.3">
      <c r="A32" s="25" t="s">
        <v>285</v>
      </c>
      <c r="B32" s="16">
        <v>180828.98785</v>
      </c>
      <c r="C32" s="16">
        <v>58.495448934854046</v>
      </c>
      <c r="D32" s="16">
        <f>IF(309133.43028="","-",309133.43028/1458988.37669*100)</f>
        <v>21.188203773173949</v>
      </c>
      <c r="E32" s="16">
        <f>IF(180828.98785="","-",180828.98785/1389017.92207*100)</f>
        <v>13.018477657978488</v>
      </c>
    </row>
    <row r="33" spans="1:5" x14ac:dyDescent="0.3">
      <c r="A33" s="17" t="s">
        <v>119</v>
      </c>
      <c r="B33" s="16"/>
      <c r="C33" s="16"/>
      <c r="D33" s="16"/>
      <c r="E33" s="16"/>
    </row>
    <row r="34" spans="1:5" x14ac:dyDescent="0.3">
      <c r="A34" s="17" t="s">
        <v>105</v>
      </c>
      <c r="B34" s="15">
        <v>45071.335379999997</v>
      </c>
      <c r="C34" s="15" t="s">
        <v>99</v>
      </c>
      <c r="D34" s="15">
        <f>IF(26465.77168="","-",26465.77168/1458988.37669*100)</f>
        <v>1.8139809818117105</v>
      </c>
      <c r="E34" s="15">
        <f>IF(45071.33538="","-",45071.33538/1389017.92207*100)</f>
        <v>3.2448346895936315</v>
      </c>
    </row>
    <row r="35" spans="1:5" x14ac:dyDescent="0.3">
      <c r="A35" s="17" t="s">
        <v>106</v>
      </c>
      <c r="B35" s="15">
        <v>3842.96128</v>
      </c>
      <c r="C35" s="15">
        <v>4.3566166033901954</v>
      </c>
      <c r="D35" s="15">
        <f>IF(88209.76528="","-",88209.76528/1458988.37669*100)</f>
        <v>6.0459539424242079</v>
      </c>
      <c r="E35" s="15">
        <f>IF(3842.96128="","-",3842.96128/1389017.92207*100)</f>
        <v>0.27666750867209711</v>
      </c>
    </row>
    <row r="36" spans="1:5" x14ac:dyDescent="0.3">
      <c r="A36" s="17" t="s">
        <v>107</v>
      </c>
      <c r="B36" s="15">
        <v>123301.89744</v>
      </c>
      <c r="C36" s="15">
        <v>65.593945744950588</v>
      </c>
      <c r="D36" s="15">
        <f>IF(187977.55805="","-",187977.55805/1458988.37669*100)</f>
        <v>12.88410250919639</v>
      </c>
      <c r="E36" s="15">
        <f>IF(123301.89744="","-",123301.89744/1389017.92207*100)</f>
        <v>8.8769119160282628</v>
      </c>
    </row>
    <row r="37" spans="1:5" x14ac:dyDescent="0.3">
      <c r="A37" s="17" t="s">
        <v>108</v>
      </c>
      <c r="B37" s="15">
        <v>8185.9501499999997</v>
      </c>
      <c r="C37" s="15">
        <v>128.13703152770594</v>
      </c>
      <c r="D37" s="15">
        <f>IF(6388.43436="","-",6388.43436/1458988.37669*100)</f>
        <v>0.43786739237041838</v>
      </c>
      <c r="E37" s="15">
        <f>IF(8185.95015="","-",8185.95015/1389017.92207*100)</f>
        <v>0.58933365941029703</v>
      </c>
    </row>
    <row r="38" spans="1:5" x14ac:dyDescent="0.3">
      <c r="A38" s="17" t="s">
        <v>109</v>
      </c>
      <c r="B38" s="15">
        <v>138.78961000000001</v>
      </c>
      <c r="C38" s="15">
        <v>151.02093113114987</v>
      </c>
      <c r="D38" s="15">
        <f>IF(91.90091="","-",91.90091/1458988.37669*100)</f>
        <v>6.2989473712254758E-3</v>
      </c>
      <c r="E38" s="15">
        <f>IF(138.78961="","-",138.78961/1389017.92207*100)</f>
        <v>9.9919236314220602E-3</v>
      </c>
    </row>
    <row r="39" spans="1:5" x14ac:dyDescent="0.3">
      <c r="A39" s="35" t="s">
        <v>111</v>
      </c>
      <c r="B39" s="62">
        <v>288.05399</v>
      </c>
      <c r="C39" s="18" t="s">
        <v>318</v>
      </c>
      <c r="D39" s="18" t="s">
        <v>318</v>
      </c>
      <c r="E39" s="18">
        <f>IF(288.05399="","-",288.05399/1389017.92207*100)</f>
        <v>2.0737960642777324E-2</v>
      </c>
    </row>
    <row r="40" spans="1:5" x14ac:dyDescent="0.3">
      <c r="A40" s="21" t="s">
        <v>19</v>
      </c>
    </row>
  </sheetData>
  <mergeCells count="5">
    <mergeCell ref="A1:E1"/>
    <mergeCell ref="A3:A4"/>
    <mergeCell ref="B3:C3"/>
    <mergeCell ref="D3:E3"/>
    <mergeCell ref="A2:E2"/>
  </mergeCells>
  <pageMargins left="0.78740157480314965" right="0.59055118110236227" top="0.39370078740157483" bottom="0.39370078740157483" header="0.11811023622047245" footer="0.11811023622047245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F0"/>
  </sheetPr>
  <dimension ref="A1:F40"/>
  <sheetViews>
    <sheetView workbookViewId="0">
      <selection sqref="A1:E1"/>
    </sheetView>
  </sheetViews>
  <sheetFormatPr defaultRowHeight="15.6" x14ac:dyDescent="0.3"/>
  <cols>
    <col min="1" max="1" width="28.59765625" customWidth="1"/>
    <col min="2" max="2" width="13.8984375" customWidth="1"/>
    <col min="3" max="3" width="14.19921875" customWidth="1"/>
    <col min="4" max="4" width="12.8984375" customWidth="1"/>
    <col min="5" max="5" width="12.5" customWidth="1"/>
  </cols>
  <sheetData>
    <row r="1" spans="1:5" ht="16.2" x14ac:dyDescent="0.35">
      <c r="A1" s="73" t="s">
        <v>283</v>
      </c>
      <c r="B1" s="73"/>
      <c r="C1" s="73"/>
      <c r="D1" s="73"/>
      <c r="E1" s="73"/>
    </row>
    <row r="2" spans="1:5" ht="16.2" x14ac:dyDescent="0.35">
      <c r="A2" s="86"/>
      <c r="B2" s="86"/>
      <c r="C2" s="86"/>
      <c r="D2" s="86"/>
      <c r="E2" s="86"/>
    </row>
    <row r="3" spans="1:5" ht="18.75" customHeight="1" x14ac:dyDescent="0.3">
      <c r="A3" s="74"/>
      <c r="B3" s="76" t="s">
        <v>361</v>
      </c>
      <c r="C3" s="77"/>
      <c r="D3" s="78" t="s">
        <v>104</v>
      </c>
      <c r="E3" s="85"/>
    </row>
    <row r="4" spans="1:5" ht="41.25" customHeight="1" x14ac:dyDescent="0.3">
      <c r="A4" s="75"/>
      <c r="B4" s="42" t="s">
        <v>114</v>
      </c>
      <c r="C4" s="41" t="s">
        <v>363</v>
      </c>
      <c r="D4" s="42" t="s">
        <v>354</v>
      </c>
      <c r="E4" s="40" t="s">
        <v>355</v>
      </c>
    </row>
    <row r="5" spans="1:5" ht="15.75" customHeight="1" x14ac:dyDescent="0.3">
      <c r="A5" s="50" t="s">
        <v>120</v>
      </c>
      <c r="B5" s="52">
        <v>2997495.3467600001</v>
      </c>
      <c r="C5" s="52">
        <v>106.69180716595761</v>
      </c>
      <c r="D5" s="53">
        <v>100</v>
      </c>
      <c r="E5" s="53">
        <v>100</v>
      </c>
    </row>
    <row r="6" spans="1:5" ht="15.75" customHeight="1" x14ac:dyDescent="0.3">
      <c r="A6" s="17" t="s">
        <v>119</v>
      </c>
      <c r="B6" s="29"/>
      <c r="C6" s="16"/>
      <c r="D6" s="29"/>
      <c r="E6" s="29"/>
    </row>
    <row r="7" spans="1:5" x14ac:dyDescent="0.3">
      <c r="A7" s="17" t="s">
        <v>105</v>
      </c>
      <c r="B7" s="15">
        <v>234914.28260999999</v>
      </c>
      <c r="C7" s="15">
        <v>159.47355540816801</v>
      </c>
      <c r="D7" s="15">
        <f>IF(147306.10477="","-",147306.10477/2809489.71283*100)</f>
        <v>5.2431622759571699</v>
      </c>
      <c r="E7" s="15">
        <f>IF(234914.28261="","-",234914.28261/2997495.34676*100)</f>
        <v>7.8370190920869787</v>
      </c>
    </row>
    <row r="8" spans="1:5" x14ac:dyDescent="0.3">
      <c r="A8" s="17" t="s">
        <v>106</v>
      </c>
      <c r="B8" s="15">
        <v>154639.63162999999</v>
      </c>
      <c r="C8" s="15">
        <v>125.23284696125413</v>
      </c>
      <c r="D8" s="15">
        <f>IF(123481.68662="","-",123481.68662/2809489.71283*100)</f>
        <v>4.3951642198973149</v>
      </c>
      <c r="E8" s="15">
        <f>IF(154639.63163="","-",154639.63163/2997495.34676*100)</f>
        <v>5.1589615242322342</v>
      </c>
    </row>
    <row r="9" spans="1:5" x14ac:dyDescent="0.3">
      <c r="A9" s="17" t="s">
        <v>107</v>
      </c>
      <c r="B9" s="15">
        <v>2217708.33586</v>
      </c>
      <c r="C9" s="15">
        <v>104.52877089147843</v>
      </c>
      <c r="D9" s="15">
        <f>IF(2121624.80908="","-",2121624.80908/2809489.71283*100)</f>
        <v>75.516375781382976</v>
      </c>
      <c r="E9" s="15">
        <f>IF(2217708.33586="","-",2217708.33586/2997495.34676*100)</f>
        <v>73.985380436274113</v>
      </c>
    </row>
    <row r="10" spans="1:5" x14ac:dyDescent="0.3">
      <c r="A10" s="17" t="s">
        <v>108</v>
      </c>
      <c r="B10" s="15">
        <v>48965.880100000002</v>
      </c>
      <c r="C10" s="15">
        <v>114.7577687959062</v>
      </c>
      <c r="D10" s="15">
        <f>IF(42668.90217="","-",42668.90217/2809489.71283*100)</f>
        <v>1.5187420681821824</v>
      </c>
      <c r="E10" s="15">
        <f>IF(48965.8801="","-",48965.8801/2997495.34676*100)</f>
        <v>1.633559836979475</v>
      </c>
    </row>
    <row r="11" spans="1:5" x14ac:dyDescent="0.3">
      <c r="A11" s="17" t="s">
        <v>109</v>
      </c>
      <c r="B11" s="15">
        <v>2735.9487100000001</v>
      </c>
      <c r="C11" s="15">
        <v>78.865581228971052</v>
      </c>
      <c r="D11" s="15">
        <f>IF(3469.12895="","-",3469.12895/2809489.71283*100)</f>
        <v>0.12347896965622077</v>
      </c>
      <c r="E11" s="15">
        <f>IF(2735.94871="","-",2735.94871/2997495.34676*100)</f>
        <v>9.1274493985696883E-2</v>
      </c>
    </row>
    <row r="12" spans="1:5" x14ac:dyDescent="0.3">
      <c r="A12" s="17" t="s">
        <v>110</v>
      </c>
      <c r="B12" s="15">
        <v>316141.70523999998</v>
      </c>
      <c r="C12" s="15">
        <v>88.173342248290112</v>
      </c>
      <c r="D12" s="15">
        <f>IF(358545.67512="","-",358545.67512/2809489.71283*100)</f>
        <v>12.761950096583085</v>
      </c>
      <c r="E12" s="15">
        <f>IF(316141.70524="","-",316141.70524/2997495.34676*100)</f>
        <v>10.546862252237299</v>
      </c>
    </row>
    <row r="13" spans="1:5" x14ac:dyDescent="0.3">
      <c r="A13" s="17" t="s">
        <v>111</v>
      </c>
      <c r="B13" s="15">
        <v>22389.562610000001</v>
      </c>
      <c r="C13" s="15" t="s">
        <v>196</v>
      </c>
      <c r="D13" s="15">
        <f>IF(12393.40612="","-",12393.40612/2809489.71283*100)</f>
        <v>0.44112658834105911</v>
      </c>
      <c r="E13" s="15">
        <f>IF(22389.56261="","-",22389.56261/2997495.34676*100)</f>
        <v>0.74694236420419913</v>
      </c>
    </row>
    <row r="14" spans="1:5" x14ac:dyDescent="0.3">
      <c r="A14" s="25" t="s">
        <v>198</v>
      </c>
      <c r="B14" s="28">
        <v>1444614.3782899999</v>
      </c>
      <c r="C14" s="16">
        <v>116.33166250317008</v>
      </c>
      <c r="D14" s="16">
        <f>IF(1241806.69923="","-",1241806.69923/2809489.71283*100)</f>
        <v>44.200435885530524</v>
      </c>
      <c r="E14" s="16">
        <f>IF(1444614.37829="","-",1444614.37829/2997495.34676*100)</f>
        <v>48.194049070050667</v>
      </c>
    </row>
    <row r="15" spans="1:5" x14ac:dyDescent="0.3">
      <c r="A15" s="17" t="s">
        <v>119</v>
      </c>
      <c r="B15" s="23"/>
      <c r="C15" s="16"/>
      <c r="D15" s="16"/>
      <c r="E15" s="16"/>
    </row>
    <row r="16" spans="1:5" x14ac:dyDescent="0.3">
      <c r="A16" s="17" t="s">
        <v>105</v>
      </c>
      <c r="B16" s="15">
        <v>81426.55128</v>
      </c>
      <c r="C16" s="15" t="s">
        <v>310</v>
      </c>
      <c r="D16" s="15">
        <f>IF(32054.34042="","-",32054.34042/2809489.71283*100)</f>
        <v>1.1409310478560766</v>
      </c>
      <c r="E16" s="15">
        <f>IF(81426.55128="","-",81426.55128/2997495.34676*100)</f>
        <v>2.716486328094359</v>
      </c>
    </row>
    <row r="17" spans="1:6" x14ac:dyDescent="0.3">
      <c r="A17" s="17" t="s">
        <v>106</v>
      </c>
      <c r="B17" s="15">
        <v>68642.026270000002</v>
      </c>
      <c r="C17" s="15">
        <v>138.42760009275773</v>
      </c>
      <c r="D17" s="15">
        <f>IF(49586.95103="","-",49586.95103/2809489.71283*100)</f>
        <v>1.7649806939513952</v>
      </c>
      <c r="E17" s="15">
        <f>IF(68642.02627="","-",68642.02627/2997495.34676*100)</f>
        <v>2.2899794104499724</v>
      </c>
    </row>
    <row r="18" spans="1:6" x14ac:dyDescent="0.3">
      <c r="A18" s="17" t="s">
        <v>107</v>
      </c>
      <c r="B18" s="15">
        <v>1195874.2442399999</v>
      </c>
      <c r="C18" s="15">
        <v>104.99379404291736</v>
      </c>
      <c r="D18" s="15">
        <f>IF(1138995.17123="","-",1138995.17123/2809489.71283*100)</f>
        <v>40.540998104694594</v>
      </c>
      <c r="E18" s="15">
        <f>IF(1195874.24424="","-",1195874.24424/2997495.34676*100)</f>
        <v>39.895783175530973</v>
      </c>
    </row>
    <row r="19" spans="1:6" x14ac:dyDescent="0.3">
      <c r="A19" s="17" t="s">
        <v>108</v>
      </c>
      <c r="B19" s="15">
        <v>12639.358480000001</v>
      </c>
      <c r="C19" s="15">
        <v>155.456220138676</v>
      </c>
      <c r="D19" s="15">
        <f>IF(8130.49389="","-",8130.49389/2809489.71283*100)</f>
        <v>0.28939397260900274</v>
      </c>
      <c r="E19" s="15">
        <f>IF(12639.35848="","-",12639.35848/2997495.34676*100)</f>
        <v>0.42166399002627025</v>
      </c>
    </row>
    <row r="20" spans="1:6" x14ac:dyDescent="0.3">
      <c r="A20" s="17" t="s">
        <v>109</v>
      </c>
      <c r="B20" s="15">
        <v>1858.5541499999999</v>
      </c>
      <c r="C20" s="15">
        <v>77.519908282167975</v>
      </c>
      <c r="D20" s="15">
        <f>IF(2397.51851="","-",2397.51851/2809489.71283*100)</f>
        <v>8.5336440245761883E-2</v>
      </c>
      <c r="E20" s="15">
        <f>IF(1858.55415="","-",1858.55415/2997495.34676*100)</f>
        <v>6.2003570814844325E-2</v>
      </c>
    </row>
    <row r="21" spans="1:6" x14ac:dyDescent="0.3">
      <c r="A21" s="17" t="s">
        <v>110</v>
      </c>
      <c r="B21" s="15">
        <v>63531.765619999998</v>
      </c>
      <c r="C21" s="15" t="s">
        <v>318</v>
      </c>
      <c r="D21" s="15" t="s">
        <v>318</v>
      </c>
      <c r="E21" s="15">
        <f>IF(63531.76562="","-",63531.76562/2997495.34676*100)</f>
        <v>2.119495054051431</v>
      </c>
    </row>
    <row r="22" spans="1:6" x14ac:dyDescent="0.3">
      <c r="A22" s="17" t="s">
        <v>111</v>
      </c>
      <c r="B22" s="15">
        <v>20641.878250000002</v>
      </c>
      <c r="C22" s="15" t="s">
        <v>101</v>
      </c>
      <c r="D22" s="15">
        <f>IF(10642.22415="","-",10642.22415/2809489.71283*100)</f>
        <v>0.37879562617369694</v>
      </c>
      <c r="E22" s="15">
        <f>IF(20641.87825="","-",20641.87825/2997495.34676*100)</f>
        <v>0.6886375410828196</v>
      </c>
      <c r="F22" s="16"/>
    </row>
    <row r="23" spans="1:6" x14ac:dyDescent="0.3">
      <c r="A23" s="25" t="s">
        <v>199</v>
      </c>
      <c r="B23" s="16">
        <v>666289.35016000003</v>
      </c>
      <c r="C23" s="30">
        <v>79.618920158023286</v>
      </c>
      <c r="D23" s="16">
        <f>IF(836848.01155="","-",836848.01155/2809489.71283*100)</f>
        <v>29.786477157342667</v>
      </c>
      <c r="E23" s="16">
        <f>IF(666289.35016="","-",666289.35016/2997495.34676*100)</f>
        <v>22.228202985542371</v>
      </c>
      <c r="F23" s="16"/>
    </row>
    <row r="24" spans="1:6" x14ac:dyDescent="0.3">
      <c r="A24" s="17" t="s">
        <v>119</v>
      </c>
      <c r="B24" s="16"/>
      <c r="C24" s="23"/>
      <c r="D24" s="16"/>
      <c r="E24" s="16"/>
      <c r="F24" s="15"/>
    </row>
    <row r="25" spans="1:6" x14ac:dyDescent="0.3">
      <c r="A25" s="17" t="s">
        <v>105</v>
      </c>
      <c r="B25" s="15">
        <v>45650.30083</v>
      </c>
      <c r="C25" s="23">
        <v>63.565982135818444</v>
      </c>
      <c r="D25" s="15">
        <f>IF(71815.61473="","-",71815.61473/2809489.71283*100)</f>
        <v>2.5561800209497871</v>
      </c>
      <c r="E25" s="15">
        <f>IF(45650.30083="","-",45650.30083/2997495.34676*100)</f>
        <v>1.5229481800311557</v>
      </c>
      <c r="F25" s="15"/>
    </row>
    <row r="26" spans="1:6" x14ac:dyDescent="0.3">
      <c r="A26" s="17" t="s">
        <v>106</v>
      </c>
      <c r="B26" s="15">
        <v>77629.526360000003</v>
      </c>
      <c r="C26" s="23">
        <v>105.15541160207668</v>
      </c>
      <c r="D26" s="15">
        <f>IF(73823.61514="","-",73823.61514/2809489.71283*100)</f>
        <v>2.6276520893766664</v>
      </c>
      <c r="E26" s="15">
        <f>IF(77629.52636="","-",77629.52636/2997495.34676*100)</f>
        <v>2.5898130732349576</v>
      </c>
      <c r="F26" s="15"/>
    </row>
    <row r="27" spans="1:6" x14ac:dyDescent="0.3">
      <c r="A27" s="17" t="s">
        <v>107</v>
      </c>
      <c r="B27" s="15">
        <v>284559.76559999998</v>
      </c>
      <c r="C27" s="23">
        <v>86.749385548468354</v>
      </c>
      <c r="D27" s="15">
        <f>IF(328025.10796="","-",328025.10796/2809489.71283*100)</f>
        <v>11.675611640862005</v>
      </c>
      <c r="E27" s="15">
        <f>IF(284559.7656="","-",284559.7656/2997495.34676*100)</f>
        <v>9.493251287531816</v>
      </c>
      <c r="F27" s="15"/>
    </row>
    <row r="28" spans="1:6" x14ac:dyDescent="0.3">
      <c r="A28" s="17" t="s">
        <v>108</v>
      </c>
      <c r="B28" s="15">
        <v>5813.22235</v>
      </c>
      <c r="C28" s="23">
        <v>139.37732462978852</v>
      </c>
      <c r="D28" s="15">
        <f>IF(4170.8523="","-",4170.8523/2809489.71283*100)</f>
        <v>0.1484558665921826</v>
      </c>
      <c r="E28" s="15">
        <f>IF(5813.22235="","-",5813.22235/2997495.34676*100)</f>
        <v>0.19393599247063137</v>
      </c>
      <c r="F28" s="15"/>
    </row>
    <row r="29" spans="1:6" x14ac:dyDescent="0.3">
      <c r="A29" s="17" t="s">
        <v>109</v>
      </c>
      <c r="B29" s="15">
        <v>26.595400000000001</v>
      </c>
      <c r="C29" s="23">
        <v>82.401814888555506</v>
      </c>
      <c r="D29" s="15">
        <f>IF(32.27526="","-",32.27526/2809489.71283*100)</f>
        <v>1.1487943825745181E-3</v>
      </c>
      <c r="E29" s="15">
        <f>IF(26.5954="","-",26.5954/2997495.34676*100)</f>
        <v>8.8725408794202245E-4</v>
      </c>
      <c r="F29" s="15"/>
    </row>
    <row r="30" spans="1:6" x14ac:dyDescent="0.3">
      <c r="A30" s="17" t="s">
        <v>110</v>
      </c>
      <c r="B30" s="15">
        <v>252609.93961999999</v>
      </c>
      <c r="C30" s="23">
        <v>70.454047321991851</v>
      </c>
      <c r="D30" s="15">
        <f>IF(358545.67512="","-",358545.67512/2809489.71283*100)</f>
        <v>12.761950096583085</v>
      </c>
      <c r="E30" s="15">
        <f>IF(252609.93962="","-",252609.93962/2997495.34676*100)</f>
        <v>8.427367198185868</v>
      </c>
    </row>
    <row r="31" spans="1:6" x14ac:dyDescent="0.3">
      <c r="A31" s="17" t="s">
        <v>111</v>
      </c>
      <c r="B31" s="15" t="s">
        <v>318</v>
      </c>
      <c r="C31" s="31" t="s">
        <v>318</v>
      </c>
      <c r="D31" s="15">
        <f>IF(434.87104="","-",434.87104/2809489.71283*100)</f>
        <v>1.5478648596365717E-2</v>
      </c>
      <c r="E31" s="15" t="s">
        <v>318</v>
      </c>
    </row>
    <row r="32" spans="1:6" x14ac:dyDescent="0.3">
      <c r="A32" s="25" t="s">
        <v>200</v>
      </c>
      <c r="B32" s="28">
        <v>886591.61831000005</v>
      </c>
      <c r="C32" s="16">
        <v>121.31214512483682</v>
      </c>
      <c r="D32" s="16">
        <f>IF(730835.00205="","-",730835.00205/2809489.71283*100)</f>
        <v>26.013086957126802</v>
      </c>
      <c r="E32" s="16">
        <f>IF(886591.61831="","-",886591.61831/2997495.34676*100)</f>
        <v>29.577747944406958</v>
      </c>
    </row>
    <row r="33" spans="1:5" x14ac:dyDescent="0.3">
      <c r="A33" s="17" t="s">
        <v>119</v>
      </c>
      <c r="B33" s="23"/>
      <c r="C33" s="16"/>
      <c r="D33" s="16"/>
      <c r="E33" s="16"/>
    </row>
    <row r="34" spans="1:5" x14ac:dyDescent="0.3">
      <c r="A34" s="17" t="s">
        <v>105</v>
      </c>
      <c r="B34" s="15">
        <v>107837.4305</v>
      </c>
      <c r="C34" s="15" t="s">
        <v>310</v>
      </c>
      <c r="D34" s="15">
        <f>IF(43436.14962="","-",43436.14962/2809489.71283*100)</f>
        <v>1.5460512071513066</v>
      </c>
      <c r="E34" s="15">
        <f>IF(107837.4305="","-",107837.4305/2997495.34676*100)</f>
        <v>3.597584583961464</v>
      </c>
    </row>
    <row r="35" spans="1:5" x14ac:dyDescent="0.3">
      <c r="A35" s="17" t="s">
        <v>106</v>
      </c>
      <c r="B35" s="15">
        <v>8368.0789999999997</v>
      </c>
      <c r="C35" s="15" t="s">
        <v>318</v>
      </c>
      <c r="D35" s="15">
        <f>IF(71.12045="","-",71.12045/2809489.71283*100)</f>
        <v>2.531436569253722E-3</v>
      </c>
      <c r="E35" s="15">
        <f>IF(8368.079="","-",8368.079/2997495.34676*100)</f>
        <v>0.27916904054730485</v>
      </c>
    </row>
    <row r="36" spans="1:5" x14ac:dyDescent="0.3">
      <c r="A36" s="17" t="s">
        <v>107</v>
      </c>
      <c r="B36" s="15">
        <v>737274.32602000004</v>
      </c>
      <c r="C36" s="15">
        <v>112.62896792722958</v>
      </c>
      <c r="D36" s="15">
        <f>IF(654604.52989="","-",654604.52989/2809489.71283*100)</f>
        <v>23.299766035826362</v>
      </c>
      <c r="E36" s="15">
        <f>IF(737274.32602="","-",737274.32602/2997495.34676*100)</f>
        <v>24.596345973211324</v>
      </c>
    </row>
    <row r="37" spans="1:5" x14ac:dyDescent="0.3">
      <c r="A37" s="17" t="s">
        <v>108</v>
      </c>
      <c r="B37" s="15">
        <v>30513.29927</v>
      </c>
      <c r="C37" s="15">
        <v>100.4799309173777</v>
      </c>
      <c r="D37" s="15">
        <f>IF(30367.55598="","-",30367.55598/2809489.71283*100)</f>
        <v>1.080892228980997</v>
      </c>
      <c r="E37" s="15">
        <f>IF(30513.29927="","-",30513.29927/2997495.34676*100)</f>
        <v>1.0179598544825732</v>
      </c>
    </row>
    <row r="38" spans="1:5" x14ac:dyDescent="0.3">
      <c r="A38" s="17" t="s">
        <v>109</v>
      </c>
      <c r="B38" s="15">
        <v>850.79916000000003</v>
      </c>
      <c r="C38" s="15">
        <v>81.859940505429634</v>
      </c>
      <c r="D38" s="15">
        <f>IF(1039.33518="","-",1039.33518/2809489.71283*100)</f>
        <v>3.6993735027884382E-2</v>
      </c>
      <c r="E38" s="15">
        <f>IF(850.79916="","-",850.79916/2997495.34676*100)</f>
        <v>2.8383669082910533E-2</v>
      </c>
    </row>
    <row r="39" spans="1:5" x14ac:dyDescent="0.3">
      <c r="A39" s="35" t="s">
        <v>111</v>
      </c>
      <c r="B39" s="18">
        <v>1747.68436</v>
      </c>
      <c r="C39" s="18">
        <v>132.77139315404756</v>
      </c>
      <c r="D39" s="18">
        <f>IF(1316.31093="","-",1316.31093/2809489.71283*100)</f>
        <v>4.6852313570996479E-2</v>
      </c>
      <c r="E39" s="18">
        <f>IF(1747.68436="","-",1747.68436/2997495.34676*100)</f>
        <v>5.8304823121379523E-2</v>
      </c>
    </row>
    <row r="40" spans="1:5" x14ac:dyDescent="0.3">
      <c r="A40" s="21" t="s">
        <v>19</v>
      </c>
    </row>
  </sheetData>
  <mergeCells count="5">
    <mergeCell ref="A1:E1"/>
    <mergeCell ref="A3:A4"/>
    <mergeCell ref="B3:C3"/>
    <mergeCell ref="D3:E3"/>
    <mergeCell ref="A2:E2"/>
  </mergeCells>
  <pageMargins left="0.78740157480314965" right="0.59055118110236227" top="0.39370078740157483" bottom="0.39370078740157483" header="0.11811023622047245" footer="0.11811023622047245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</sheetPr>
  <dimension ref="A1:I80"/>
  <sheetViews>
    <sheetView zoomScaleNormal="100" workbookViewId="0">
      <selection activeCell="B1" sqref="B1:H1"/>
    </sheetView>
  </sheetViews>
  <sheetFormatPr defaultRowHeight="15.6" x14ac:dyDescent="0.3"/>
  <cols>
    <col min="1" max="1" width="4.8984375" customWidth="1"/>
    <col min="2" max="2" width="27.59765625" customWidth="1"/>
    <col min="3" max="3" width="11.09765625" customWidth="1"/>
    <col min="4" max="4" width="10.59765625" customWidth="1"/>
    <col min="5" max="6" width="7.8984375" customWidth="1"/>
    <col min="7" max="7" width="8.3984375" customWidth="1"/>
    <col min="8" max="8" width="8.69921875" customWidth="1"/>
  </cols>
  <sheetData>
    <row r="1" spans="1:9" ht="16.2" x14ac:dyDescent="0.35">
      <c r="B1" s="83" t="s">
        <v>127</v>
      </c>
      <c r="C1" s="83"/>
      <c r="D1" s="83"/>
      <c r="E1" s="83"/>
      <c r="F1" s="83"/>
      <c r="G1" s="83"/>
      <c r="H1" s="83"/>
    </row>
    <row r="2" spans="1:9" ht="16.2" x14ac:dyDescent="0.35">
      <c r="B2" s="83" t="s">
        <v>277</v>
      </c>
      <c r="C2" s="83"/>
      <c r="D2" s="83"/>
      <c r="E2" s="83"/>
      <c r="F2" s="83"/>
      <c r="G2" s="83"/>
      <c r="H2" s="83"/>
    </row>
    <row r="3" spans="1:9" x14ac:dyDescent="0.3">
      <c r="A3" s="93"/>
      <c r="B3" s="93"/>
      <c r="C3" s="93"/>
      <c r="D3" s="93"/>
      <c r="E3" s="93"/>
      <c r="F3" s="93"/>
      <c r="G3" s="93"/>
      <c r="H3" s="93"/>
    </row>
    <row r="4" spans="1:9" ht="57.75" customHeight="1" x14ac:dyDescent="0.3">
      <c r="A4" s="87" t="s">
        <v>203</v>
      </c>
      <c r="B4" s="89"/>
      <c r="C4" s="76" t="s">
        <v>352</v>
      </c>
      <c r="D4" s="77"/>
      <c r="E4" s="78" t="s">
        <v>0</v>
      </c>
      <c r="F4" s="79"/>
      <c r="G4" s="91" t="s">
        <v>102</v>
      </c>
      <c r="H4" s="92"/>
    </row>
    <row r="5" spans="1:9" ht="54" customHeight="1" x14ac:dyDescent="0.3">
      <c r="A5" s="88"/>
      <c r="B5" s="90"/>
      <c r="C5" s="42" t="s">
        <v>95</v>
      </c>
      <c r="D5" s="41" t="s">
        <v>353</v>
      </c>
      <c r="E5" s="42" t="s">
        <v>354</v>
      </c>
      <c r="F5" s="42" t="s">
        <v>355</v>
      </c>
      <c r="G5" s="42" t="s">
        <v>364</v>
      </c>
      <c r="H5" s="40" t="s">
        <v>365</v>
      </c>
    </row>
    <row r="6" spans="1:9" ht="16.5" customHeight="1" x14ac:dyDescent="0.3">
      <c r="A6" s="46"/>
      <c r="B6" s="54" t="s">
        <v>96</v>
      </c>
      <c r="C6" s="55">
        <v>1389017.9220700001</v>
      </c>
      <c r="D6" s="55">
        <f>IF(1458988.37669="","-",1389017.92207/1458988.37669*100)</f>
        <v>95.204180119738751</v>
      </c>
      <c r="E6" s="51">
        <v>100</v>
      </c>
      <c r="F6" s="51">
        <v>100</v>
      </c>
      <c r="G6" s="51">
        <f>IF(902994.52425="","-",(1458988.37669-902994.52425)/902994.52425*100)</f>
        <v>61.572228569358359</v>
      </c>
      <c r="H6" s="51">
        <f>IF(1458988.37669="","-",(1389017.92207-1458988.37669)/1458988.37669*100)</f>
        <v>-4.7958198802612539</v>
      </c>
    </row>
    <row r="7" spans="1:9" x14ac:dyDescent="0.3">
      <c r="A7" s="11" t="s">
        <v>204</v>
      </c>
      <c r="B7" s="12" t="s">
        <v>175</v>
      </c>
      <c r="C7" s="9">
        <v>305600.99791999999</v>
      </c>
      <c r="D7" s="9">
        <f>IF(423458.20926="","-",305600.99792/423458.20926*100)</f>
        <v>72.167923832210661</v>
      </c>
      <c r="E7" s="16">
        <f>IF(423458.20926="","-",423458.20926/1458988.37669*100)</f>
        <v>29.024097520276175</v>
      </c>
      <c r="F7" s="16">
        <f>IF(305600.99792="","-",305600.99792/1389017.92207*100)</f>
        <v>22.001227850579102</v>
      </c>
      <c r="G7" s="16">
        <f>IF(902994.52425="","-",(423458.20926-155388.64021)/902994.52425*100)</f>
        <v>29.686732516196638</v>
      </c>
      <c r="H7" s="16">
        <f>IF(1458988.37669="","-",(305600.99792-423458.20926)/1458988.37669*100)</f>
        <v>-8.0780089288567236</v>
      </c>
    </row>
    <row r="8" spans="1:9" ht="13.5" customHeight="1" x14ac:dyDescent="0.3">
      <c r="A8" s="13" t="s">
        <v>205</v>
      </c>
      <c r="B8" s="14" t="s">
        <v>21</v>
      </c>
      <c r="C8" s="10">
        <v>4214.6639999999998</v>
      </c>
      <c r="D8" s="10">
        <f>IF(OR(4043.76866="",4214.664=""),"-",4214.664/4043.76866*100)</f>
        <v>104.22614037470679</v>
      </c>
      <c r="E8" s="15">
        <f>IF(4043.76866="","-",4043.76866/1458988.37669*100)</f>
        <v>0.27716250003129422</v>
      </c>
      <c r="F8" s="15">
        <f>IF(4214.664="","-",4214.664/1389017.92207*100)</f>
        <v>0.30342761839379634</v>
      </c>
      <c r="G8" s="15">
        <f>IF(OR(902994.52425="",3899.14749="",4043.76866=""),"-",(4043.76866-3899.14749)/902994.52425*100)</f>
        <v>1.6015730562720557E-2</v>
      </c>
      <c r="H8" s="15">
        <f>IF(OR(1458988.37669="",4214.664="",4043.76866=""),"-",(4214.664-4043.76866)/1458988.37669*100)</f>
        <v>1.1713276317369231E-2</v>
      </c>
      <c r="I8" s="11"/>
    </row>
    <row r="9" spans="1:9" x14ac:dyDescent="0.3">
      <c r="A9" s="13" t="s">
        <v>206</v>
      </c>
      <c r="B9" s="14" t="s">
        <v>176</v>
      </c>
      <c r="C9" s="10">
        <v>1469.74047</v>
      </c>
      <c r="D9" s="10" t="s">
        <v>316</v>
      </c>
      <c r="E9" s="15">
        <f>IF(430.56409="","-",430.56409/1458988.37669*100)</f>
        <v>2.9511139148128016E-2</v>
      </c>
      <c r="F9" s="15">
        <f>IF(1469.74047="","-",1469.74047/1389017.92207*100)</f>
        <v>0.10581148354152999</v>
      </c>
      <c r="G9" s="15">
        <f>IF(OR(902994.52425="",1834.01454="",430.56409=""),"-",(430.56409-1834.01454)/902994.52425*100)</f>
        <v>-0.15542181179511178</v>
      </c>
      <c r="H9" s="15">
        <f>IF(OR(1458988.37669="",1469.74047="",430.56409=""),"-",(1469.74047-430.56409)/1458988.37669*100)</f>
        <v>7.1225816230117908E-2</v>
      </c>
      <c r="I9" s="13"/>
    </row>
    <row r="10" spans="1:9" s="2" customFormat="1" x14ac:dyDescent="0.3">
      <c r="A10" s="13" t="s">
        <v>207</v>
      </c>
      <c r="B10" s="14" t="s">
        <v>177</v>
      </c>
      <c r="C10" s="10">
        <v>5031.0759099999996</v>
      </c>
      <c r="D10" s="10">
        <f>IF(OR(4271.93052="",5031.07591=""),"-",5031.07591/4271.93052*100)</f>
        <v>117.77054627751764</v>
      </c>
      <c r="E10" s="15">
        <f>IF(4271.93052="","-",4271.93052/1458988.37669*100)</f>
        <v>0.2928008603942211</v>
      </c>
      <c r="F10" s="15">
        <f>IF(5031.07591="","-",5031.07591/1389017.92207*100)</f>
        <v>0.36220381537643376</v>
      </c>
      <c r="G10" s="15">
        <f>IF(OR(902994.52425="",2873.13244="",4271.93052=""),"-",(4271.93052-2873.13244)/902994.52425*100)</f>
        <v>0.15490659604628271</v>
      </c>
      <c r="H10" s="15">
        <f>IF(OR(1458988.37669="",5031.07591="",4271.93052=""),"-",(5031.07591-4271.93052)/1458988.37669*100)</f>
        <v>5.2032312397324858E-2</v>
      </c>
      <c r="I10" s="13"/>
    </row>
    <row r="11" spans="1:9" s="2" customFormat="1" x14ac:dyDescent="0.3">
      <c r="A11" s="13" t="s">
        <v>208</v>
      </c>
      <c r="B11" s="14" t="s">
        <v>178</v>
      </c>
      <c r="C11" s="10">
        <v>163.61724000000001</v>
      </c>
      <c r="D11" s="10" t="s">
        <v>313</v>
      </c>
      <c r="E11" s="15">
        <f>IF(55.72242="","-",55.72242/1458988.37669*100)</f>
        <v>3.8192504402548553E-3</v>
      </c>
      <c r="F11" s="15">
        <f>IF(163.61724="","-",163.61724/1389017.92207*100)</f>
        <v>1.1779346932843568E-2</v>
      </c>
      <c r="G11" s="15">
        <f>IF(OR(902994.52425="",1.85645="",55.72242=""),"-",(55.72242-1.85645)/902994.52425*100)</f>
        <v>5.9652598718402472E-3</v>
      </c>
      <c r="H11" s="15">
        <f>IF(OR(1458988.37669="",163.61724="",55.72242=""),"-",(163.61724-55.72242)/1458988.37669*100)</f>
        <v>7.3951802306184552E-3</v>
      </c>
      <c r="I11" s="13"/>
    </row>
    <row r="12" spans="1:9" s="2" customFormat="1" ht="15.75" customHeight="1" x14ac:dyDescent="0.3">
      <c r="A12" s="13" t="s">
        <v>209</v>
      </c>
      <c r="B12" s="14" t="s">
        <v>179</v>
      </c>
      <c r="C12" s="10">
        <v>146279.49895000001</v>
      </c>
      <c r="D12" s="10">
        <f>IF(OR(252867.30666="",146279.49895=""),"-",146279.49895/252867.30666*100)</f>
        <v>57.848324040831542</v>
      </c>
      <c r="E12" s="15">
        <f>IF(252867.30666="","-",252867.30666/1458988.37669*100)</f>
        <v>17.331687537749879</v>
      </c>
      <c r="F12" s="15">
        <f>IF(146279.49895="","-",146279.49895/1389017.92207*100)</f>
        <v>10.531145540008964</v>
      </c>
      <c r="G12" s="15">
        <f>IF(OR(902994.52425="",37725.55945="",252867.30666=""),"-",(252867.30666-37725.55945)/902994.52425*100)</f>
        <v>23.825365650881462</v>
      </c>
      <c r="H12" s="15">
        <f>IF(OR(1458988.37669="",146279.49895="",252867.30666=""),"-",(146279.49895-252867.30666)/1458988.37669*100)</f>
        <v>-7.3055967691679102</v>
      </c>
      <c r="I12" s="13"/>
    </row>
    <row r="13" spans="1:9" s="2" customFormat="1" ht="15.75" customHeight="1" x14ac:dyDescent="0.3">
      <c r="A13" s="13" t="s">
        <v>210</v>
      </c>
      <c r="B13" s="14" t="s">
        <v>180</v>
      </c>
      <c r="C13" s="10">
        <v>111638.065</v>
      </c>
      <c r="D13" s="10">
        <f>IF(OR(122555.10876="",111638.065=""),"-",111638.065/122555.10876*100)</f>
        <v>91.09213490122319</v>
      </c>
      <c r="E13" s="15">
        <f>IF(122555.10876="","-",122555.10876/1458988.37669*100)</f>
        <v>8.4000058340451069</v>
      </c>
      <c r="F13" s="15">
        <f>IF(111638.065="","-",111638.065/1389017.92207*100)</f>
        <v>8.0371939934101118</v>
      </c>
      <c r="G13" s="15">
        <f>IF(OR(902994.52425="",93970.63785="",122555.10876=""),"-",(122555.10876-93970.63785)/902994.52425*100)</f>
        <v>3.1655198500501873</v>
      </c>
      <c r="H13" s="15">
        <f>IF(OR(1458988.37669="",111638.065="",122555.10876=""),"-",(111638.065-122555.10876)/1458988.37669*100)</f>
        <v>-0.74826118798611985</v>
      </c>
      <c r="I13" s="13"/>
    </row>
    <row r="14" spans="1:9" s="2" customFormat="1" ht="14.25" customHeight="1" x14ac:dyDescent="0.3">
      <c r="A14" s="13" t="s">
        <v>211</v>
      </c>
      <c r="B14" s="14" t="s">
        <v>138</v>
      </c>
      <c r="C14" s="10">
        <v>9194.3018499999998</v>
      </c>
      <c r="D14" s="10">
        <f>IF(OR(10991.28002="",9194.30185=""),"-",9194.30185/10991.28002*100)</f>
        <v>83.650874450198927</v>
      </c>
      <c r="E14" s="15">
        <f>IF(10991.28002="","-",10991.28002/1458988.37669*100)</f>
        <v>0.75334938890574743</v>
      </c>
      <c r="F14" s="15">
        <f>IF(9194.30185="","-",9194.30185/1389017.92207*100)</f>
        <v>0.66192823749157137</v>
      </c>
      <c r="G14" s="15">
        <f>IF(OR(902994.52425="",3493.28322="",10991.28002=""),"-",(10991.28002-3493.28322)/902994.52425*100)</f>
        <v>0.83034798092796958</v>
      </c>
      <c r="H14" s="15">
        <f>IF(OR(1458988.37669="",9194.30185="",10991.28002=""),"-",(9194.30185-10991.28002)/1458988.37669*100)</f>
        <v>-0.1231660374208598</v>
      </c>
      <c r="I14" s="13"/>
    </row>
    <row r="15" spans="1:9" s="2" customFormat="1" ht="26.4" x14ac:dyDescent="0.3">
      <c r="A15" s="13" t="s">
        <v>212</v>
      </c>
      <c r="B15" s="14" t="s">
        <v>181</v>
      </c>
      <c r="C15" s="10">
        <v>3380.5134499999999</v>
      </c>
      <c r="D15" s="10">
        <f>IF(OR(3788.85744="",3380.51345=""),"-",3380.51345/3788.85744*100)</f>
        <v>89.222503182912035</v>
      </c>
      <c r="E15" s="15">
        <f>IF(3788.85744="","-",3788.85744/1458988.37669*100)</f>
        <v>0.25969072136104077</v>
      </c>
      <c r="F15" s="15">
        <f>IF(3380.51345="","-",3380.51345/1389017.92207*100)</f>
        <v>0.24337435797532045</v>
      </c>
      <c r="G15" s="15">
        <f>IF(OR(902994.52425="",3465.07127="",3788.85744=""),"-",(3788.85744-3465.07127)/902994.52425*100)</f>
        <v>3.5856936150186217E-2</v>
      </c>
      <c r="H15" s="15">
        <f>IF(OR(1458988.37669="",3380.51345="",3788.85744=""),"-",(3380.51345-3788.85744)/1458988.37669*100)</f>
        <v>-2.7988159228958927E-2</v>
      </c>
      <c r="I15" s="13"/>
    </row>
    <row r="16" spans="1:9" s="2" customFormat="1" ht="26.4" x14ac:dyDescent="0.3">
      <c r="A16" s="13" t="s">
        <v>213</v>
      </c>
      <c r="B16" s="14" t="s">
        <v>139</v>
      </c>
      <c r="C16" s="10">
        <v>20326.712299999999</v>
      </c>
      <c r="D16" s="10">
        <f>IF(OR(22151.08606="",20326.7123=""),"-",20326.7123/22151.08606*100)</f>
        <v>91.76395344653362</v>
      </c>
      <c r="E16" s="15">
        <f>IF(22151.08606="","-",22151.08606/1458988.37669*100)</f>
        <v>1.5182496594149753</v>
      </c>
      <c r="F16" s="15">
        <f>IF(20326.7123="","-",20326.7123/1389017.92207*100)</f>
        <v>1.4633873312237671</v>
      </c>
      <c r="G16" s="15">
        <f>IF(OR(902994.52425="",6519.60936="",22151.08606=""),"-",(22151.08606-6519.60936)/902994.52425*100)</f>
        <v>1.7310710397699294</v>
      </c>
      <c r="H16" s="15">
        <f>IF(OR(1458988.37669="",20326.7123="",22151.08606=""),"-",(20326.7123-22151.08606)/1458988.37669*100)</f>
        <v>-0.12504374874726215</v>
      </c>
      <c r="I16" s="13"/>
    </row>
    <row r="17" spans="1:9" s="2" customFormat="1" ht="15" customHeight="1" x14ac:dyDescent="0.3">
      <c r="A17" s="13" t="s">
        <v>214</v>
      </c>
      <c r="B17" s="14" t="s">
        <v>182</v>
      </c>
      <c r="C17" s="10">
        <v>3902.8087500000001</v>
      </c>
      <c r="D17" s="10" t="s">
        <v>99</v>
      </c>
      <c r="E17" s="15">
        <f>IF(2302.58463="","-",2302.58463/1458988.37669*100)</f>
        <v>0.15782062878553307</v>
      </c>
      <c r="F17" s="15">
        <f>IF(3902.80875="","-",3902.80875/1389017.92207*100)</f>
        <v>0.2809761262247642</v>
      </c>
      <c r="G17" s="15">
        <f>IF(OR(902994.52425="",1606.32814="",2302.58463=""),"-",(2302.58463-1606.32814)/902994.52425*100)</f>
        <v>7.7105283731182014E-2</v>
      </c>
      <c r="H17" s="15">
        <f>IF(OR(1458988.37669="",3902.80875="",2302.58463=""),"-",(3902.80875-2302.58463)/1458988.37669*100)</f>
        <v>0.10968038851895594</v>
      </c>
      <c r="I17" s="13"/>
    </row>
    <row r="18" spans="1:9" s="2" customFormat="1" x14ac:dyDescent="0.3">
      <c r="A18" s="11" t="s">
        <v>215</v>
      </c>
      <c r="B18" s="12" t="s">
        <v>183</v>
      </c>
      <c r="C18" s="9">
        <v>68034.557069999995</v>
      </c>
      <c r="D18" s="9">
        <f>IF(50339.11734="","-",68034.55707/50339.11734*100)</f>
        <v>135.15246326327423</v>
      </c>
      <c r="E18" s="16">
        <f>IF(50339.11734="","-",50339.11734/1458988.37669*100)</f>
        <v>3.4502754198908776</v>
      </c>
      <c r="F18" s="16">
        <f>IF(68034.55707="","-",68034.55707/1389017.92207*100)</f>
        <v>4.8980330627131652</v>
      </c>
      <c r="G18" s="16">
        <f>IF(902994.52425="","-",(50339.11734-66254.15461)/902994.52425*100)</f>
        <v>-1.7624732866700992</v>
      </c>
      <c r="H18" s="16">
        <f>IF(1458988.37669="","-",(68034.55707-50339.11734)/1458988.37669*100)</f>
        <v>1.2128567994589208</v>
      </c>
      <c r="I18" s="13"/>
    </row>
    <row r="19" spans="1:9" s="2" customFormat="1" x14ac:dyDescent="0.3">
      <c r="A19" s="13" t="s">
        <v>216</v>
      </c>
      <c r="B19" s="14" t="s">
        <v>184</v>
      </c>
      <c r="C19" s="10">
        <v>64478.264309999999</v>
      </c>
      <c r="D19" s="10">
        <f>IF(OR(46650.54816="",64478.2643099999=""),"-",64478.2643099999/46650.54816*100)</f>
        <v>138.21544837770219</v>
      </c>
      <c r="E19" s="15">
        <f>IF(46650.54816="","-",46650.54816/1458988.37669*100)</f>
        <v>3.1974585202546901</v>
      </c>
      <c r="F19" s="15">
        <f>IF(64478.2643099999="","-",64478.2643099999/1389017.92207*100)</f>
        <v>4.6420037701104979</v>
      </c>
      <c r="G19" s="15">
        <f>IF(OR(902994.52425="",61926.60829="",46650.54816=""),"-",(46650.54816-61926.60829)/902994.52425*100)</f>
        <v>-1.6917112695326511</v>
      </c>
      <c r="H19" s="15">
        <f>IF(OR(1458988.37669="",64478.2643099999="",46650.54816=""),"-",(64478.2643099999-46650.54816)/1458988.37669*100)</f>
        <v>1.2219231102063715</v>
      </c>
      <c r="I19" s="11"/>
    </row>
    <row r="20" spans="1:9" s="2" customFormat="1" x14ac:dyDescent="0.3">
      <c r="A20" s="13" t="s">
        <v>217</v>
      </c>
      <c r="B20" s="14" t="s">
        <v>185</v>
      </c>
      <c r="C20" s="10">
        <v>3556.2927599999998</v>
      </c>
      <c r="D20" s="10">
        <f>IF(OR(3688.56918="",3556.29276=""),"-",3556.29276/3688.56918*100)</f>
        <v>96.413882631855643</v>
      </c>
      <c r="E20" s="15">
        <f>IF(3688.56918="","-",3688.56918/1458988.37669*100)</f>
        <v>0.25281689963618759</v>
      </c>
      <c r="F20" s="15">
        <f>IF(3556.29276="","-",3556.29276/1389017.92207*100)</f>
        <v>0.25602929260266083</v>
      </c>
      <c r="G20" s="15">
        <f>IF(OR(902994.52425="",4327.54632="",3688.56918=""),"-",(3688.56918-4327.54632)/902994.52425*100)</f>
        <v>-7.0762017137447814E-2</v>
      </c>
      <c r="H20" s="15">
        <f>IF(OR(1458988.37669="",3556.29276="",3688.56918=""),"-",(3556.29276-3688.56918)/1458988.37669*100)</f>
        <v>-9.0663107474574286E-3</v>
      </c>
      <c r="I20" s="13"/>
    </row>
    <row r="21" spans="1:9" s="2" customFormat="1" ht="26.4" x14ac:dyDescent="0.3">
      <c r="A21" s="11" t="s">
        <v>218</v>
      </c>
      <c r="B21" s="12" t="s">
        <v>22</v>
      </c>
      <c r="C21" s="9">
        <v>85729.324630000003</v>
      </c>
      <c r="D21" s="9">
        <f>IF(211064.69859="","-",85729.32463/211064.69859*100)</f>
        <v>40.617557176878726</v>
      </c>
      <c r="E21" s="16">
        <f>IF(211064.69859="","-",211064.69859/1458988.37669*100)</f>
        <v>14.466509943611852</v>
      </c>
      <c r="F21" s="16">
        <f>IF(85729.32463="","-",85729.32463/1389017.92207*100)</f>
        <v>6.1719379763106925</v>
      </c>
      <c r="G21" s="16">
        <f>IF(902994.52425="","-",(211064.69859-100050.98228)/902994.52425*100)</f>
        <v>12.293952325148888</v>
      </c>
      <c r="H21" s="16">
        <f>IF(1458988.37669="","-",(85729.32463-211064.69859)/1458988.37669*100)</f>
        <v>-8.5905669957664621</v>
      </c>
      <c r="I21" s="13"/>
    </row>
    <row r="22" spans="1:9" s="2" customFormat="1" ht="15" customHeight="1" x14ac:dyDescent="0.3">
      <c r="A22" s="13" t="s">
        <v>219</v>
      </c>
      <c r="B22" s="14" t="s">
        <v>192</v>
      </c>
      <c r="C22" s="10">
        <v>443.03041999999999</v>
      </c>
      <c r="D22" s="10">
        <f>IF(OR(513.21826="",443.03042=""),"-",443.03042/513.21826*100)</f>
        <v>86.323978418071107</v>
      </c>
      <c r="E22" s="15">
        <f>IF(513.21826="","-",513.21826/1458988.37669*100)</f>
        <v>3.5176309023402623E-2</v>
      </c>
      <c r="F22" s="15">
        <f>IF(443.03042="","-",443.03042/1389017.92207*100)</f>
        <v>3.1895227049321927E-2</v>
      </c>
      <c r="G22" s="15">
        <f>IF(OR(902994.52425="",511.21309="",513.21826=""),"-",(513.21826-511.21309)/902994.52425*100)</f>
        <v>2.2205782495363389E-4</v>
      </c>
      <c r="H22" s="15">
        <f>IF(OR(1458988.37669="",443.03042="",513.21826=""),"-",(443.03042-513.21826)/1458988.37669*100)</f>
        <v>-4.8107196137665478E-3</v>
      </c>
      <c r="I22" s="11"/>
    </row>
    <row r="23" spans="1:9" s="2" customFormat="1" ht="15" customHeight="1" x14ac:dyDescent="0.3">
      <c r="A23" s="13" t="s">
        <v>220</v>
      </c>
      <c r="B23" s="14" t="s">
        <v>186</v>
      </c>
      <c r="C23" s="10">
        <v>59722.953659999999</v>
      </c>
      <c r="D23" s="10">
        <f>IF(OR(175830.43629="",59722.95366=""),"-",59722.95366/175830.43629*100)</f>
        <v>33.96622047931335</v>
      </c>
      <c r="E23" s="15">
        <f>IF(175830.43629="","-",175830.43629/1458988.37669*100)</f>
        <v>12.051530985387675</v>
      </c>
      <c r="F23" s="15">
        <f>IF(59722.95366="","-",59722.95366/1389017.92207*100)</f>
        <v>4.2996532090095112</v>
      </c>
      <c r="G23" s="15">
        <f>IF(OR(902994.52425="",70435.53449="",175830.43629=""),"-",(175830.43629-70435.53449)/902994.52425*100)</f>
        <v>11.671709957215723</v>
      </c>
      <c r="H23" s="15">
        <f>IF(OR(1458988.37669="",59722.95366="",175830.43629=""),"-",(59722.95366-175830.43629)/1458988.37669*100)</f>
        <v>-7.9580813997581323</v>
      </c>
      <c r="I23" s="13"/>
    </row>
    <row r="24" spans="1:9" s="2" customFormat="1" ht="15" customHeight="1" x14ac:dyDescent="0.3">
      <c r="A24" s="13" t="s">
        <v>273</v>
      </c>
      <c r="B24" s="14" t="s">
        <v>187</v>
      </c>
      <c r="C24" s="10">
        <v>8.4921900000000008</v>
      </c>
      <c r="D24" s="10" t="s">
        <v>101</v>
      </c>
      <c r="E24" s="15">
        <f>IF(4.55506="","-",4.55506/1458988.37669*100)</f>
        <v>3.1220673672082593E-4</v>
      </c>
      <c r="F24" s="15">
        <f>IF(8.49219="","-",8.49219/1389017.92207*100)</f>
        <v>6.1138088033770043E-4</v>
      </c>
      <c r="G24" s="15">
        <f>IF(OR(902994.52425="",0.10557="",4.55506=""),"-",(4.55506-0.10557)/902994.52425*100)</f>
        <v>4.92748281468884E-4</v>
      </c>
      <c r="H24" s="15">
        <f>IF(OR(1458988.37669="",8.49219="",4.55506=""),"-",(8.49219-4.55506)/1458988.37669*100)</f>
        <v>2.6985341781352284E-4</v>
      </c>
      <c r="I24" s="13"/>
    </row>
    <row r="25" spans="1:9" s="2" customFormat="1" x14ac:dyDescent="0.3">
      <c r="A25" s="13" t="s">
        <v>221</v>
      </c>
      <c r="B25" s="14" t="s">
        <v>188</v>
      </c>
      <c r="C25" s="10">
        <v>1116.38716</v>
      </c>
      <c r="D25" s="10">
        <f>IF(OR(1103.16816="",1116.38716=""),"-",1116.38716/1103.16816*100)</f>
        <v>101.19827606337006</v>
      </c>
      <c r="E25" s="15">
        <f>IF(1103.16816="","-",1103.16816/1458988.37669*100)</f>
        <v>7.5611853913651605E-2</v>
      </c>
      <c r="F25" s="15">
        <f>IF(1116.38716="","-",1116.38716/1389017.92207*100)</f>
        <v>8.0372408610559248E-2</v>
      </c>
      <c r="G25" s="15">
        <f>IF(OR(902994.52425="",559.62351="",1103.16816=""),"-",(1103.16816-559.62351)/902994.52425*100)</f>
        <v>6.0193570991081226E-2</v>
      </c>
      <c r="H25" s="15">
        <f>IF(OR(1458988.37669="",1116.38716="",1103.16816=""),"-",(1116.38716-1103.16816)/1458988.37669*100)</f>
        <v>9.0603874651763391E-4</v>
      </c>
      <c r="I25" s="13"/>
    </row>
    <row r="26" spans="1:9" s="2" customFormat="1" ht="14.25" customHeight="1" x14ac:dyDescent="0.3">
      <c r="A26" s="13" t="s">
        <v>222</v>
      </c>
      <c r="B26" s="14" t="s">
        <v>140</v>
      </c>
      <c r="C26" s="10">
        <v>1088.08123</v>
      </c>
      <c r="D26" s="10">
        <f>IF(OR(1313.62656="",1088.08123=""),"-",1088.08123/1313.62656*100)</f>
        <v>82.830331171135882</v>
      </c>
      <c r="E26" s="15">
        <f>IF(1313.62656="","-",1313.62656/1458988.37669*100)</f>
        <v>9.0036807762664844E-2</v>
      </c>
      <c r="F26" s="15">
        <f>IF(1088.08123="","-",1088.08123/1389017.92207*100)</f>
        <v>7.8334570973603732E-2</v>
      </c>
      <c r="G26" s="15">
        <f>IF(OR(902994.52425="",1331.10106="",1313.62656=""),"-",(1313.62656-1331.10106)/902994.52425*100)</f>
        <v>-1.9351723106531377E-3</v>
      </c>
      <c r="H26" s="15">
        <f>IF(OR(1458988.37669="",1088.08123="",1313.62656=""),"-",(1088.08123-1313.62656)/1458988.37669*100)</f>
        <v>-1.5459021716930572E-2</v>
      </c>
      <c r="I26" s="13"/>
    </row>
    <row r="27" spans="1:9" s="2" customFormat="1" ht="40.5" customHeight="1" x14ac:dyDescent="0.3">
      <c r="A27" s="13" t="s">
        <v>223</v>
      </c>
      <c r="B27" s="14" t="s">
        <v>141</v>
      </c>
      <c r="C27" s="10">
        <v>24.60811</v>
      </c>
      <c r="D27" s="10">
        <f>IF(OR(28.82075="",24.60811=""),"-",24.60811/28.82075*100)</f>
        <v>85.383308900705231</v>
      </c>
      <c r="E27" s="15">
        <f>IF(28.82075="","-",28.82075/1458988.37669*100)</f>
        <v>1.9753927077462738E-3</v>
      </c>
      <c r="F27" s="15">
        <f>IF(24.60811="","-",24.60811/1389017.92207*100)</f>
        <v>1.7716193296719656E-3</v>
      </c>
      <c r="G27" s="15">
        <f>IF(OR(902994.52425="",50.66178="",28.82075=""),"-",(28.82075-50.66178)/902994.52425*100)</f>
        <v>-2.4187333824798661E-3</v>
      </c>
      <c r="H27" s="15">
        <f>IF(OR(1458988.37669="",24.60811="",28.82075=""),"-",(24.60811-28.82075)/1458988.37669*100)</f>
        <v>-2.8873705008926776E-4</v>
      </c>
      <c r="I27" s="13"/>
    </row>
    <row r="28" spans="1:9" s="2" customFormat="1" ht="39.6" x14ac:dyDescent="0.3">
      <c r="A28" s="13" t="s">
        <v>224</v>
      </c>
      <c r="B28" s="14" t="s">
        <v>142</v>
      </c>
      <c r="C28" s="10">
        <v>6565.9905200000003</v>
      </c>
      <c r="D28" s="10" t="s">
        <v>396</v>
      </c>
      <c r="E28" s="15">
        <f>IF(2060.40609="","-",2060.40609/1458988.37669*100)</f>
        <v>0.14122155617678281</v>
      </c>
      <c r="F28" s="15">
        <f>IF(6565.99052="","-",6565.99052/1389017.92207*100)</f>
        <v>0.47270740108341847</v>
      </c>
      <c r="G28" s="15">
        <f>IF(OR(902994.52425="",2063.40335="",2060.40609=""),"-",(2060.40609-2063.40335)/902994.52425*100)</f>
        <v>-3.3192449339485534E-4</v>
      </c>
      <c r="H28" s="15">
        <f>IF(OR(1458988.37669="",6565.99052="",2060.40609=""),"-",(6565.99052-2060.40609)/1458988.37669*100)</f>
        <v>0.30881564939001083</v>
      </c>
      <c r="I28" s="13"/>
    </row>
    <row r="29" spans="1:9" s="2" customFormat="1" ht="15" customHeight="1" x14ac:dyDescent="0.3">
      <c r="A29" s="13" t="s">
        <v>225</v>
      </c>
      <c r="B29" s="14" t="s">
        <v>143</v>
      </c>
      <c r="C29" s="10">
        <v>14735.159390000001</v>
      </c>
      <c r="D29" s="10">
        <f>IF(OR(28753.62666="",14735.15939=""),"-",14735.15939/28753.62666*100)</f>
        <v>51.246263868684451</v>
      </c>
      <c r="E29" s="15">
        <f>IF(28753.62666="","-",28753.62666/1458988.37669*100)</f>
        <v>1.9707920309298979</v>
      </c>
      <c r="F29" s="15">
        <f>IF(14735.15939="","-",14735.15939/1389017.92207*100)</f>
        <v>1.0608329205746143</v>
      </c>
      <c r="G29" s="15">
        <f>IF(OR(902994.52425="",23723.01048="",28753.62666=""),"-",(28753.62666-23723.01048)/902994.52425*100)</f>
        <v>0.55710373041057792</v>
      </c>
      <c r="H29" s="15">
        <f>IF(OR(1458988.37669="",14735.15939="",28753.62666=""),"-",(14735.15939-28753.62666)/1458988.37669*100)</f>
        <v>-0.9608347464565572</v>
      </c>
      <c r="I29" s="13"/>
    </row>
    <row r="30" spans="1:9" s="2" customFormat="1" ht="26.4" x14ac:dyDescent="0.3">
      <c r="A30" s="13" t="s">
        <v>226</v>
      </c>
      <c r="B30" s="14" t="s">
        <v>144</v>
      </c>
      <c r="C30" s="10">
        <v>2024.62195</v>
      </c>
      <c r="D30" s="10">
        <f>IF(OR(1456.84076="",2024.62195=""),"-",2024.62195/1456.84076*100)</f>
        <v>138.97345582230963</v>
      </c>
      <c r="E30" s="15">
        <f>IF(1456.84076="","-",1456.84076/1458988.37669*100)</f>
        <v>9.9852800973310549E-2</v>
      </c>
      <c r="F30" s="15">
        <f>IF(2024.62195="","-",2024.62195/1389017.92207*100)</f>
        <v>0.14575923879965377</v>
      </c>
      <c r="G30" s="15">
        <f>IF(OR(902994.52425="",1376.32895="",1456.84076=""),"-",(1456.84076-1376.32895)/902994.52425*100)</f>
        <v>8.9160906116092613E-3</v>
      </c>
      <c r="H30" s="15">
        <f>IF(OR(1458988.37669="",2024.62195="",1456.84076=""),"-",(2024.62195-1456.84076)/1458988.37669*100)</f>
        <v>3.8916087274671947E-2</v>
      </c>
      <c r="I30" s="13"/>
    </row>
    <row r="31" spans="1:9" s="2" customFormat="1" ht="26.4" x14ac:dyDescent="0.3">
      <c r="A31" s="11" t="s">
        <v>227</v>
      </c>
      <c r="B31" s="12" t="s">
        <v>145</v>
      </c>
      <c r="C31" s="9">
        <v>188374.01134</v>
      </c>
      <c r="D31" s="9" t="s">
        <v>381</v>
      </c>
      <c r="E31" s="16">
        <f>IF(57188.0792="","-",57188.0792/1458988.37669*100)</f>
        <v>3.9197076627671508</v>
      </c>
      <c r="F31" s="16">
        <f>IF(188374.01134="","-",188374.01134/1389017.92207*100)</f>
        <v>13.561668884680294</v>
      </c>
      <c r="G31" s="16">
        <f>IF(902994.52425="","-",(57188.0792-12546.15264)/902994.52425*100)</f>
        <v>4.9437649244969935</v>
      </c>
      <c r="H31" s="16">
        <f>IF(1458988.37669="","-",(188374.01134-57188.0792)/1458988.37669*100)</f>
        <v>8.9915680094464427</v>
      </c>
      <c r="I31" s="13"/>
    </row>
    <row r="32" spans="1:9" s="2" customFormat="1" x14ac:dyDescent="0.3">
      <c r="A32" s="13" t="s">
        <v>228</v>
      </c>
      <c r="B32" s="14" t="s">
        <v>189</v>
      </c>
      <c r="C32" s="10">
        <v>80.516689999999997</v>
      </c>
      <c r="D32" s="10">
        <f>IF(OR(52.80921="",80.51669=""),"-",80.51669/52.80921*100)</f>
        <v>152.46713594087092</v>
      </c>
      <c r="E32" s="15">
        <f>IF(52.80921="","-",52.80921/1458988.37669*100)</f>
        <v>3.6195771565917475E-3</v>
      </c>
      <c r="F32" s="15">
        <f>IF(80.51669="","-",80.51669/1389017.92207*100)</f>
        <v>5.7966631474422638E-3</v>
      </c>
      <c r="G32" s="15">
        <f>IF(OR(902994.52425="",356.14313="",52.80921=""),"-",(52.80921-356.14313)/902994.52425*100)</f>
        <v>-3.3591999935098163E-2</v>
      </c>
      <c r="H32" s="15">
        <f>IF(OR(1458988.37669="",80.51669="",52.80921=""),"-",(80.51669-52.80921)/1458988.37669*100)</f>
        <v>1.8990884672337024E-3</v>
      </c>
      <c r="I32" s="11"/>
    </row>
    <row r="33" spans="1:9" s="2" customFormat="1" ht="26.4" x14ac:dyDescent="0.3">
      <c r="A33" s="13" t="s">
        <v>229</v>
      </c>
      <c r="B33" s="14" t="s">
        <v>146</v>
      </c>
      <c r="C33" s="10">
        <v>173645.88402</v>
      </c>
      <c r="D33" s="10" t="s">
        <v>311</v>
      </c>
      <c r="E33" s="15">
        <f>IF(57132.98533="","-",57132.98533/1458988.37669*100)</f>
        <v>3.9159314935474221</v>
      </c>
      <c r="F33" s="15">
        <f>IF(173645.88402="","-",173645.88402/1389017.92207*100)</f>
        <v>12.501342226111973</v>
      </c>
      <c r="G33" s="15">
        <f>IF(OR(902994.52425="",12188.15904="",57132.98533=""),"-",(57132.98533-12188.15904)/902994.52425*100)</f>
        <v>4.9773088410840387</v>
      </c>
      <c r="H33" s="15">
        <f>IF(OR(1458988.37669="",173645.88402="",57132.98533=""),"-",(173645.88402-57132.98533)/1458988.37669*100)</f>
        <v>7.9858688767851778</v>
      </c>
      <c r="I33" s="13"/>
    </row>
    <row r="34" spans="1:9" s="2" customFormat="1" ht="26.4" x14ac:dyDescent="0.3">
      <c r="A34" s="34" t="s">
        <v>274</v>
      </c>
      <c r="B34" s="14" t="s">
        <v>306</v>
      </c>
      <c r="C34" s="10">
        <v>1349.5442</v>
      </c>
      <c r="D34" s="10" t="str">
        <f>IF(OR(""="",1349.5442=""),"-",1349.5442/""*100)</f>
        <v>-</v>
      </c>
      <c r="E34" s="15" t="str">
        <f>IF(""="","-",""/1458988.37669*100)</f>
        <v>-</v>
      </c>
      <c r="F34" s="15">
        <f>IF(1349.5442="","-",1349.5442/1389017.92207*100)</f>
        <v>9.7158156029320777E-2</v>
      </c>
      <c r="G34" s="15" t="str">
        <f>IF(OR(902994.52425="",""="",""=""),"-",(""-"")/902994.52425*100)</f>
        <v>-</v>
      </c>
      <c r="H34" s="15" t="str">
        <f>IF(OR(1458988.37669="",1349.5442="",""=""),"-",(1349.5442-"")/1458988.37669*100)</f>
        <v>-</v>
      </c>
      <c r="I34" s="13"/>
    </row>
    <row r="35" spans="1:9" s="2" customFormat="1" x14ac:dyDescent="0.3">
      <c r="A35" s="13" t="s">
        <v>279</v>
      </c>
      <c r="B35" s="14" t="s">
        <v>280</v>
      </c>
      <c r="C35" s="10">
        <v>13298.066430000001</v>
      </c>
      <c r="D35" s="10" t="s">
        <v>394</v>
      </c>
      <c r="E35" s="15">
        <f>IF(2.28466="","-",2.28466/1458988.37669*100)</f>
        <v>1.5659206313782959E-4</v>
      </c>
      <c r="F35" s="15">
        <f>IF(13298.06643="","-",13298.06643/1389017.92207*100)</f>
        <v>0.95737183939156101</v>
      </c>
      <c r="G35" s="15">
        <f>IF(OR(902994.52425="",1.85047="",2.28466=""),"-",(2.28466-1.85047)/902994.52425*100)</f>
        <v>4.8083348053591482E-5</v>
      </c>
      <c r="H35" s="15">
        <f>IF(OR(1458988.37669="",13298.06643="",2.28466=""),"-",(13298.06643-2.28466)/1458988.37669*100)</f>
        <v>0.91130141832686007</v>
      </c>
      <c r="I35" s="13"/>
    </row>
    <row r="36" spans="1:9" s="2" customFormat="1" ht="26.4" x14ac:dyDescent="0.3">
      <c r="A36" s="11" t="s">
        <v>230</v>
      </c>
      <c r="B36" s="12" t="s">
        <v>147</v>
      </c>
      <c r="C36" s="9">
        <v>118269.13537</v>
      </c>
      <c r="D36" s="9">
        <f>IF(138561.34629="","-",118269.13537/138561.34629*100)</f>
        <v>85.355070903013825</v>
      </c>
      <c r="E36" s="16">
        <f>IF(138561.34629="","-",138561.34629/1458988.37669*100)</f>
        <v>9.4970836302584853</v>
      </c>
      <c r="F36" s="16">
        <f>IF(118269.13537="","-",118269.13537/1389017.92207*100)</f>
        <v>8.5145867084096398</v>
      </c>
      <c r="G36" s="16">
        <f>IF(902994.52425="","-",(138561.34629-25112.95723)/902994.52425*100)</f>
        <v>12.563574419703908</v>
      </c>
      <c r="H36" s="16">
        <f>IF(1458988.37669="","-",(118269.13537-138561.34629)/1458988.37669*100)</f>
        <v>-1.3908411639328357</v>
      </c>
      <c r="I36" s="13"/>
    </row>
    <row r="37" spans="1:9" s="2" customFormat="1" ht="15.75" customHeight="1" x14ac:dyDescent="0.3">
      <c r="A37" s="13" t="s">
        <v>231</v>
      </c>
      <c r="B37" s="14" t="s">
        <v>193</v>
      </c>
      <c r="C37" s="10">
        <v>1.9330099999999999</v>
      </c>
      <c r="D37" s="10">
        <f>IF(OR(1.59594="",1.93301=""),"-",1.93301/1.59594*100)</f>
        <v>121.1204681880271</v>
      </c>
      <c r="E37" s="15">
        <f>IF(1.59594="","-",1.59594/1458988.37669*100)</f>
        <v>1.0938675218377691E-4</v>
      </c>
      <c r="F37" s="15">
        <f>IF(1.93301="","-",1.93301/1389017.92207*100)</f>
        <v>1.3916379114240005E-4</v>
      </c>
      <c r="G37" s="15">
        <f>IF(OR(902994.52425="",4.16302="",1.59594=""),"-",(1.59594-4.16302)/902994.52425*100)</f>
        <v>-2.8428522333866197E-4</v>
      </c>
      <c r="H37" s="15">
        <f>IF(OR(1458988.37669="",1.93301="",1.59594=""),"-",(1.93301-1.59594)/1458988.37669*100)</f>
        <v>2.310299419689066E-5</v>
      </c>
      <c r="I37" s="11"/>
    </row>
    <row r="38" spans="1:9" s="2" customFormat="1" ht="26.4" x14ac:dyDescent="0.3">
      <c r="A38" s="13" t="s">
        <v>232</v>
      </c>
      <c r="B38" s="14" t="s">
        <v>148</v>
      </c>
      <c r="C38" s="10">
        <v>118267.15205999999</v>
      </c>
      <c r="D38" s="10">
        <f>IF(OR(138559.75035="",118267.15206=""),"-",118267.15206/138559.75035*100)</f>
        <v>85.354622652869125</v>
      </c>
      <c r="E38" s="15">
        <f>IF(138559.75035="","-",138559.75035/1458988.37669*100)</f>
        <v>9.4969742435063011</v>
      </c>
      <c r="F38" s="15">
        <f>IF(118267.15206="","-",118267.15206/1389017.92207*100)</f>
        <v>8.5144439233549267</v>
      </c>
      <c r="G38" s="15">
        <f>IF(OR(902994.52425="",25105.23188="",138559.75035=""),"-",(138559.75035-25105.23188)/902994.52425*100)</f>
        <v>12.564253206765773</v>
      </c>
      <c r="H38" s="15">
        <f>IF(OR(1458988.37669="",118267.15206="",138559.75035=""),"-",(118267.15206-138559.75035)/1458988.37669*100)</f>
        <v>-1.3908677145213257</v>
      </c>
      <c r="I38" s="13"/>
    </row>
    <row r="39" spans="1:9" s="2" customFormat="1" ht="26.4" x14ac:dyDescent="0.3">
      <c r="A39" s="11" t="s">
        <v>234</v>
      </c>
      <c r="B39" s="12" t="s">
        <v>149</v>
      </c>
      <c r="C39" s="9">
        <v>45025.474690000003</v>
      </c>
      <c r="D39" s="9">
        <f>IF(49641.13493="","-",45025.47469/49641.13493*100)</f>
        <v>90.701944573772067</v>
      </c>
      <c r="E39" s="16">
        <f>IF(49641.13493="","-",49641.13493/1458988.37669*100)</f>
        <v>3.4024352574090146</v>
      </c>
      <c r="F39" s="16">
        <f>IF(45025.47469="","-",45025.47469/1389017.92207*100)</f>
        <v>3.2415330266509641</v>
      </c>
      <c r="G39" s="16">
        <f>IF(902994.52425="","-",(49641.13493-45930.27672)/902994.52425*100)</f>
        <v>0.41095024502857591</v>
      </c>
      <c r="H39" s="16">
        <f>IF(1458988.37669="","-",(45025.47469-49641.13493)/1458988.37669*100)</f>
        <v>-0.31636031607541137</v>
      </c>
      <c r="I39" s="13"/>
    </row>
    <row r="40" spans="1:9" s="2" customFormat="1" x14ac:dyDescent="0.3">
      <c r="A40" s="13" t="s">
        <v>235</v>
      </c>
      <c r="B40" s="14" t="s">
        <v>23</v>
      </c>
      <c r="C40" s="10">
        <v>8532.4186100000006</v>
      </c>
      <c r="D40" s="10">
        <f>IF(OR(18044.77329="",8532.41861=""),"-",8532.41861/18044.77329*100)</f>
        <v>47.284709388554475</v>
      </c>
      <c r="E40" s="15">
        <f>IF(18044.77329="","-",18044.77329/1458988.37669*100)</f>
        <v>1.2368003459313426</v>
      </c>
      <c r="F40" s="15">
        <f>IF(8532.41861="","-",8532.41861/1389017.92207*100)</f>
        <v>0.61427707119030295</v>
      </c>
      <c r="G40" s="15">
        <f>IF(OR(902994.52425="",11665.59762="",18044.77329=""),"-",(18044.77329-11665.59762)/902994.52425*100)</f>
        <v>0.70644677223246188</v>
      </c>
      <c r="H40" s="15">
        <f>IF(OR(1458988.37669="",8532.41861="",18044.77329=""),"-",(8532.41861-18044.77329)/1458988.37669*100)</f>
        <v>-0.6519828966410709</v>
      </c>
      <c r="I40" s="13"/>
    </row>
    <row r="41" spans="1:9" s="2" customFormat="1" x14ac:dyDescent="0.3">
      <c r="A41" s="13" t="s">
        <v>236</v>
      </c>
      <c r="B41" s="14" t="s">
        <v>24</v>
      </c>
      <c r="C41" s="10">
        <v>2566.7061199999998</v>
      </c>
      <c r="D41" s="10" t="s">
        <v>196</v>
      </c>
      <c r="E41" s="15">
        <f>IF(1395.16118="","-",1395.16118/1458988.37669*100)</f>
        <v>9.5625242962195184E-2</v>
      </c>
      <c r="F41" s="15">
        <f>IF(2566.70612="","-",2566.70612/1389017.92207*100)</f>
        <v>0.18478567333205723</v>
      </c>
      <c r="G41" s="15">
        <f>IF(OR(902994.52425="",267.16589="",1395.16118=""),"-",(1395.16118-267.16589)/902994.52425*100)</f>
        <v>0.1249171794188762</v>
      </c>
      <c r="H41" s="15">
        <f>IF(OR(1458988.37669="",2566.70612="",1395.16118=""),"-",(2566.70612-1395.16118)/1458988.37669*100)</f>
        <v>8.0298442312328633E-2</v>
      </c>
      <c r="I41" s="13"/>
    </row>
    <row r="42" spans="1:9" s="2" customFormat="1" ht="16.5" customHeight="1" x14ac:dyDescent="0.3">
      <c r="A42" s="13" t="s">
        <v>237</v>
      </c>
      <c r="B42" s="14" t="s">
        <v>150</v>
      </c>
      <c r="C42" s="10">
        <v>1391.9893099999999</v>
      </c>
      <c r="D42" s="10">
        <f>IF(OR(1009.11612="",1391.98931=""),"-",1391.98931/1009.11612*100)</f>
        <v>137.94144027745784</v>
      </c>
      <c r="E42" s="15">
        <f>IF(1009.11612="","-",1009.11612/1458988.37669*100)</f>
        <v>6.9165466711213763E-2</v>
      </c>
      <c r="F42" s="15">
        <f>IF(1391.98931="","-",1391.98931/1389017.92207*100)</f>
        <v>0.10021392005695447</v>
      </c>
      <c r="G42" s="15">
        <f>IF(OR(902994.52425="",625.29336="",1009.11612=""),"-",(1009.11612-625.29336)/902994.52425*100)</f>
        <v>4.250554678820357E-2</v>
      </c>
      <c r="H42" s="15">
        <f>IF(OR(1458988.37669="",1391.98931="",1009.11612=""),"-",(1391.98931-1009.11612)/1458988.37669*100)</f>
        <v>2.6242374244860159E-2</v>
      </c>
      <c r="I42" s="13"/>
    </row>
    <row r="43" spans="1:9" s="2" customFormat="1" x14ac:dyDescent="0.3">
      <c r="A43" s="13" t="s">
        <v>238</v>
      </c>
      <c r="B43" s="14" t="s">
        <v>151</v>
      </c>
      <c r="C43" s="10">
        <v>15367.00668</v>
      </c>
      <c r="D43" s="10">
        <f>IF(OR(20573.44312="",15367.00668=""),"-",15367.00668/20573.44312*100)</f>
        <v>74.693412232303103</v>
      </c>
      <c r="E43" s="15">
        <f>IF(20573.44312="","-",20573.44312/1458988.37669*100)</f>
        <v>1.4101169994701994</v>
      </c>
      <c r="F43" s="15">
        <f>IF(15367.00668="","-",15367.00668/1389017.92207*100)</f>
        <v>1.1063216993700946</v>
      </c>
      <c r="G43" s="15">
        <f>IF(OR(902994.52425="",25483.13105="",20573.44312=""),"-",(20573.44312-25483.13105)/902994.52425*100)</f>
        <v>-0.54371181642301081</v>
      </c>
      <c r="H43" s="15">
        <f>IF(OR(1458988.37669="",15367.00668="",20573.44312=""),"-",(15367.00668-20573.44312)/1458988.37669*100)</f>
        <v>-0.35685249609814007</v>
      </c>
      <c r="I43" s="13"/>
    </row>
    <row r="44" spans="1:9" ht="39.6" x14ac:dyDescent="0.3">
      <c r="A44" s="13" t="s">
        <v>239</v>
      </c>
      <c r="B44" s="14" t="s">
        <v>152</v>
      </c>
      <c r="C44" s="10">
        <v>6043.5444100000004</v>
      </c>
      <c r="D44" s="10">
        <f>IF(OR(4020.34235="",6043.54441=""),"-",6043.54441/4020.34235*100)</f>
        <v>150.32412376523109</v>
      </c>
      <c r="E44" s="15">
        <f>IF(4020.34235="","-",4020.34235/1458988.37669*100)</f>
        <v>0.27555684570434558</v>
      </c>
      <c r="F44" s="15">
        <f>IF(6043.54441="","-",6043.54441/1389017.92207*100)</f>
        <v>0.43509477552266124</v>
      </c>
      <c r="G44" s="15">
        <f>IF(OR(902994.52425="",3502.28542="",4020.34235=""),"-",(4020.34235-3502.28542)/902994.52425*100)</f>
        <v>5.7370993520728393E-2</v>
      </c>
      <c r="H44" s="15">
        <f>IF(OR(1458988.37669="",6043.54441="",4020.34235=""),"-",(6043.54441-4020.34235)/1458988.37669*100)</f>
        <v>0.13867156807582179</v>
      </c>
      <c r="I44" s="13"/>
    </row>
    <row r="45" spans="1:9" x14ac:dyDescent="0.3">
      <c r="A45" s="13" t="s">
        <v>240</v>
      </c>
      <c r="B45" s="14" t="s">
        <v>153</v>
      </c>
      <c r="C45" s="10">
        <v>265.37205999999998</v>
      </c>
      <c r="D45" s="10" t="s">
        <v>321</v>
      </c>
      <c r="E45" s="15">
        <f>IF(71.21796="","-",71.21796/1458988.37669*100)</f>
        <v>4.8813246998973252E-3</v>
      </c>
      <c r="F45" s="15">
        <f>IF(265.37206="","-",265.37206/1389017.92207*100)</f>
        <v>1.9105013389929929E-2</v>
      </c>
      <c r="G45" s="15">
        <f>IF(OR(902994.52425="",47.34034="",71.21796=""),"-",(71.21796-47.34034)/902994.52425*100)</f>
        <v>2.6442707412685628E-3</v>
      </c>
      <c r="H45" s="15">
        <f>IF(OR(1458988.37669="",265.37206="",71.21796=""),"-",(265.37206-71.21796)/1458988.37669*100)</f>
        <v>1.3307446659751768E-2</v>
      </c>
      <c r="I45" s="13"/>
    </row>
    <row r="46" spans="1:9" x14ac:dyDescent="0.3">
      <c r="A46" s="13" t="s">
        <v>241</v>
      </c>
      <c r="B46" s="14" t="s">
        <v>25</v>
      </c>
      <c r="C46" s="10">
        <v>6772.5628100000004</v>
      </c>
      <c r="D46" s="10" t="s">
        <v>327</v>
      </c>
      <c r="E46" s="15">
        <f>IF(988.466="","-",988.466/1458988.37669*100)</f>
        <v>6.7750094229162269E-2</v>
      </c>
      <c r="F46" s="15">
        <f>IF(6772.56281="","-",6772.56281/1389017.92207*100)</f>
        <v>0.48757922431318312</v>
      </c>
      <c r="G46" s="15">
        <f>IF(OR(902994.52425="",630.64126="",988.466=""),"-",(988.466-630.64126)/902994.52425*100)</f>
        <v>3.962645734725783E-2</v>
      </c>
      <c r="H46" s="15">
        <f>IF(OR(1458988.37669="",6772.56281="",988.466=""),"-",(6772.56281-988.466)/1458988.37669*100)</f>
        <v>0.39644570871238555</v>
      </c>
      <c r="I46" s="13"/>
    </row>
    <row r="47" spans="1:9" x14ac:dyDescent="0.3">
      <c r="A47" s="13" t="s">
        <v>242</v>
      </c>
      <c r="B47" s="14" t="s">
        <v>26</v>
      </c>
      <c r="C47" s="10">
        <v>1849.5806600000001</v>
      </c>
      <c r="D47" s="10">
        <f>IF(OR(1897.02059="",1849.58066=""),"-",1849.58066/1897.02059*100)</f>
        <v>97.499240111041701</v>
      </c>
      <c r="E47" s="15">
        <f>IF(1897.02059="","-",1897.02059/1458988.37669*100)</f>
        <v>0.13002300911428519</v>
      </c>
      <c r="F47" s="15">
        <f>IF(1849.58066="","-",1849.58066/1389017.92207*100)</f>
        <v>0.13315743667609711</v>
      </c>
      <c r="G47" s="15">
        <f>IF(OR(902994.52425="",1354.13407="",1897.02059=""),"-",(1897.02059-1354.13407)/902994.52425*100)</f>
        <v>6.0120687935611254E-2</v>
      </c>
      <c r="H47" s="15">
        <f>IF(OR(1458988.37669="",1849.58066="",1897.02059=""),"-",(1849.58066-1897.02059)/1458988.37669*100)</f>
        <v>-3.2515632583466326E-3</v>
      </c>
      <c r="I47" s="13"/>
    </row>
    <row r="48" spans="1:9" x14ac:dyDescent="0.3">
      <c r="A48" s="13" t="s">
        <v>243</v>
      </c>
      <c r="B48" s="14" t="s">
        <v>154</v>
      </c>
      <c r="C48" s="10">
        <v>2236.29403</v>
      </c>
      <c r="D48" s="10">
        <f>IF(OR(1641.59432="",2236.29403=""),"-",2236.29403/1641.59432*100)</f>
        <v>136.22695953285219</v>
      </c>
      <c r="E48" s="15">
        <f>IF(1641.59432="","-",1641.59432/1458988.37669*100)</f>
        <v>0.11251592858637278</v>
      </c>
      <c r="F48" s="15">
        <f>IF(2236.29403="","-",2236.29403/1389017.92207*100)</f>
        <v>0.16099821279968346</v>
      </c>
      <c r="G48" s="15">
        <f>IF(OR(902994.52425="",2354.68771="",1641.59432=""),"-",(1641.59432-2354.68771)/902994.52425*100)</f>
        <v>-7.8969846532820784E-2</v>
      </c>
      <c r="H48" s="15">
        <f>IF(OR(1458988.37669="",2236.29403="",1641.59432=""),"-",(2236.29403-1641.59432)/1458988.37669*100)</f>
        <v>4.0761099916998139E-2</v>
      </c>
      <c r="I48" s="11"/>
    </row>
    <row r="49" spans="1:9" ht="26.4" x14ac:dyDescent="0.3">
      <c r="A49" s="11" t="s">
        <v>244</v>
      </c>
      <c r="B49" s="12" t="s">
        <v>307</v>
      </c>
      <c r="C49" s="9">
        <v>98986.635479999997</v>
      </c>
      <c r="D49" s="9">
        <f>IF(96663.56347="","-",98986.63548/96663.56347*100)</f>
        <v>102.40325509075711</v>
      </c>
      <c r="E49" s="16">
        <f>IF(96663.56347="","-",96663.56347/1458988.37669*100)</f>
        <v>6.6253826976538459</v>
      </c>
      <c r="F49" s="16">
        <f>IF(98986.63548="","-",98986.63548/1389017.92207*100)</f>
        <v>7.126375686534268</v>
      </c>
      <c r="G49" s="16">
        <f>IF(902994.52425="","-",(96663.56347-70438.66006)/902994.52425*100)</f>
        <v>2.9042151093642139</v>
      </c>
      <c r="H49" s="16">
        <f>IF(1458988.37669="","-",(98986.63548-96663.56347)/1458988.37669*100)</f>
        <v>0.15922484696350672</v>
      </c>
      <c r="I49" s="13"/>
    </row>
    <row r="50" spans="1:9" x14ac:dyDescent="0.3">
      <c r="A50" s="13" t="s">
        <v>245</v>
      </c>
      <c r="B50" s="14" t="s">
        <v>155</v>
      </c>
      <c r="C50" s="10">
        <v>280.78384</v>
      </c>
      <c r="D50" s="10">
        <f>IF(OR(1041.72167="",280.78384=""),"-",280.78384/1041.72167*100)</f>
        <v>26.953825391767079</v>
      </c>
      <c r="E50" s="15">
        <f>IF(1041.72167="","-",1041.72167/1458988.37669*100)</f>
        <v>7.1400272040778617E-2</v>
      </c>
      <c r="F50" s="15">
        <f>IF(280.78384="","-",280.78384/1389017.92207*100)</f>
        <v>2.0214558468875522E-2</v>
      </c>
      <c r="G50" s="15">
        <f>IF(OR(902994.52425="",403.30825="",1041.72167=""),"-",(1041.72167-403.30825)/902994.52425*100)</f>
        <v>7.0699589294879364E-2</v>
      </c>
      <c r="H50" s="15">
        <f>IF(OR(1458988.37669="",280.78384="",1041.72167=""),"-",(280.78384-1041.72167)/1458988.37669*100)</f>
        <v>-5.2155167385660464E-2</v>
      </c>
      <c r="I50" s="13"/>
    </row>
    <row r="51" spans="1:9" x14ac:dyDescent="0.3">
      <c r="A51" s="13" t="s">
        <v>246</v>
      </c>
      <c r="B51" s="14" t="s">
        <v>27</v>
      </c>
      <c r="C51" s="10">
        <v>1124.22415</v>
      </c>
      <c r="D51" s="10" t="s">
        <v>397</v>
      </c>
      <c r="E51" s="15">
        <f>IF(217.40722="","-",217.40722/1458988.37669*100)</f>
        <v>1.4901230432913434E-2</v>
      </c>
      <c r="F51" s="15">
        <f>IF(1124.22415="","-",1124.22415/1389017.92207*100)</f>
        <v>8.0936619473175112E-2</v>
      </c>
      <c r="G51" s="15">
        <f>IF(OR(902994.52425="",664.49363="",217.40722=""),"-",(217.40722-664.49363)/902994.52425*100)</f>
        <v>-4.9511530578918682E-2</v>
      </c>
      <c r="H51" s="15">
        <f>IF(OR(1458988.37669="",1124.22415="",217.40722=""),"-",(1124.22415-217.40722)/1458988.37669*100)</f>
        <v>6.2153814553155745E-2</v>
      </c>
      <c r="I51" s="13"/>
    </row>
    <row r="52" spans="1:9" ht="16.5" customHeight="1" x14ac:dyDescent="0.3">
      <c r="A52" s="13" t="s">
        <v>247</v>
      </c>
      <c r="B52" s="14" t="s">
        <v>156</v>
      </c>
      <c r="C52" s="10">
        <v>8683.5654599999998</v>
      </c>
      <c r="D52" s="10">
        <f>IF(OR(10021.60973="",8683.56546=""),"-",8683.56546/10021.60973*100)</f>
        <v>86.648409726088985</v>
      </c>
      <c r="E52" s="15">
        <f>IF(10021.60973="","-",10021.60973/1458988.37669*100)</f>
        <v>0.68688756470671675</v>
      </c>
      <c r="F52" s="15">
        <f>IF(8683.56546="","-",8683.56546/1389017.92207*100)</f>
        <v>0.62515863345083522</v>
      </c>
      <c r="G52" s="15">
        <f>IF(OR(902994.52425="",7902.47457="",10021.60973=""),"-",(10021.60973-7902.47457)/902994.52425*100)</f>
        <v>0.23467862795293135</v>
      </c>
      <c r="H52" s="15">
        <f>IF(OR(1458988.37669="",8683.56546="",10021.60973=""),"-",(8683.56546-10021.60973)/1458988.37669*100)</f>
        <v>-9.1710413282086248E-2</v>
      </c>
      <c r="I52" s="13"/>
    </row>
    <row r="53" spans="1:9" ht="26.4" x14ac:dyDescent="0.3">
      <c r="A53" s="13" t="s">
        <v>248</v>
      </c>
      <c r="B53" s="14" t="s">
        <v>157</v>
      </c>
      <c r="C53" s="10">
        <v>6887.9150900000004</v>
      </c>
      <c r="D53" s="10">
        <f>IF(OR(5977.47261="",6887.91509=""),"-",6887.91509/5977.47261*100)</f>
        <v>115.23122796877192</v>
      </c>
      <c r="E53" s="15">
        <f>IF(5977.47261="","-",5977.47261/1458988.37669*100)</f>
        <v>0.40969981019047341</v>
      </c>
      <c r="F53" s="15">
        <f>IF(6887.91509="","-",6887.91509/1389017.92207*100)</f>
        <v>0.49588381694421946</v>
      </c>
      <c r="G53" s="15">
        <f>IF(OR(902994.52425="",3193.82095="",5977.47261=""),"-",(5977.47261-3193.82095)/902994.52425*100)</f>
        <v>0.30826894131080329</v>
      </c>
      <c r="H53" s="15">
        <f>IF(OR(1458988.37669="",6887.91509="",5977.47261=""),"-",(6887.91509-5977.47261)/1458988.37669*100)</f>
        <v>6.2402312077736839E-2</v>
      </c>
      <c r="I53" s="13"/>
    </row>
    <row r="54" spans="1:9" ht="15.75" customHeight="1" x14ac:dyDescent="0.3">
      <c r="A54" s="13" t="s">
        <v>249</v>
      </c>
      <c r="B54" s="14" t="s">
        <v>158</v>
      </c>
      <c r="C54" s="10">
        <v>28003.128189999999</v>
      </c>
      <c r="D54" s="10">
        <f>IF(OR(31168.16672="",28003.12819=""),"-",28003.12819/31168.16672*100)</f>
        <v>89.845284907408242</v>
      </c>
      <c r="E54" s="15">
        <f>IF(31168.16672="","-",31168.16672/1458988.37669*100)</f>
        <v>2.1362861567623361</v>
      </c>
      <c r="F54" s="15">
        <f>IF(28003.12819="","-",28003.12819/1389017.92207*100)</f>
        <v>2.0160379319129311</v>
      </c>
      <c r="G54" s="15">
        <f>IF(OR(902994.52425="",27150.63703="",31168.16672=""),"-",(31168.16672-27150.63703)/902994.52425*100)</f>
        <v>0.44491185517839527</v>
      </c>
      <c r="H54" s="15">
        <f>IF(OR(1458988.37669="",28003.12819="",31168.16672=""),"-",(28003.12819-31168.16672)/1458988.37669*100)</f>
        <v>-0.21693377278169337</v>
      </c>
      <c r="I54" s="13"/>
    </row>
    <row r="55" spans="1:9" x14ac:dyDescent="0.3">
      <c r="A55" s="13" t="s">
        <v>250</v>
      </c>
      <c r="B55" s="14" t="s">
        <v>28</v>
      </c>
      <c r="C55" s="10">
        <v>39357.968070000003</v>
      </c>
      <c r="D55" s="10">
        <f>IF(OR(28646.6896="",39357.96807=""),"-",39357.96807/28646.6896*100)</f>
        <v>137.39098171399183</v>
      </c>
      <c r="E55" s="15">
        <f>IF(28646.6896="","-",28646.6896/1458988.37669*100)</f>
        <v>1.9634624961845555</v>
      </c>
      <c r="F55" s="15">
        <f>IF(39357.96807="","-",39357.96807/1389017.92207*100)</f>
        <v>2.8335104568950653</v>
      </c>
      <c r="G55" s="15">
        <f>IF(OR(902994.52425="",16958.40567="",28646.6896=""),"-",(28646.6896-16958.40567)/902994.52425*100)</f>
        <v>1.2943914515658814</v>
      </c>
      <c r="H55" s="15">
        <f>IF(OR(1458988.37669="",39357.96807="",28646.6896=""),"-",(39357.96807-28646.6896)/1458988.37669*100)</f>
        <v>0.73415790290945482</v>
      </c>
      <c r="I55" s="13"/>
    </row>
    <row r="56" spans="1:9" x14ac:dyDescent="0.3">
      <c r="A56" s="13" t="s">
        <v>251</v>
      </c>
      <c r="B56" s="14" t="s">
        <v>159</v>
      </c>
      <c r="C56" s="10">
        <v>3821.8052499999999</v>
      </c>
      <c r="D56" s="10">
        <f>IF(OR(3925.27608="",3821.80525=""),"-",3821.80525/3925.27608*100)</f>
        <v>97.363985923762073</v>
      </c>
      <c r="E56" s="15">
        <f>IF(3925.27608="","-",3925.27608/1458988.37669*100)</f>
        <v>0.26904094252657829</v>
      </c>
      <c r="F56" s="15">
        <f>IF(3821.80525="","-",3821.80525/1389017.92207*100)</f>
        <v>0.27514441601333051</v>
      </c>
      <c r="G56" s="15">
        <f>IF(OR(902994.52425="",2098.981="",3925.27608=""),"-",(3925.27608-2098.981)/902994.52425*100)</f>
        <v>0.20224874359197975</v>
      </c>
      <c r="H56" s="15">
        <f>IF(OR(1458988.37669="",3821.80525="",3925.27608=""),"-",(3821.80525-3925.27608)/1458988.37669*100)</f>
        <v>-7.0919571158437862E-3</v>
      </c>
      <c r="I56" s="13"/>
    </row>
    <row r="57" spans="1:9" x14ac:dyDescent="0.3">
      <c r="A57" s="13" t="s">
        <v>252</v>
      </c>
      <c r="B57" s="14" t="s">
        <v>29</v>
      </c>
      <c r="C57" s="10">
        <v>414.48509000000001</v>
      </c>
      <c r="D57" s="10">
        <f>IF(OR(1075.88883="",414.48509=""),"-",414.48509/1075.88883*100)</f>
        <v>38.52489945452821</v>
      </c>
      <c r="E57" s="15">
        <f>IF(1075.88883="","-",1075.88883/1458988.37669*100)</f>
        <v>7.3742111122287624E-2</v>
      </c>
      <c r="F57" s="15">
        <f>IF(414.48509="","-",414.48509/1389017.92207*100)</f>
        <v>2.9840154213583422E-2</v>
      </c>
      <c r="G57" s="15">
        <f>IF(OR(902994.52425="",506.27263="",1075.88883=""),"-",(1075.88883-506.27263)/902994.52425*100)</f>
        <v>6.3080803338548055E-2</v>
      </c>
      <c r="H57" s="15">
        <f>IF(OR(1458988.37669="",414.48509="",1075.88883=""),"-",(414.48509-1075.88883)/1458988.37669*100)</f>
        <v>-4.5333036956779843E-2</v>
      </c>
      <c r="I57" s="13"/>
    </row>
    <row r="58" spans="1:9" x14ac:dyDescent="0.3">
      <c r="A58" s="13" t="s">
        <v>253</v>
      </c>
      <c r="B58" s="14" t="s">
        <v>30</v>
      </c>
      <c r="C58" s="10">
        <v>10412.760340000001</v>
      </c>
      <c r="D58" s="10">
        <f>IF(OR(14589.33101="",10412.76034=""),"-",10412.76034/14589.33101*100)</f>
        <v>71.372431901522816</v>
      </c>
      <c r="E58" s="15">
        <f>IF(14589.33101="","-",14589.33101/1458988.37669*100)</f>
        <v>0.99996211368720744</v>
      </c>
      <c r="F58" s="15">
        <f>IF(10412.76034="","-",10412.76034/1389017.92207*100)</f>
        <v>0.74964909916225297</v>
      </c>
      <c r="G58" s="15">
        <f>IF(OR(902994.52425="",11560.26633="",14589.33101=""),"-",(14589.33101-11560.26633)/902994.52425*100)</f>
        <v>0.33544662770971384</v>
      </c>
      <c r="H58" s="15">
        <f>IF(OR(1458988.37669="",10412.76034="",14589.33101=""),"-",(10412.76034-14589.33101)/1458988.37669*100)</f>
        <v>-0.28626483505477712</v>
      </c>
      <c r="I58" s="11"/>
    </row>
    <row r="59" spans="1:9" ht="15" customHeight="1" x14ac:dyDescent="0.3">
      <c r="A59" s="11" t="s">
        <v>254</v>
      </c>
      <c r="B59" s="12" t="s">
        <v>160</v>
      </c>
      <c r="C59" s="9">
        <v>274658.27114000003</v>
      </c>
      <c r="D59" s="9">
        <f>IF(226607.81428="","-",274658.27114/226607.81428*100)</f>
        <v>121.20423649672918</v>
      </c>
      <c r="E59" s="16">
        <f>IF(226607.81428="","-",226607.81428/1458988.37669*100)</f>
        <v>15.531845071590226</v>
      </c>
      <c r="F59" s="16">
        <f>IF(274658.27114="","-",274658.27114/1389017.92207*100)</f>
        <v>19.77355848157001</v>
      </c>
      <c r="G59" s="16">
        <f>IF(902994.52425="","-",(226607.81428-235344.42195)/902994.52425*100)</f>
        <v>-0.96751502200485218</v>
      </c>
      <c r="H59" s="16">
        <f>IF(1458988.37669="","-",(274658.27114-226607.81428)/1458988.37669*100)</f>
        <v>3.2934091612855667</v>
      </c>
      <c r="I59" s="13"/>
    </row>
    <row r="60" spans="1:9" ht="26.4" x14ac:dyDescent="0.3">
      <c r="A60" s="13" t="s">
        <v>255</v>
      </c>
      <c r="B60" s="14" t="s">
        <v>161</v>
      </c>
      <c r="C60" s="10">
        <v>2628.4163600000002</v>
      </c>
      <c r="D60" s="10" t="s">
        <v>396</v>
      </c>
      <c r="E60" s="15">
        <f>IF(831.21139="","-",831.21139/1458988.37669*100)</f>
        <v>5.697176230325874E-2</v>
      </c>
      <c r="F60" s="15">
        <f>IF(2628.41636="","-",2628.41636/1389017.92207*100)</f>
        <v>0.18922839786566412</v>
      </c>
      <c r="G60" s="15">
        <f>IF(OR(902994.52425="",577.46747="",831.21139=""),"-",(831.21139-577.46747)/902994.52425*100)</f>
        <v>2.8100272281357634E-2</v>
      </c>
      <c r="H60" s="15">
        <f>IF(OR(1458988.37669="",2628.41636="",831.21139=""),"-",(2628.41636-831.21139)/1458988.37669*100)</f>
        <v>0.123181582438464</v>
      </c>
      <c r="I60" s="13"/>
    </row>
    <row r="61" spans="1:9" ht="26.4" x14ac:dyDescent="0.3">
      <c r="A61" s="13" t="s">
        <v>256</v>
      </c>
      <c r="B61" s="14" t="s">
        <v>162</v>
      </c>
      <c r="C61" s="10">
        <v>8483.2297999999992</v>
      </c>
      <c r="D61" s="10" t="s">
        <v>310</v>
      </c>
      <c r="E61" s="15">
        <f>IF(3458.23763="","-",3458.23763/1458988.37669*100)</f>
        <v>0.23702982732773289</v>
      </c>
      <c r="F61" s="15">
        <f>IF(8483.2298="","-",8483.2298/1389017.92207*100)</f>
        <v>0.61073580586762821</v>
      </c>
      <c r="G61" s="15">
        <f>IF(OR(902994.52425="",4772.01722="",3458.23763=""),"-",(3458.23763-4772.01722)/902994.52425*100)</f>
        <v>-0.14549142378146593</v>
      </c>
      <c r="H61" s="15">
        <f>IF(OR(1458988.37669="",8483.2298="",3458.23763=""),"-",(8483.2298-3458.23763)/1458988.37669*100)</f>
        <v>0.34441618934622192</v>
      </c>
      <c r="I61" s="13"/>
    </row>
    <row r="62" spans="1:9" ht="26.25" customHeight="1" x14ac:dyDescent="0.3">
      <c r="A62" s="13" t="s">
        <v>257</v>
      </c>
      <c r="B62" s="14" t="s">
        <v>163</v>
      </c>
      <c r="C62" s="10">
        <v>1453.6261099999999</v>
      </c>
      <c r="D62" s="10">
        <f>IF(OR(1233.27782="",1453.62611=""),"-",1453.62611/1233.27782*100)</f>
        <v>117.8668817704027</v>
      </c>
      <c r="E62" s="15">
        <f>IF(1233.27782="","-",1233.27782/1458988.37669*100)</f>
        <v>8.4529653539662297E-2</v>
      </c>
      <c r="F62" s="15">
        <f>IF(1453.62611="","-",1453.62611/1389017.92207*100)</f>
        <v>0.10465135740176174</v>
      </c>
      <c r="G62" s="15">
        <f>IF(OR(902994.52425="",1716.43941="",1233.27782=""),"-",(1233.27782-1716.43941)/902994.52425*100)</f>
        <v>-5.3506591349631864E-2</v>
      </c>
      <c r="H62" s="15">
        <f>IF(OR(1458988.37669="",1453.62611="",1233.27782=""),"-",(1453.62611-1233.27782)/1458988.37669*100)</f>
        <v>1.5102813258862488E-2</v>
      </c>
      <c r="I62" s="13"/>
    </row>
    <row r="63" spans="1:9" ht="39.6" x14ac:dyDescent="0.3">
      <c r="A63" s="13" t="s">
        <v>258</v>
      </c>
      <c r="B63" s="14" t="s">
        <v>164</v>
      </c>
      <c r="C63" s="10">
        <v>13510.805350000001</v>
      </c>
      <c r="D63" s="10">
        <f>IF(OR(9164.16434="",13510.80535=""),"-",13510.80535/9164.16434*100)</f>
        <v>147.43084965235357</v>
      </c>
      <c r="E63" s="15">
        <f>IF(9164.16434="","-",9164.16434/1458988.37669*100)</f>
        <v>0.62811770720138949</v>
      </c>
      <c r="F63" s="15">
        <f>IF(13510.80535="","-",13510.80535/1389017.92207*100)</f>
        <v>0.97268761873607545</v>
      </c>
      <c r="G63" s="15">
        <f>IF(OR(902994.52425="",8178.67601="",9164.16434=""),"-",(9164.16434-8178.67601)/902994.52425*100)</f>
        <v>0.10913558205887418</v>
      </c>
      <c r="H63" s="15">
        <f>IF(OR(1458988.37669="",13510.80535="",9164.16434=""),"-",(13510.80535-9164.16434)/1458988.37669*100)</f>
        <v>0.29792156534250153</v>
      </c>
      <c r="I63" s="13"/>
    </row>
    <row r="64" spans="1:9" ht="26.4" x14ac:dyDescent="0.3">
      <c r="A64" s="13" t="s">
        <v>259</v>
      </c>
      <c r="B64" s="14" t="s">
        <v>165</v>
      </c>
      <c r="C64" s="10">
        <v>3595.9146900000001</v>
      </c>
      <c r="D64" s="10" t="s">
        <v>323</v>
      </c>
      <c r="E64" s="15">
        <f>IF(850.55328="","-",850.55328/1458988.37669*100)</f>
        <v>5.8297467861234513E-2</v>
      </c>
      <c r="F64" s="15">
        <f>IF(3595.91469="","-",3595.91469/1389017.92207*100)</f>
        <v>0.2588818065530174</v>
      </c>
      <c r="G64" s="15">
        <f>IF(OR(902994.52425="",734.19133="",850.55328=""),"-",(850.55328-734.19133)/902994.52425*100)</f>
        <v>1.2886229857999049E-2</v>
      </c>
      <c r="H64" s="15">
        <f>IF(OR(1458988.37669="",3595.91469="",850.55328=""),"-",(3595.91469-850.55328)/1458988.37669*100)</f>
        <v>0.18816883354673383</v>
      </c>
      <c r="I64" s="13"/>
    </row>
    <row r="65" spans="1:9" ht="39.6" x14ac:dyDescent="0.3">
      <c r="A65" s="13" t="s">
        <v>260</v>
      </c>
      <c r="B65" s="14" t="s">
        <v>166</v>
      </c>
      <c r="C65" s="10">
        <v>1116.1662899999999</v>
      </c>
      <c r="D65" s="10" t="s">
        <v>196</v>
      </c>
      <c r="E65" s="15">
        <f>IF(604.63635="","-",604.63635/1458988.37669*100)</f>
        <v>4.14421636018606E-2</v>
      </c>
      <c r="F65" s="15">
        <f>IF(1116.16629="","-",1116.16629/1389017.92207*100)</f>
        <v>8.0356507447839121E-2</v>
      </c>
      <c r="G65" s="15">
        <f>IF(OR(902994.52425="",1049.89198="",604.63635=""),"-",(604.63635-1049.89198)/902994.52425*100)</f>
        <v>-4.9308785163433413E-2</v>
      </c>
      <c r="H65" s="15">
        <f>IF(OR(1458988.37669="",1116.16629="",604.63635=""),"-",(1116.16629-604.63635)/1458988.37669*100)</f>
        <v>3.5060590486711445E-2</v>
      </c>
      <c r="I65" s="13"/>
    </row>
    <row r="66" spans="1:9" ht="39.75" customHeight="1" x14ac:dyDescent="0.3">
      <c r="A66" s="13" t="s">
        <v>261</v>
      </c>
      <c r="B66" s="14" t="s">
        <v>167</v>
      </c>
      <c r="C66" s="10">
        <v>208204.07879999999</v>
      </c>
      <c r="D66" s="10">
        <f>IF(OR(178602.35174="",208204.0788=""),"-",208204.0788/178602.35174*J15100)</f>
        <v>0</v>
      </c>
      <c r="E66" s="15">
        <f>IF(178602.35174="","-",178602.35174/1458988.37669*100)</f>
        <v>12.241519849883542</v>
      </c>
      <c r="F66" s="15">
        <f>IF(208204.0788="","-",208204.0788/1389017.92207*100)</f>
        <v>14.989301109212574</v>
      </c>
      <c r="G66" s="15">
        <f>IF(OR(902994.52425="",201278.70255="",178602.35174=""),"-",(178602.35174-201278.70255)/902994.52425*100)</f>
        <v>-2.5112390165194265</v>
      </c>
      <c r="H66" s="15">
        <f>IF(OR(1458988.37669="",208204.0788="",178602.35174=""),"-",(208204.0788-178602.35174)/1458988.37669*100)</f>
        <v>2.0289213768211969</v>
      </c>
      <c r="I66" s="13"/>
    </row>
    <row r="67" spans="1:9" ht="26.4" x14ac:dyDescent="0.3">
      <c r="A67" s="13" t="s">
        <v>262</v>
      </c>
      <c r="B67" s="14" t="s">
        <v>168</v>
      </c>
      <c r="C67" s="10">
        <v>31564.191869999999</v>
      </c>
      <c r="D67" s="10">
        <f>IF(OR(31463.40196="",31564.19187=""),"-",31564.19187/31463.40196*100)</f>
        <v>100.32034015307096</v>
      </c>
      <c r="E67" s="15">
        <f>IF(31463.40196="","-",31463.40196/1458988.37669*100)</f>
        <v>2.1565217696511652</v>
      </c>
      <c r="F67" s="15">
        <f>IF(31564.19187="","-",31564.19187/1389017.92207*100)</f>
        <v>2.2724106988454906</v>
      </c>
      <c r="G67" s="15">
        <f>IF(OR(902994.52425="",16718.60251="",31463.40196=""),"-",(31463.40196-16718.60251)/902994.52425*100)</f>
        <v>1.6328780578427742</v>
      </c>
      <c r="H67" s="15">
        <f>IF(OR(1458988.37669="",31564.19187="",31463.40196=""),"-",(31564.19187-31463.40196)/1458988.37669*100)</f>
        <v>6.9082051379093989E-3</v>
      </c>
      <c r="I67" s="13"/>
    </row>
    <row r="68" spans="1:9" x14ac:dyDescent="0.3">
      <c r="A68" s="13" t="s">
        <v>263</v>
      </c>
      <c r="B68" s="14" t="s">
        <v>31</v>
      </c>
      <c r="C68" s="10">
        <v>4101.8418700000002</v>
      </c>
      <c r="D68" s="10" t="s">
        <v>398</v>
      </c>
      <c r="E68" s="15">
        <f>IF(399.97977="","-",399.97977/1458988.37669*100)</f>
        <v>2.741487022038052E-2</v>
      </c>
      <c r="F68" s="15">
        <f>IF(4101.84187="","-",4101.84187/1389017.92207*100)</f>
        <v>0.29530517963995617</v>
      </c>
      <c r="G68" s="15">
        <f>IF(OR(902994.52425="",318.43347="",399.97977=""),"-",(399.97977-318.43347)/902994.52425*100)</f>
        <v>9.0306527681028696E-3</v>
      </c>
      <c r="H68" s="15">
        <f>IF(OR(1458988.37669="",4101.84187="",399.97977=""),"-",(4101.84187-399.97977)/1458988.37669*100)</f>
        <v>0.25372800490696146</v>
      </c>
      <c r="I68" s="11"/>
    </row>
    <row r="69" spans="1:9" x14ac:dyDescent="0.3">
      <c r="A69" s="11" t="s">
        <v>264</v>
      </c>
      <c r="B69" s="12" t="s">
        <v>32</v>
      </c>
      <c r="C69" s="9">
        <f>IF(200917.34355="","-",200917.34355)</f>
        <v>200917.34354999999</v>
      </c>
      <c r="D69" s="9">
        <f>IF(204146.03798="","-",200917.34355/204146.03798*100)</f>
        <v>98.418438848019036</v>
      </c>
      <c r="E69" s="16">
        <f>IF(204146.03798="","-",204146.03798/1458988.37669*100)</f>
        <v>13.992300503664405</v>
      </c>
      <c r="F69" s="16">
        <f>IF(200917.34355="","-",200917.34355/1389017.92207*100)</f>
        <v>14.464704908240536</v>
      </c>
      <c r="G69" s="16">
        <f>IF(902994.52425="","-",(204146.03798-191928.27855)/902994.52425*100)</f>
        <v>1.3530269677047828</v>
      </c>
      <c r="H69" s="16">
        <f>IF(1458988.37669="","-",(200917.34355-204146.03798)/1458988.37669*100)</f>
        <v>-0.22129678903439429</v>
      </c>
      <c r="I69" s="13"/>
    </row>
    <row r="70" spans="1:9" ht="39.6" x14ac:dyDescent="0.3">
      <c r="A70" s="13" t="s">
        <v>265</v>
      </c>
      <c r="B70" s="14" t="s">
        <v>194</v>
      </c>
      <c r="C70" s="10">
        <v>5051.6582200000003</v>
      </c>
      <c r="D70" s="10">
        <f>IF(OR(5879.9939="",5051.65822=""),"-",5051.65822/5879.9939*100)</f>
        <v>85.912643888967295</v>
      </c>
      <c r="E70" s="15">
        <f>IF(5879.9939="","-",5879.9939/1458988.37669*100)</f>
        <v>0.40301855682633431</v>
      </c>
      <c r="F70" s="15">
        <f>IF(5051.65822="","-",5051.65822/1389017.92207*100)</f>
        <v>0.36368560403250288</v>
      </c>
      <c r="G70" s="15">
        <f>IF(OR(902994.52425="",5831.90505="",5879.9939=""),"-",(5879.9939-5831.90505)/902994.52425*100)</f>
        <v>5.3254863355834013E-3</v>
      </c>
      <c r="H70" s="15">
        <f>IF(OR(1458988.37669="",5051.65822="",5879.9939=""),"-",(5051.65822-5879.9939)/1458988.37669*100)</f>
        <v>-5.6774659293670413E-2</v>
      </c>
      <c r="I70" s="13"/>
    </row>
    <row r="71" spans="1:9" x14ac:dyDescent="0.3">
      <c r="A71" s="13" t="s">
        <v>266</v>
      </c>
      <c r="B71" s="14" t="s">
        <v>169</v>
      </c>
      <c r="C71" s="10">
        <v>48165.084199999998</v>
      </c>
      <c r="D71" s="10">
        <f>IF(OR(51685.91791="",48165.0842=""),"-",48165.0842/51685.91791*100)</f>
        <v>93.188021317274888</v>
      </c>
      <c r="E71" s="15">
        <f>IF(51685.91791="","-",51685.91791/1458988.37669*100)</f>
        <v>3.5425859955964549</v>
      </c>
      <c r="F71" s="15">
        <f>IF(48165.0842="","-",48165.0842/1389017.92207*100)</f>
        <v>3.4675639122223432</v>
      </c>
      <c r="G71" s="15">
        <f>IF(OR(902994.52425="",57248.36406="",51685.91791=""),"-",(51685.91791-57248.36406)/902994.52425*100)</f>
        <v>-0.6159999867795436</v>
      </c>
      <c r="H71" s="15">
        <f>IF(OR(1458988.37669="",48165.0842="",51685.91791=""),"-",(48165.0842-51685.91791)/1458988.37669*100)</f>
        <v>-0.24132020283723557</v>
      </c>
      <c r="I71" s="13"/>
    </row>
    <row r="72" spans="1:9" x14ac:dyDescent="0.3">
      <c r="A72" s="13" t="s">
        <v>267</v>
      </c>
      <c r="B72" s="14" t="s">
        <v>170</v>
      </c>
      <c r="C72" s="10">
        <v>4740.5617000000002</v>
      </c>
      <c r="D72" s="10">
        <f>IF(OR(5075.87834="",4740.5617=""),"-",4740.5617/5075.87834*100)</f>
        <v>93.393918893651033</v>
      </c>
      <c r="E72" s="15">
        <f>IF(5075.87834="","-",5075.87834/1458988.37669*100)</f>
        <v>0.34790396010663366</v>
      </c>
      <c r="F72" s="15">
        <f>IF(4740.5617="","-",4740.5617/1389017.92207*100)</f>
        <v>0.34128873534873638</v>
      </c>
      <c r="G72" s="15">
        <f>IF(OR(902994.52425="",4997.52629="",5075.87834=""),"-",(5075.87834-4997.52629)/902994.52425*100)</f>
        <v>8.6769130815136739E-3</v>
      </c>
      <c r="H72" s="15">
        <f>IF(OR(1458988.37669="",4740.5617="",5075.87834=""),"-",(4740.5617-5075.87834)/1458988.37669*100)</f>
        <v>-2.2982817776844203E-2</v>
      </c>
      <c r="I72" s="13"/>
    </row>
    <row r="73" spans="1:9" x14ac:dyDescent="0.3">
      <c r="A73" s="13" t="s">
        <v>268</v>
      </c>
      <c r="B73" s="14" t="s">
        <v>171</v>
      </c>
      <c r="C73" s="10">
        <v>93990.093980000005</v>
      </c>
      <c r="D73" s="10">
        <f>IF(OR(95997.96299="",93990.09398=""),"-",93990.09398/95997.96299*100)</f>
        <v>97.9084254004336</v>
      </c>
      <c r="E73" s="15">
        <f>IF(95997.96299="","-",95997.96299/1458988.37669*100)</f>
        <v>6.5797620134431858</v>
      </c>
      <c r="F73" s="15">
        <f>IF(93990.09398="","-",93990.09398/1389017.92207*100)</f>
        <v>6.7666581176958589</v>
      </c>
      <c r="G73" s="15">
        <f>IF(OR(902994.52425="",82788.86103="",95997.96299=""),"-",(95997.96299-82788.86103)/902994.52425*100)</f>
        <v>1.4628108593428162</v>
      </c>
      <c r="H73" s="15">
        <f>IF(OR(1458988.37669="",93990.09398="",95997.96299=""),"-",(93990.09398-95997.96299)/1458988.37669*100)</f>
        <v>-0.13762063098509653</v>
      </c>
      <c r="I73" s="13"/>
    </row>
    <row r="74" spans="1:9" x14ac:dyDescent="0.3">
      <c r="A74" s="13" t="s">
        <v>269</v>
      </c>
      <c r="B74" s="14" t="s">
        <v>172</v>
      </c>
      <c r="C74" s="10">
        <v>10778.321330000001</v>
      </c>
      <c r="D74" s="10">
        <f>IF(OR(13406.59248="",10778.32133=""),"-",10778.32133/13406.59248*100)</f>
        <v>80.395681050790031</v>
      </c>
      <c r="E74" s="15">
        <f>IF(13406.59248="","-",13406.59248/1458988.37669*100)</f>
        <v>0.91889645553006183</v>
      </c>
      <c r="F74" s="15">
        <f>IF(10778.32133="","-",10778.32133/1389017.92207*100)</f>
        <v>0.77596704540265993</v>
      </c>
      <c r="G74" s="15">
        <f>IF(OR(902994.52425="",11797.00642="",13406.59248=""),"-",(13406.59248-11797.00642)/902994.52425*100)</f>
        <v>0.1782498140104308</v>
      </c>
      <c r="H74" s="15">
        <f>IF(OR(1458988.37669="",10778.32133="",13406.59248=""),"-",(10778.32133-13406.59248)/1458988.37669*100)</f>
        <v>-0.18014339195509871</v>
      </c>
      <c r="I74" s="13"/>
    </row>
    <row r="75" spans="1:9" ht="26.4" x14ac:dyDescent="0.3">
      <c r="A75" s="13" t="s">
        <v>270</v>
      </c>
      <c r="B75" s="14" t="s">
        <v>331</v>
      </c>
      <c r="C75" s="10">
        <v>8103.4406099999997</v>
      </c>
      <c r="D75" s="10" t="s">
        <v>100</v>
      </c>
      <c r="E75" s="15">
        <f>IF(5012.73292="","-",5012.73292/1458988.37669*100)</f>
        <v>0.34357593248085799</v>
      </c>
      <c r="F75" s="15">
        <f>IF(8103.44061="","-",8103.44061/1389017.92207*100)</f>
        <v>0.5833935243919498</v>
      </c>
      <c r="G75" s="15">
        <f>IF(OR(902994.52425="",8804.50125="",5012.73292=""),"-",(5012.73292-8804.50125)/902994.52425*100)</f>
        <v>-0.41991044554221718</v>
      </c>
      <c r="H75" s="15">
        <f>IF(OR(1458988.37669="",8103.44061="",5012.73292=""),"-",(8103.44061-5012.73292)/1458988.37669*100)</f>
        <v>0.21183908928814588</v>
      </c>
      <c r="I75" s="13"/>
    </row>
    <row r="76" spans="1:9" ht="26.4" x14ac:dyDescent="0.3">
      <c r="A76" s="13" t="s">
        <v>271</v>
      </c>
      <c r="B76" s="14" t="s">
        <v>173</v>
      </c>
      <c r="C76" s="10">
        <v>2178.5138400000001</v>
      </c>
      <c r="D76" s="10">
        <f>IF(OR(1470.92606="",2178.51384=""),"-",2178.51384/1470.92606*100)</f>
        <v>148.10491833967507</v>
      </c>
      <c r="E76" s="15">
        <f>IF(1470.92606="","-",1470.92606/1458988.37669*100)</f>
        <v>0.10081821647798751</v>
      </c>
      <c r="F76" s="15">
        <f>IF(2178.51384="","-",2178.51384/1389017.92207*100)</f>
        <v>0.15683842558009942</v>
      </c>
      <c r="G76" s="15">
        <f>IF(OR(902994.52425="",1002.855="",1470.92606=""),"-",(1470.92606-1002.855)/902994.52425*100)</f>
        <v>5.1835426177004311E-2</v>
      </c>
      <c r="H76" s="15">
        <f>IF(OR(1458988.37669="",2178.51384="",1470.92606=""),"-",(2178.51384-1470.92606)/1458988.37669*100)</f>
        <v>4.8498520708252738E-2</v>
      </c>
      <c r="I76" s="13"/>
    </row>
    <row r="77" spans="1:9" x14ac:dyDescent="0.3">
      <c r="A77" s="13" t="s">
        <v>272</v>
      </c>
      <c r="B77" s="14" t="s">
        <v>33</v>
      </c>
      <c r="C77" s="10">
        <f>IF(27909.66967="","-",27909.66967)</f>
        <v>27909.669669999999</v>
      </c>
      <c r="D77" s="10">
        <f>IF(OR(25616.03338="",27909.66967=""),"-",27909.66967/25616.03338*100)</f>
        <v>108.95390888969867</v>
      </c>
      <c r="E77" s="15">
        <f>IF(25616.03338="","-",25616.03338/1458988.37669*100)</f>
        <v>1.7557393732028883</v>
      </c>
      <c r="F77" s="15">
        <f>IF(27909.66967="","-",27909.66967/1389017.92207*100)</f>
        <v>2.0093095435663848</v>
      </c>
      <c r="G77" s="15">
        <f>IF(OR(902994.52425="",19457.25945="",25616.03338=""),"-",(25616.03338-19457.25945)/902994.52425*100)</f>
        <v>0.68203890107919429</v>
      </c>
      <c r="H77" s="15">
        <f>IF(OR(1458988.37669="",27909.66967="",25616.03338=""),"-",(27909.66967-25616.03338)/1458988.37669*100)</f>
        <v>0.15720730381715312</v>
      </c>
      <c r="I77" s="13"/>
    </row>
    <row r="78" spans="1:9" ht="26.4" x14ac:dyDescent="0.3">
      <c r="A78" s="59" t="s">
        <v>275</v>
      </c>
      <c r="B78" s="56" t="s">
        <v>174</v>
      </c>
      <c r="C78" s="57">
        <v>3422.1708800000001</v>
      </c>
      <c r="D78" s="57" t="s">
        <v>308</v>
      </c>
      <c r="E78" s="58">
        <f>IF(1318.37535="","-",1318.37535/1458988.37669*100)</f>
        <v>9.0362292877959174E-2</v>
      </c>
      <c r="F78" s="58">
        <f>IF(3422.17088="","-",3422.17088/1392073.71431*100)</f>
        <v>0.24583259096277421</v>
      </c>
      <c r="G78" s="58" t="s">
        <v>318</v>
      </c>
      <c r="H78" s="58">
        <f>IF(1458988.37669="","-",(3422.17088-1318.37535)/1458988.37669*100)</f>
        <v>0.1441954962501395</v>
      </c>
      <c r="I78" s="13"/>
    </row>
    <row r="79" spans="1:9" x14ac:dyDescent="0.3">
      <c r="A79" s="19" t="s">
        <v>278</v>
      </c>
      <c r="B79" s="20"/>
    </row>
    <row r="80" spans="1:9" x14ac:dyDescent="0.3">
      <c r="A80" s="20" t="s">
        <v>324</v>
      </c>
      <c r="B80" s="20"/>
    </row>
  </sheetData>
  <mergeCells count="8">
    <mergeCell ref="B1:H1"/>
    <mergeCell ref="B2:H2"/>
    <mergeCell ref="A4:A5"/>
    <mergeCell ref="B4:B5"/>
    <mergeCell ref="C4:D4"/>
    <mergeCell ref="E4:F4"/>
    <mergeCell ref="G4:H4"/>
    <mergeCell ref="A3:H3"/>
  </mergeCells>
  <pageMargins left="0.59055118110236227" right="0.39370078740157483" top="0.39370078740157483" bottom="0.39370078740157483" header="0.11811023622047245" footer="0.11811023622047245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F0"/>
  </sheetPr>
  <dimension ref="A1:I80"/>
  <sheetViews>
    <sheetView zoomScaleNormal="100" workbookViewId="0">
      <selection activeCell="B1" sqref="B1:H1"/>
    </sheetView>
  </sheetViews>
  <sheetFormatPr defaultRowHeight="15.6" x14ac:dyDescent="0.3"/>
  <cols>
    <col min="1" max="1" width="5.19921875" customWidth="1"/>
    <col min="2" max="2" width="26.69921875" customWidth="1"/>
    <col min="3" max="3" width="11.3984375" customWidth="1"/>
    <col min="4" max="4" width="10.3984375" customWidth="1"/>
    <col min="5" max="5" width="7.8984375" customWidth="1"/>
    <col min="6" max="6" width="8.09765625" customWidth="1"/>
    <col min="7" max="8" width="8.5" customWidth="1"/>
  </cols>
  <sheetData>
    <row r="1" spans="1:9" ht="16.2" x14ac:dyDescent="0.35">
      <c r="B1" s="83" t="s">
        <v>128</v>
      </c>
      <c r="C1" s="83"/>
      <c r="D1" s="83"/>
      <c r="E1" s="83"/>
      <c r="F1" s="83"/>
      <c r="G1" s="83"/>
      <c r="H1" s="83"/>
    </row>
    <row r="2" spans="1:9" ht="16.2" x14ac:dyDescent="0.35">
      <c r="B2" s="83" t="s">
        <v>277</v>
      </c>
      <c r="C2" s="83"/>
      <c r="D2" s="83"/>
      <c r="E2" s="83"/>
      <c r="F2" s="83"/>
      <c r="G2" s="83"/>
      <c r="H2" s="83"/>
    </row>
    <row r="3" spans="1:9" x14ac:dyDescent="0.3">
      <c r="A3" s="93"/>
      <c r="B3" s="93"/>
      <c r="C3" s="93"/>
      <c r="D3" s="93"/>
      <c r="E3" s="93"/>
      <c r="F3" s="93"/>
      <c r="G3" s="93"/>
      <c r="H3" s="93"/>
    </row>
    <row r="4" spans="1:9" ht="62.25" customHeight="1" x14ac:dyDescent="0.3">
      <c r="A4" s="87" t="s">
        <v>203</v>
      </c>
      <c r="B4" s="89"/>
      <c r="C4" s="76" t="s">
        <v>352</v>
      </c>
      <c r="D4" s="77"/>
      <c r="E4" s="78" t="s">
        <v>0</v>
      </c>
      <c r="F4" s="79"/>
      <c r="G4" s="91" t="s">
        <v>112</v>
      </c>
      <c r="H4" s="92"/>
    </row>
    <row r="5" spans="1:9" ht="57" customHeight="1" x14ac:dyDescent="0.3">
      <c r="A5" s="88"/>
      <c r="B5" s="90"/>
      <c r="C5" s="42" t="s">
        <v>95</v>
      </c>
      <c r="D5" s="41" t="s">
        <v>353</v>
      </c>
      <c r="E5" s="42" t="s">
        <v>354</v>
      </c>
      <c r="F5" s="42" t="s">
        <v>355</v>
      </c>
      <c r="G5" s="42" t="s">
        <v>364</v>
      </c>
      <c r="H5" s="40" t="s">
        <v>365</v>
      </c>
    </row>
    <row r="6" spans="1:9" x14ac:dyDescent="0.3">
      <c r="A6" s="63"/>
      <c r="B6" s="54" t="s">
        <v>116</v>
      </c>
      <c r="C6" s="55">
        <v>2997495.3467600001</v>
      </c>
      <c r="D6" s="55">
        <f>IF(2809489.71283="","-",2997495.34676/2809489.71283*100)</f>
        <v>106.69180716595761</v>
      </c>
      <c r="E6" s="51">
        <v>100</v>
      </c>
      <c r="F6" s="51">
        <v>100</v>
      </c>
      <c r="G6" s="51">
        <f>IF(2113068.17363="","-",(2809489.71283-2113068.17363)/2113068.17363*100)</f>
        <v>32.957835809132014</v>
      </c>
      <c r="H6" s="51">
        <f>IF(2809489.71283="","-",(2997495.34676-2809489.71283)/2809489.71283*100)</f>
        <v>6.6918071659576164</v>
      </c>
      <c r="I6" s="8"/>
    </row>
    <row r="7" spans="1:9" ht="13.5" customHeight="1" x14ac:dyDescent="0.3">
      <c r="A7" s="11" t="s">
        <v>204</v>
      </c>
      <c r="B7" s="12" t="s">
        <v>175</v>
      </c>
      <c r="C7" s="9">
        <v>332586.62472999998</v>
      </c>
      <c r="D7" s="9">
        <f>IF(318607.38072="","-",332586.62473/318607.38072*100)</f>
        <v>104.38760834052532</v>
      </c>
      <c r="E7" s="16">
        <f>IF(318607.38072="","-",318607.38072/2809489.71283*100)</f>
        <v>11.34040033195447</v>
      </c>
      <c r="F7" s="16">
        <f>IF(332586.62473="","-",332586.62473/2997495.34676*100)</f>
        <v>11.095484271209751</v>
      </c>
      <c r="G7" s="16">
        <f>IF(2113068.17363="","-",(318607.38072-262485.98645)/2113068.17363*100)</f>
        <v>2.6559197176109137</v>
      </c>
      <c r="H7" s="16">
        <f>IF(2809489.71283="","-",(332586.62473-318607.38072)/2809489.71283*100)</f>
        <v>0.49757235081379486</v>
      </c>
    </row>
    <row r="8" spans="1:9" x14ac:dyDescent="0.3">
      <c r="A8" s="13" t="s">
        <v>205</v>
      </c>
      <c r="B8" s="14" t="s">
        <v>21</v>
      </c>
      <c r="C8" s="10">
        <v>2605.1201999999998</v>
      </c>
      <c r="D8" s="10">
        <f>IF(OR(2162.99356="",2605.1202=""),"-",2605.1202/2162.99356*100)</f>
        <v>120.44049728932156</v>
      </c>
      <c r="E8" s="15">
        <f>IF(2162.99356="","-",2162.99356/2809489.71283*100)</f>
        <v>7.6988840718025475E-2</v>
      </c>
      <c r="F8" s="15">
        <f>IF(2605.1202="","-",2605.1202/2997495.34676*100)</f>
        <v>8.6909899720641115E-2</v>
      </c>
      <c r="G8" s="15">
        <f>IF(OR(2113068.17363="",1551.79807="",2162.99356=""),"-",(2162.99356-1551.79807)/2113068.17363*100)</f>
        <v>2.8924551400063853E-2</v>
      </c>
      <c r="H8" s="15">
        <f>IF(OR(2809489.71283="",2605.1202="",2162.99356=""),"-",(2605.1202-2162.99356)/2809489.71283*100)</f>
        <v>1.5736901900048089E-2</v>
      </c>
    </row>
    <row r="9" spans="1:9" x14ac:dyDescent="0.3">
      <c r="A9" s="13" t="s">
        <v>206</v>
      </c>
      <c r="B9" s="14" t="s">
        <v>176</v>
      </c>
      <c r="C9" s="10">
        <v>21557.53757</v>
      </c>
      <c r="D9" s="10">
        <f>IF(OR(33145.462="",21557.53757=""),"-",21557.53757/33145.462*100)</f>
        <v>65.039182648894752</v>
      </c>
      <c r="E9" s="15">
        <f>IF(33145.462="","-",33145.462/2809489.71283*100)</f>
        <v>1.1797680499998189</v>
      </c>
      <c r="F9" s="15">
        <f>IF(21557.53757="","-",21557.53757/2997495.34676*100)</f>
        <v>0.71918502203186385</v>
      </c>
      <c r="G9" s="15">
        <f>IF(OR(2113068.17363="",17044.12298="",33145.462=""),"-",(33145.462-17044.12298)/2113068.17363*100)</f>
        <v>0.761988620193915</v>
      </c>
      <c r="H9" s="15">
        <f>IF(OR(2809489.71283="",21557.53757="",33145.462=""),"-",(21557.53757-33145.462)/2809489.71283*100)</f>
        <v>-0.41245655312713275</v>
      </c>
    </row>
    <row r="10" spans="1:9" s="2" customFormat="1" x14ac:dyDescent="0.3">
      <c r="A10" s="13" t="s">
        <v>207</v>
      </c>
      <c r="B10" s="14" t="s">
        <v>177</v>
      </c>
      <c r="C10" s="10">
        <v>41122.83251</v>
      </c>
      <c r="D10" s="10">
        <f>IF(OR(39688.41711="",41122.83251=""),"-",41122.83251/39688.41711*100)</f>
        <v>103.61419150586022</v>
      </c>
      <c r="E10" s="15">
        <f>IF(39688.41711="","-",39688.41711/2809489.71283*100)</f>
        <v>1.4126557192488114</v>
      </c>
      <c r="F10" s="15">
        <f>IF(41122.83251="","-",41122.83251/2997495.34676*100)</f>
        <v>1.3719064669925098</v>
      </c>
      <c r="G10" s="15">
        <f>IF(OR(2113068.17363="",30401.71674="",39688.41711=""),"-",(39688.41711-30401.71674)/2113068.17363*100)</f>
        <v>0.43948891407732266</v>
      </c>
      <c r="H10" s="15">
        <f>IF(OR(2809489.71283="",41122.83251="",39688.41711=""),"-",(41122.83251-39688.41711)/2809489.71283*100)</f>
        <v>5.1056083012139271E-2</v>
      </c>
    </row>
    <row r="11" spans="1:9" s="2" customFormat="1" x14ac:dyDescent="0.3">
      <c r="A11" s="13" t="s">
        <v>208</v>
      </c>
      <c r="B11" s="14" t="s">
        <v>178</v>
      </c>
      <c r="C11" s="10">
        <v>28109.816030000002</v>
      </c>
      <c r="D11" s="10">
        <f>IF(OR(25749.26867="",28109.81603=""),"-",28109.81603/25749.26867*100)</f>
        <v>109.1674345794148</v>
      </c>
      <c r="E11" s="15">
        <f>IF(25749.26867="","-",25749.26867/2809489.71283*100)</f>
        <v>0.91651051621266677</v>
      </c>
      <c r="F11" s="15">
        <f>IF(28109.81603="","-",28109.81603/2997495.34676*100)</f>
        <v>0.93777680290259569</v>
      </c>
      <c r="G11" s="15">
        <f>IF(OR(2113068.17363="",22776.68978="",25749.26867=""),"-",(25749.26867-22776.68978)/2113068.17363*100)</f>
        <v>0.14067595769489363</v>
      </c>
      <c r="H11" s="15">
        <f>IF(OR(2809489.71283="",28109.81603="",25749.26867=""),"-",(28109.81603-25749.26867)/2809489.71283*100)</f>
        <v>8.4020501987253055E-2</v>
      </c>
    </row>
    <row r="12" spans="1:9" s="2" customFormat="1" ht="26.4" x14ac:dyDescent="0.3">
      <c r="A12" s="13" t="s">
        <v>209</v>
      </c>
      <c r="B12" s="14" t="s">
        <v>179</v>
      </c>
      <c r="C12" s="10">
        <v>61129.066590000002</v>
      </c>
      <c r="D12" s="10">
        <f>IF(OR(57748.70281="",61129.06659=""),"-",61129.06659/57748.70281*100)</f>
        <v>105.85357525886216</v>
      </c>
      <c r="E12" s="15">
        <f>IF(57748.70281="","-",57748.70281/2809489.71283*100)</f>
        <v>2.0554872490289244</v>
      </c>
      <c r="F12" s="15">
        <f>IF(61129.06659="","-",61129.06659/2997495.34676*100)</f>
        <v>2.0393381646471798</v>
      </c>
      <c r="G12" s="15">
        <f>IF(OR(2113068.17363="",43275.51191="",57748.70281=""),"-",(57748.70281-43275.51191)/2113068.17363*100)</f>
        <v>0.68493724341779183</v>
      </c>
      <c r="H12" s="15">
        <f>IF(OR(2809489.71283="",61129.06659="",57748.70281=""),"-",(61129.06659-57748.70281)/2809489.71283*100)</f>
        <v>0.12031949305822366</v>
      </c>
    </row>
    <row r="13" spans="1:9" s="2" customFormat="1" x14ac:dyDescent="0.3">
      <c r="A13" s="13" t="s">
        <v>210</v>
      </c>
      <c r="B13" s="14" t="s">
        <v>180</v>
      </c>
      <c r="C13" s="10">
        <v>85910.531709999996</v>
      </c>
      <c r="D13" s="10">
        <f>IF(OR(75619.13879="",85910.53171=""),"-",85910.53171/75619.13879*100)</f>
        <v>113.60950823386122</v>
      </c>
      <c r="E13" s="15">
        <f>IF(75619.13879="","-",75619.13879/2809489.71283*100)</f>
        <v>2.6915613338846791</v>
      </c>
      <c r="F13" s="15">
        <f>IF(85910.53171="","-",85910.53171/2997495.34676*100)</f>
        <v>2.8660772335430278</v>
      </c>
      <c r="G13" s="15">
        <f>IF(OR(2113068.17363="",71563.00804="",75619.13879=""),"-",(75619.13879-71563.00804)/2113068.17363*100)</f>
        <v>0.19195456164729632</v>
      </c>
      <c r="H13" s="15">
        <f>IF(OR(2809489.71283="",85910.53171="",75619.13879=""),"-",(85910.53171-75619.13879)/2809489.71283*100)</f>
        <v>0.36630826135446048</v>
      </c>
    </row>
    <row r="14" spans="1:9" s="2" customFormat="1" ht="26.4" x14ac:dyDescent="0.3">
      <c r="A14" s="13" t="s">
        <v>211</v>
      </c>
      <c r="B14" s="14" t="s">
        <v>138</v>
      </c>
      <c r="C14" s="10">
        <v>11296.043820000001</v>
      </c>
      <c r="D14" s="10">
        <f>IF(OR(7543.44686="",11296.04382=""),"-",11296.04382/7543.44686*100)</f>
        <v>149.74644919815873</v>
      </c>
      <c r="E14" s="15">
        <f>IF(7543.44686="","-",7543.44686/2809489.71283*100)</f>
        <v>0.26849882473502573</v>
      </c>
      <c r="F14" s="15">
        <f>IF(11296.04382="","-",11296.04382/2997495.34676*100)</f>
        <v>0.37684941970668684</v>
      </c>
      <c r="G14" s="15">
        <f>IF(OR(2113068.17363="",7537.9026="",7543.44686=""),"-",(7543.44686-7537.9026)/2113068.17363*100)</f>
        <v>2.6237960843806038E-4</v>
      </c>
      <c r="H14" s="15">
        <f>IF(OR(2809489.71283="",11296.04382="",7543.44686=""),"-",(11296.04382-7543.44686)/2809489.71283*100)</f>
        <v>0.13356863144446285</v>
      </c>
    </row>
    <row r="15" spans="1:9" s="2" customFormat="1" ht="26.4" x14ac:dyDescent="0.3">
      <c r="A15" s="13" t="s">
        <v>212</v>
      </c>
      <c r="B15" s="14" t="s">
        <v>181</v>
      </c>
      <c r="C15" s="10">
        <v>25196.106820000001</v>
      </c>
      <c r="D15" s="10">
        <f>IF(OR(21381.15006="",25196.10682=""),"-",25196.10682/21381.15006*100)</f>
        <v>117.84261720858996</v>
      </c>
      <c r="E15" s="15">
        <f>IF(21381.15006="","-",21381.15006/2809489.71283*100)</f>
        <v>0.76103322117035832</v>
      </c>
      <c r="F15" s="15">
        <f>IF(25196.10682="","-",25196.10682/2997495.34676*100)</f>
        <v>0.84057200780093055</v>
      </c>
      <c r="G15" s="15">
        <f>IF(OR(2113068.17363="",20270.07411="",21381.15006=""),"-",(21381.15006-20270.07411)/2113068.17363*100)</f>
        <v>5.258116912012839E-2</v>
      </c>
      <c r="H15" s="15">
        <f>IF(OR(2809489.71283="",25196.10682="",21381.15006=""),"-",(25196.10682-21381.15006)/2809489.71283*100)</f>
        <v>0.13578824448362881</v>
      </c>
    </row>
    <row r="16" spans="1:9" s="2" customFormat="1" ht="26.4" x14ac:dyDescent="0.3">
      <c r="A16" s="13" t="s">
        <v>213</v>
      </c>
      <c r="B16" s="14" t="s">
        <v>139</v>
      </c>
      <c r="C16" s="10">
        <v>17285.695390000001</v>
      </c>
      <c r="D16" s="10">
        <f>IF(OR(17463.40654="",17285.69539=""),"-",17285.69539/17463.40654*100)</f>
        <v>98.982379814654436</v>
      </c>
      <c r="E16" s="15">
        <f>IF(17463.40654="","-",17463.40654/2809489.71283*100)</f>
        <v>0.62158642048947399</v>
      </c>
      <c r="F16" s="15">
        <f>IF(17285.69539="","-",17285.69539/2997495.34676*100)</f>
        <v>0.57667130021349833</v>
      </c>
      <c r="G16" s="15">
        <f>IF(OR(2113068.17363="",15467.04192="",17463.40654=""),"-",(17463.40654-15467.04192)/2113068.17363*100)</f>
        <v>9.4477056865159392E-2</v>
      </c>
      <c r="H16" s="15">
        <f>IF(OR(2809489.71283="",17285.69539="",17463.40654=""),"-",(17285.69539-17463.40654)/2809489.71283*100)</f>
        <v>-6.3253888842679075E-3</v>
      </c>
    </row>
    <row r="17" spans="1:8" s="2" customFormat="1" ht="16.5" customHeight="1" x14ac:dyDescent="0.3">
      <c r="A17" s="13" t="s">
        <v>214</v>
      </c>
      <c r="B17" s="14" t="s">
        <v>182</v>
      </c>
      <c r="C17" s="10">
        <v>38373.874089999998</v>
      </c>
      <c r="D17" s="10">
        <f>IF(OR(38105.39432="",38373.87409=""),"-",38373.87409/38105.39432*100)</f>
        <v>100.70457155683883</v>
      </c>
      <c r="E17" s="15">
        <f>IF(38105.39432="","-",38105.39432/2809489.71283*100)</f>
        <v>1.3563101564666853</v>
      </c>
      <c r="F17" s="15">
        <f>IF(38373.87409="","-",38373.87409/2997495.34676*100)</f>
        <v>1.2801979536508175</v>
      </c>
      <c r="G17" s="15">
        <f>IF(OR(2113068.17363="",32598.1203="",38105.39432=""),"-",(38105.39432-32598.1203)/2113068.17363*100)</f>
        <v>0.26062926358590494</v>
      </c>
      <c r="H17" s="15">
        <f>IF(OR(2809489.71283="",38373.87409="",38105.39432=""),"-",(38373.87409-38105.39432)/2809489.71283*100)</f>
        <v>9.55617558498046E-3</v>
      </c>
    </row>
    <row r="18" spans="1:8" s="2" customFormat="1" x14ac:dyDescent="0.3">
      <c r="A18" s="11" t="s">
        <v>215</v>
      </c>
      <c r="B18" s="12" t="s">
        <v>183</v>
      </c>
      <c r="C18" s="9">
        <v>38060.721519999999</v>
      </c>
      <c r="D18" s="9">
        <f>IF(31087.90511="","-",38060.72152/31087.90511*100)</f>
        <v>122.42935439145131</v>
      </c>
      <c r="E18" s="16">
        <f>IF(31087.90511="","-",31087.90511/2809489.71283*100)</f>
        <v>1.1065320854542351</v>
      </c>
      <c r="F18" s="16">
        <f>IF(38060.72152="","-",38060.72152/2997495.34676*100)</f>
        <v>1.269750812495503</v>
      </c>
      <c r="G18" s="16">
        <f>IF(2113068.17363="","-",(31087.90511-33847.67925)/2113068.17363*100)</f>
        <v>-0.13060506870722666</v>
      </c>
      <c r="H18" s="16">
        <f>IF(2809489.71283="","-",(38060.72152-31087.90511)/2809489.71283*100)</f>
        <v>0.24818800290164716</v>
      </c>
    </row>
    <row r="19" spans="1:8" s="2" customFormat="1" x14ac:dyDescent="0.3">
      <c r="A19" s="13" t="s">
        <v>216</v>
      </c>
      <c r="B19" s="14" t="s">
        <v>184</v>
      </c>
      <c r="C19" s="10">
        <v>25024.645189999999</v>
      </c>
      <c r="D19" s="10">
        <f>IF(OR(20489.36595="",25024.64519=""),"-",25024.64519/20489.36595*100)</f>
        <v>122.1347954400707</v>
      </c>
      <c r="E19" s="15">
        <f>IF(20489.36595="","-",20489.36595/2809489.71283*100)</f>
        <v>0.72929136762565516</v>
      </c>
      <c r="F19" s="15">
        <f>IF(25024.64519="","-",25024.64519/2997495.34676*100)</f>
        <v>0.83485184445904803</v>
      </c>
      <c r="G19" s="15">
        <f>IF(OR(2113068.17363="",21124.70462="",20489.36595=""),"-",(20489.36595-21124.70462)/2113068.17363*100)</f>
        <v>-3.0067116524147189E-2</v>
      </c>
      <c r="H19" s="15">
        <f>IF(OR(2809489.71283="",25024.64519="",20489.36595=""),"-",(25024.64519-20489.36595)/2809489.71283*100)</f>
        <v>0.16142715238603281</v>
      </c>
    </row>
    <row r="20" spans="1:8" s="2" customFormat="1" x14ac:dyDescent="0.3">
      <c r="A20" s="13" t="s">
        <v>217</v>
      </c>
      <c r="B20" s="14" t="s">
        <v>185</v>
      </c>
      <c r="C20" s="10">
        <v>13036.07633</v>
      </c>
      <c r="D20" s="10">
        <f>IF(OR(10598.53916="",13036.07633=""),"-",13036.07633/10598.53916*100)</f>
        <v>122.99880326148647</v>
      </c>
      <c r="E20" s="15">
        <f>IF(10598.53916="","-",10598.53916/2809489.71283*100)</f>
        <v>0.37724071782857993</v>
      </c>
      <c r="F20" s="15">
        <f>IF(13036.07633="","-",13036.07633/2997495.34676*100)</f>
        <v>0.43489896803645506</v>
      </c>
      <c r="G20" s="15">
        <f>IF(OR(2113068.17363="",12722.97463="",10598.53916=""),"-",(10598.53916-12722.97463)/2113068.17363*100)</f>
        <v>-0.10053795218307948</v>
      </c>
      <c r="H20" s="15">
        <f>IF(OR(2809489.71283="",13036.07633="",10598.53916=""),"-",(13036.07633-10598.53916)/2809489.71283*100)</f>
        <v>8.6760850515614371E-2</v>
      </c>
    </row>
    <row r="21" spans="1:8" s="2" customFormat="1" ht="26.4" x14ac:dyDescent="0.3">
      <c r="A21" s="11" t="s">
        <v>218</v>
      </c>
      <c r="B21" s="12" t="s">
        <v>22</v>
      </c>
      <c r="C21" s="9">
        <v>104256.64348</v>
      </c>
      <c r="D21" s="9">
        <f>IF(100360.79997="","-",104256.64348/100360.79997*100)</f>
        <v>103.88183784023698</v>
      </c>
      <c r="E21" s="16">
        <f>IF(100360.79997="","-",100360.79997/2809489.71283*100)</f>
        <v>3.5722074194358417</v>
      </c>
      <c r="F21" s="16">
        <f>IF(104256.64348="","-",104256.64348/2997495.34676*100)</f>
        <v>3.4781252819188277</v>
      </c>
      <c r="G21" s="16">
        <f>IF(2113068.17363="","-",(100360.79997-71005.33226)/2113068.17363*100)</f>
        <v>1.3892342933531951</v>
      </c>
      <c r="H21" s="16">
        <f>IF(2809489.71283="","-",(104256.64348-100360.79997)/2809489.71283*100)</f>
        <v>0.13866729933941355</v>
      </c>
    </row>
    <row r="22" spans="1:8" s="2" customFormat="1" x14ac:dyDescent="0.3">
      <c r="A22" s="13" t="s">
        <v>220</v>
      </c>
      <c r="B22" s="14" t="s">
        <v>186</v>
      </c>
      <c r="C22" s="10">
        <v>55513.089690000001</v>
      </c>
      <c r="D22" s="10">
        <f>IF(OR(50293.5862="",55513.08969=""),"-",55513.08969/50293.5862*100)</f>
        <v>110.37806981837379</v>
      </c>
      <c r="E22" s="15">
        <f>IF(50293.5862="","-",50293.5862/2809489.71283*100)</f>
        <v>1.7901324205006341</v>
      </c>
      <c r="F22" s="15">
        <f>IF(55513.08969="","-",55513.08969/2997495.34676*100)</f>
        <v>1.8519825143349842</v>
      </c>
      <c r="G22" s="15">
        <f>IF(OR(2113068.17363="",25959.08944="",50293.5862=""),"-",(50293.5862-25959.08944)/2113068.17363*100)</f>
        <v>1.1516191036182342</v>
      </c>
      <c r="H22" s="15">
        <f>IF(OR(2809489.71283="",55513.08969="",50293.5862=""),"-",(55513.08969-50293.5862)/2809489.71283*100)</f>
        <v>0.18578119244090041</v>
      </c>
    </row>
    <row r="23" spans="1:8" s="2" customFormat="1" ht="26.4" x14ac:dyDescent="0.3">
      <c r="A23" s="13" t="s">
        <v>273</v>
      </c>
      <c r="B23" s="14" t="s">
        <v>187</v>
      </c>
      <c r="C23" s="10">
        <v>1569.73296</v>
      </c>
      <c r="D23" s="10">
        <f>IF(OR(1198.40831="",1569.73296=""),"-",1569.73296/1198.40831*100)</f>
        <v>130.98481935593387</v>
      </c>
      <c r="E23" s="15">
        <f>IF(1198.40831="","-",1198.40831/2809489.71283*100)</f>
        <v>4.2655728708571879E-2</v>
      </c>
      <c r="F23" s="15">
        <f>IF(1569.73296="","-",1569.73296/2997495.34676*100)</f>
        <v>5.2368153354991127E-2</v>
      </c>
      <c r="G23" s="15">
        <f>IF(OR(2113068.17363="",682.58008="",1198.40831=""),"-",(1198.40831-682.58008)/2113068.17363*100)</f>
        <v>2.441133875552479E-2</v>
      </c>
      <c r="H23" s="15">
        <f>IF(OR(2809489.71283="",1569.73296="",1198.40831=""),"-",(1569.73296-1198.40831)/2809489.71283*100)</f>
        <v>1.3216800485308221E-2</v>
      </c>
    </row>
    <row r="24" spans="1:8" s="2" customFormat="1" x14ac:dyDescent="0.3">
      <c r="A24" s="13" t="s">
        <v>221</v>
      </c>
      <c r="B24" s="14" t="s">
        <v>188</v>
      </c>
      <c r="C24" s="10">
        <v>12570.527050000001</v>
      </c>
      <c r="D24" s="10">
        <f>IF(OR(18515.10621="",12570.52705=""),"-",12570.52705/18515.10621*100)</f>
        <v>67.893356416236301</v>
      </c>
      <c r="E24" s="15">
        <f>IF(18515.10621="","-",18515.10621/2809489.71283*100)</f>
        <v>0.65902025287537813</v>
      </c>
      <c r="F24" s="15">
        <f>IF(12570.52705="","-",12570.52705/2997495.34676*100)</f>
        <v>0.41936769188274181</v>
      </c>
      <c r="G24" s="15">
        <f>IF(OR(2113068.17363="",10971.64822="",18515.10621=""),"-",(18515.10621-10971.64822)/2113068.17363*100)</f>
        <v>0.35699075326288399</v>
      </c>
      <c r="H24" s="15">
        <f>IF(OR(2809489.71283="",12570.52705="",18515.10621=""),"-",(12570.52705-18515.10621)/2809489.71283*100)</f>
        <v>-0.21158928373551594</v>
      </c>
    </row>
    <row r="25" spans="1:8" s="2" customFormat="1" x14ac:dyDescent="0.3">
      <c r="A25" s="13" t="s">
        <v>222</v>
      </c>
      <c r="B25" s="14" t="s">
        <v>140</v>
      </c>
      <c r="C25" s="10">
        <v>130.28142</v>
      </c>
      <c r="D25" s="10">
        <f>IF(OR(163.51581="",130.28142=""),"-",130.28142/163.51581*100)</f>
        <v>79.675121323130782</v>
      </c>
      <c r="E25" s="15">
        <f>IF(163.51581="","-",163.51581/2809489.71283*100)</f>
        <v>5.8201248879210321E-3</v>
      </c>
      <c r="F25" s="15">
        <f>IF(130.28142="","-",130.28142/2997495.34676*100)</f>
        <v>4.3463426937700332E-3</v>
      </c>
      <c r="G25" s="15">
        <f>IF(OR(2113068.17363="",140.17529="",163.51581=""),"-",(163.51581-140.17529)/2113068.17363*100)</f>
        <v>1.1045796009460384E-3</v>
      </c>
      <c r="H25" s="15">
        <f>IF(OR(2809489.71283="",130.28142="",163.51581=""),"-",(130.28142-163.51581)/2809489.71283*100)</f>
        <v>-1.1829333223122207E-3</v>
      </c>
    </row>
    <row r="26" spans="1:8" s="2" customFormat="1" ht="52.8" x14ac:dyDescent="0.3">
      <c r="A26" s="13" t="s">
        <v>223</v>
      </c>
      <c r="B26" s="14" t="s">
        <v>141</v>
      </c>
      <c r="C26" s="10">
        <v>2482.8033500000001</v>
      </c>
      <c r="D26" s="10">
        <f>IF(OR(2687.78432="",2482.80335=""),"-",2482.80335/2687.78432*100)</f>
        <v>92.3736079388989</v>
      </c>
      <c r="E26" s="15">
        <f>IF(2687.78432="","-",2687.78432/2809489.71283*100)</f>
        <v>9.5668060563659937E-2</v>
      </c>
      <c r="F26" s="15">
        <f>IF(2482.80335="","-",2482.80335/2997495.34676*100)</f>
        <v>8.282926452858945E-2</v>
      </c>
      <c r="G26" s="15">
        <f>IF(OR(2113068.17363="",2961.87154="",2687.78432=""),"-",(2687.78432-2961.87154)/2113068.17363*100)</f>
        <v>-1.2971054290650293E-2</v>
      </c>
      <c r="H26" s="15">
        <f>IF(OR(2809489.71283="",2482.80335="",2687.78432=""),"-",(2482.80335-2687.78432)/2809489.71283*100)</f>
        <v>-7.2960213758363488E-3</v>
      </c>
    </row>
    <row r="27" spans="1:8" s="2" customFormat="1" ht="39.6" x14ac:dyDescent="0.3">
      <c r="A27" s="13" t="s">
        <v>224</v>
      </c>
      <c r="B27" s="14" t="s">
        <v>142</v>
      </c>
      <c r="C27" s="10">
        <v>6850.4557400000003</v>
      </c>
      <c r="D27" s="10">
        <f>IF(OR(5885.93635="",6850.45574=""),"-",6850.45574/5885.93635*100)</f>
        <v>116.38684709867786</v>
      </c>
      <c r="E27" s="15">
        <f>IF(5885.93635="","-",5885.93635/2809489.71283*100)</f>
        <v>0.2095019719460405</v>
      </c>
      <c r="F27" s="15">
        <f>IF(6850.45574="","-",6850.45574/2997495.34676*100)</f>
        <v>0.22853932858994006</v>
      </c>
      <c r="G27" s="15">
        <f>IF(OR(2113068.17363="",6055.00132="",5885.93635=""),"-",(5885.93635-6055.00132)/2113068.17363*100)</f>
        <v>-8.0009235911005575E-3</v>
      </c>
      <c r="H27" s="15">
        <f>IF(OR(2809489.71283="",6850.45574="",5885.93635=""),"-",(6850.45574-5885.93635)/2809489.71283*100)</f>
        <v>3.4330767811512633E-2</v>
      </c>
    </row>
    <row r="28" spans="1:8" s="2" customFormat="1" ht="26.4" x14ac:dyDescent="0.3">
      <c r="A28" s="13" t="s">
        <v>225</v>
      </c>
      <c r="B28" s="14" t="s">
        <v>143</v>
      </c>
      <c r="C28" s="10">
        <v>828.57174999999995</v>
      </c>
      <c r="D28" s="10" t="s">
        <v>312</v>
      </c>
      <c r="E28" s="15">
        <f>IF(356.62814="","-",356.62814/2809489.71283*100)</f>
        <v>1.2693698018234362E-2</v>
      </c>
      <c r="F28" s="15">
        <f>IF(828.57175="","-",828.57175/2997495.34676*100)</f>
        <v>2.7642136322099886E-2</v>
      </c>
      <c r="G28" s="15">
        <f>IF(OR(2113068.17363="",383.1189="",356.62814=""),"-",(356.62814-383.1189)/2113068.17363*100)</f>
        <v>-1.2536632906874957E-3</v>
      </c>
      <c r="H28" s="15">
        <f>IF(OR(2809489.71283="",828.57175="",356.62814=""),"-",(828.57175-356.62814)/2809489.71283*100)</f>
        <v>1.6798196763091577E-2</v>
      </c>
    </row>
    <row r="29" spans="1:8" s="2" customFormat="1" ht="26.4" x14ac:dyDescent="0.3">
      <c r="A29" s="13" t="s">
        <v>226</v>
      </c>
      <c r="B29" s="14" t="s">
        <v>144</v>
      </c>
      <c r="C29" s="10">
        <v>24311.181519999998</v>
      </c>
      <c r="D29" s="10">
        <f>IF(OR(21259.83463="",24311.18152=""),"-",24311.18152/21259.83463*100)</f>
        <v>114.35263699414766</v>
      </c>
      <c r="E29" s="15">
        <f>IF(21259.83463="","-",21259.83463/2809489.71283*100)</f>
        <v>0.75671516193540223</v>
      </c>
      <c r="F29" s="15">
        <f>IF(24311.18152="","-",24311.18152/2997495.34676*100)</f>
        <v>0.81104985021171139</v>
      </c>
      <c r="G29" s="15">
        <f>IF(OR(2113068.17363="",23851.84747="",21259.83463=""),"-",(21259.83463-23851.84747)/2113068.17363*100)</f>
        <v>-0.12266584071195531</v>
      </c>
      <c r="H29" s="15">
        <f>IF(OR(2809489.71283="",24311.18152="",21259.83463=""),"-",(24311.18152-21259.83463)/2809489.71283*100)</f>
        <v>0.10860858027226497</v>
      </c>
    </row>
    <row r="30" spans="1:8" s="2" customFormat="1" ht="26.4" x14ac:dyDescent="0.3">
      <c r="A30" s="11" t="s">
        <v>227</v>
      </c>
      <c r="B30" s="12" t="s">
        <v>145</v>
      </c>
      <c r="C30" s="9">
        <v>831175.74169000005</v>
      </c>
      <c r="D30" s="9">
        <f>IF(699398.0975="","-",831175.74169/699398.0975*100)</f>
        <v>118.84157887489822</v>
      </c>
      <c r="E30" s="16">
        <f>IF(699398.0975="","-",699398.0975/2809489.71283*100)</f>
        <v>24.894132706949694</v>
      </c>
      <c r="F30" s="16">
        <f>IF(831175.74169="","-",831175.74169/2997495.34676*100)</f>
        <v>27.729008573388441</v>
      </c>
      <c r="G30" s="16">
        <f>IF(2113068.17363="","-",(699398.0975-249390.23807)/2113068.17363*100)</f>
        <v>21.29641935105861</v>
      </c>
      <c r="H30" s="16">
        <f>IF(2809489.71283="","-",(831175.74169-699398.0975)/2809489.71283*100)</f>
        <v>4.6904476492017597</v>
      </c>
    </row>
    <row r="31" spans="1:8" s="2" customFormat="1" x14ac:dyDescent="0.3">
      <c r="A31" s="13" t="s">
        <v>228</v>
      </c>
      <c r="B31" s="14" t="s">
        <v>189</v>
      </c>
      <c r="C31" s="10">
        <v>6445.5695299999998</v>
      </c>
      <c r="D31" s="10">
        <f>IF(OR(6222.08495="",6445.56953=""),"-",6445.56953/6222.08495*100)</f>
        <v>103.59179570507149</v>
      </c>
      <c r="E31" s="15">
        <f>IF(6222.08495="","-",6222.08495/2809489.71283*100)</f>
        <v>0.22146672833809711</v>
      </c>
      <c r="F31" s="15">
        <f>IF(6445.56953="","-",6445.56953/2997495.34676*100)</f>
        <v>0.21503184440192813</v>
      </c>
      <c r="G31" s="15">
        <f>IF(OR(2113068.17363="",2438.75049="",6222.08495=""),"-",(6222.08495-2438.75049)/2113068.17363*100)</f>
        <v>0.17904460003771111</v>
      </c>
      <c r="H31" s="15">
        <f>IF(OR(2809489.71283="",6445.56953="",6222.08495=""),"-",(6445.56953-6222.08495)/2809489.71283*100)</f>
        <v>7.9546324366101071E-3</v>
      </c>
    </row>
    <row r="32" spans="1:8" s="2" customFormat="1" ht="26.4" x14ac:dyDescent="0.3">
      <c r="A32" s="13" t="s">
        <v>229</v>
      </c>
      <c r="B32" s="14" t="s">
        <v>146</v>
      </c>
      <c r="C32" s="10">
        <v>495096.20022</v>
      </c>
      <c r="D32" s="10">
        <f>IF(OR(320604.41527="",495096.20022=""),"-",495096.20022/320604.41527*100)</f>
        <v>154.42588331263315</v>
      </c>
      <c r="E32" s="15">
        <f>IF(320604.41527="","-",320604.41527/2809489.71283*100)</f>
        <v>11.411482085373256</v>
      </c>
      <c r="F32" s="15">
        <f>IF(495096.20022="","-",495096.20022/2997495.34676*100)</f>
        <v>16.516996456896944</v>
      </c>
      <c r="G32" s="15">
        <f>IF(OR(2113068.17363="",148246.27837="",320604.41527=""),"-",(320604.41527-148246.27837)/2113068.17363*100)</f>
        <v>8.156771232037876</v>
      </c>
      <c r="H32" s="15">
        <f>IF(OR(2809489.71283="",495096.20022="",320604.41527=""),"-",(495096.20022-320604.41527)/2809489.71283*100)</f>
        <v>6.2107999240272838</v>
      </c>
    </row>
    <row r="33" spans="1:8" s="2" customFormat="1" ht="26.4" x14ac:dyDescent="0.3">
      <c r="A33" s="13" t="s">
        <v>274</v>
      </c>
      <c r="B33" s="14" t="s">
        <v>190</v>
      </c>
      <c r="C33" s="10">
        <v>309626.59798000002</v>
      </c>
      <c r="D33" s="10">
        <f>IF(OR(372570.56228="",309626.59798=""),"-",309626.59798/372570.56228*100)</f>
        <v>83.105491771865928</v>
      </c>
      <c r="E33" s="15">
        <f>IF(372570.56228="","-",372570.56228/2809489.71283*100)</f>
        <v>13.2611470538082</v>
      </c>
      <c r="F33" s="15">
        <f>IF(309626.59798="","-",309626.59798/2997495.34676*100)</f>
        <v>10.329510546686125</v>
      </c>
      <c r="G33" s="15">
        <f>IF(OR(2113068.17363="",97691.99749="",372570.56228=""),"-",(372570.56228-97691.99749)/2113068.17363*100)</f>
        <v>13.008504326568476</v>
      </c>
      <c r="H33" s="15">
        <f>IF(OR(2809489.71283="",309626.59798="",372570.56228=""),"-",(309626.59798-372570.56228)/2809489.71283*100)</f>
        <v>-2.2404055801505858</v>
      </c>
    </row>
    <row r="34" spans="1:8" s="2" customFormat="1" x14ac:dyDescent="0.3">
      <c r="A34" s="13" t="s">
        <v>279</v>
      </c>
      <c r="B34" s="14" t="s">
        <v>281</v>
      </c>
      <c r="C34" s="10">
        <v>20007.373960000001</v>
      </c>
      <c r="D34" s="10" t="s">
        <v>400</v>
      </c>
      <c r="E34" s="15">
        <f>IF(1.035="","-",1.035/2809489.71283*100)</f>
        <v>3.6839430138273901E-5</v>
      </c>
      <c r="F34" s="15">
        <f>IF(20007.37396="","-",20007.37396/2997495.34676*100)</f>
        <v>0.66746972540344451</v>
      </c>
      <c r="G34" s="15">
        <f>IF(OR(2113068.17363="",1013.21172="",1.035=""),"-",(1.035-1013.21172)/2113068.17363*100)</f>
        <v>-4.7900807585455264E-2</v>
      </c>
      <c r="H34" s="15">
        <f>IF(OR(2809489.71283="",20007.37396="",1.035=""),"-",(20007.37396-1.035)/2809489.71283*100)</f>
        <v>0.71209867288845163</v>
      </c>
    </row>
    <row r="35" spans="1:8" s="2" customFormat="1" ht="26.4" x14ac:dyDescent="0.3">
      <c r="A35" s="11" t="s">
        <v>230</v>
      </c>
      <c r="B35" s="12" t="s">
        <v>147</v>
      </c>
      <c r="C35" s="9">
        <v>10320.75311</v>
      </c>
      <c r="D35" s="9">
        <f>IF(23380.03824="","-",10320.75311/23380.03824*100)</f>
        <v>44.143439818428625</v>
      </c>
      <c r="E35" s="16">
        <f>IF(23380.03824="","-",23380.03824/2809489.71283*100)</f>
        <v>0.83218095205087184</v>
      </c>
      <c r="F35" s="16">
        <f>IF(10320.75311="","-",10320.75311/2997495.34676*100)</f>
        <v>0.34431256486038336</v>
      </c>
      <c r="G35" s="16">
        <f>IF(2113068.17363="","-",(23380.03824-5005.88081)/2113068.17363*100)</f>
        <v>0.86954872820952966</v>
      </c>
      <c r="H35" s="16">
        <f>IF(2809489.71283="","-",(10320.75311-23380.03824)/2809489.71283*100)</f>
        <v>-0.4648276543018689</v>
      </c>
    </row>
    <row r="36" spans="1:8" s="2" customFormat="1" x14ac:dyDescent="0.3">
      <c r="A36" s="13" t="s">
        <v>231</v>
      </c>
      <c r="B36" s="14" t="s">
        <v>193</v>
      </c>
      <c r="C36" s="10">
        <v>857.38090999999997</v>
      </c>
      <c r="D36" s="10">
        <f>IF(OR(730.45066="",857.38091=""),"-",857.38091/730.45066*100)</f>
        <v>117.37697793304753</v>
      </c>
      <c r="E36" s="15">
        <f>IF(730.45066="","-",730.45066/2809489.71283*100)</f>
        <v>2.5999406819831945E-2</v>
      </c>
      <c r="F36" s="15">
        <f>IF(857.38091="","-",857.38091/2997495.34676*100)</f>
        <v>2.8603244069310904E-2</v>
      </c>
      <c r="G36" s="15">
        <f>IF(OR(2113068.17363="",527.52229="",730.45066=""),"-",(730.45066-527.52229)/2113068.17363*100)</f>
        <v>9.603493750577537E-3</v>
      </c>
      <c r="H36" s="15">
        <f>IF(OR(2809489.71283="",857.38091="",730.45066=""),"-",(857.38091-730.45066)/2809489.71283*100)</f>
        <v>4.5179111858054503E-3</v>
      </c>
    </row>
    <row r="37" spans="1:8" s="2" customFormat="1" ht="26.4" x14ac:dyDescent="0.3">
      <c r="A37" s="13" t="s">
        <v>232</v>
      </c>
      <c r="B37" s="14" t="s">
        <v>148</v>
      </c>
      <c r="C37" s="10">
        <v>8605.4936799999996</v>
      </c>
      <c r="D37" s="10">
        <f>IF(OR(21756.19484="",8605.49368=""),"-",8605.49368/21756.19484*100)</f>
        <v>39.554222341207897</v>
      </c>
      <c r="E37" s="15">
        <f>IF(21756.19484="","-",21756.19484/2809489.71283*100)</f>
        <v>0.77438243466942525</v>
      </c>
      <c r="F37" s="15">
        <f>IF(8605.49368="","-",8605.49368/2997495.34676*100)</f>
        <v>0.28708947586196254</v>
      </c>
      <c r="G37" s="15">
        <f>IF(OR(2113068.17363="",3871.33723="",21756.19484=""),"-",(21756.19484-3871.33723)/2113068.17363*100)</f>
        <v>0.84639283451399194</v>
      </c>
      <c r="H37" s="15">
        <f>IF(OR(2809489.71283="",8605.49368="",21756.19484=""),"-",(8605.49368-21756.19484)/2809489.71283*100)</f>
        <v>-0.46808148468902189</v>
      </c>
    </row>
    <row r="38" spans="1:8" s="2" customFormat="1" ht="66" x14ac:dyDescent="0.3">
      <c r="A38" s="13" t="s">
        <v>233</v>
      </c>
      <c r="B38" s="14" t="s">
        <v>191</v>
      </c>
      <c r="C38" s="10">
        <v>857.87851999999998</v>
      </c>
      <c r="D38" s="10">
        <f>IF(OR(893.39274="",857.87852=""),"-",857.87852/893.39274*100)</f>
        <v>96.024791963274737</v>
      </c>
      <c r="E38" s="15">
        <f>IF(893.39274="","-",893.39274/2809489.71283*100)</f>
        <v>3.1799110561614594E-2</v>
      </c>
      <c r="F38" s="15">
        <f>IF(857.87852="","-",857.87852/2997495.34676*100)</f>
        <v>2.8619844929109996E-2</v>
      </c>
      <c r="G38" s="15">
        <f>IF(OR(2113068.17363="",607.02129="",893.39274=""),"-",(893.39274-607.02129)/2113068.17363*100)</f>
        <v>1.3552399944960028E-2</v>
      </c>
      <c r="H38" s="15">
        <f>IF(OR(2809489.71283="",857.87852="",893.39274=""),"-",(857.87852-893.39274)/2809489.71283*100)</f>
        <v>-1.2640807986524548E-3</v>
      </c>
    </row>
    <row r="39" spans="1:8" s="2" customFormat="1" ht="39.6" x14ac:dyDescent="0.3">
      <c r="A39" s="11" t="s">
        <v>234</v>
      </c>
      <c r="B39" s="12" t="s">
        <v>149</v>
      </c>
      <c r="C39" s="9">
        <v>411853.97463000001</v>
      </c>
      <c r="D39" s="9">
        <f>IF(399690.18094="","-",411853.97463/399690.18094*100)</f>
        <v>103.04330560770669</v>
      </c>
      <c r="E39" s="16">
        <f>IF(399690.18094="","-",399690.18094/2809489.71283*100)</f>
        <v>14.226433331104527</v>
      </c>
      <c r="F39" s="16">
        <f>IF(411853.97463="","-",411853.97463/2997495.34676*100)</f>
        <v>13.739937080308531</v>
      </c>
      <c r="G39" s="16">
        <f>IF(2113068.17363="","-",(399690.18094-339617.57307)/2113068.17363*100)</f>
        <v>2.8429091223688445</v>
      </c>
      <c r="H39" s="16">
        <f>IF(2809489.71283="","-",(411853.97463-399690.18094)/2809489.71283*100)</f>
        <v>0.4329538433421572</v>
      </c>
    </row>
    <row r="40" spans="1:8" s="2" customFormat="1" x14ac:dyDescent="0.3">
      <c r="A40" s="13" t="s">
        <v>235</v>
      </c>
      <c r="B40" s="14" t="s">
        <v>23</v>
      </c>
      <c r="C40" s="10">
        <v>5099.9481699999997</v>
      </c>
      <c r="D40" s="10">
        <f>IF(OR(5019.44974="",5099.94817=""),"-",5099.94817/5019.44974*100)</f>
        <v>101.60373017302091</v>
      </c>
      <c r="E40" s="15">
        <f>IF(5019.44974="","-",5019.44974/2809489.71283*100)</f>
        <v>0.17866054882058657</v>
      </c>
      <c r="F40" s="15">
        <f>IF(5099.94817="","-",5099.94817/2997495.34676*100)</f>
        <v>0.17014031983444264</v>
      </c>
      <c r="G40" s="15">
        <f>IF(OR(2113068.17363="",3931.10849="",5019.44974=""),"-",(5019.44974-3931.10849)/2113068.17363*100)</f>
        <v>5.1505259677938307E-2</v>
      </c>
      <c r="H40" s="15">
        <f>IF(OR(2809489.71283="",5099.94817="",5019.44974=""),"-",(5099.94817-5019.44974)/2809489.71283*100)</f>
        <v>2.8652331287205013E-3</v>
      </c>
    </row>
    <row r="41" spans="1:8" s="2" customFormat="1" x14ac:dyDescent="0.3">
      <c r="A41" s="13" t="s">
        <v>236</v>
      </c>
      <c r="B41" s="14" t="s">
        <v>24</v>
      </c>
      <c r="C41" s="10">
        <v>11559.949930000001</v>
      </c>
      <c r="D41" s="10">
        <f>IF(OR(8683.4067="",11559.94993=""),"-",11559.94993/8683.4067*100)</f>
        <v>133.12689741918919</v>
      </c>
      <c r="E41" s="15">
        <f>IF(8683.4067="","-",8683.4067/2809489.71283*100)</f>
        <v>0.30907415892451162</v>
      </c>
      <c r="F41" s="15">
        <f>IF(11559.94993="","-",11559.94993/2997495.34676*100)</f>
        <v>0.38565364054677109</v>
      </c>
      <c r="G41" s="15">
        <f>IF(OR(2113068.17363="",4797.70036="",8683.4067=""),"-",(8683.4067-4797.70036)/2113068.17363*100)</f>
        <v>0.18388930317022464</v>
      </c>
      <c r="H41" s="15">
        <f>IF(OR(2809489.71283="",11559.94993="",8683.4067=""),"-",(11559.94993-8683.4067)/2809489.71283*100)</f>
        <v>0.10238667957614474</v>
      </c>
    </row>
    <row r="42" spans="1:8" s="2" customFormat="1" x14ac:dyDescent="0.3">
      <c r="A42" s="13" t="s">
        <v>237</v>
      </c>
      <c r="B42" s="14" t="s">
        <v>150</v>
      </c>
      <c r="C42" s="10">
        <v>13833.279560000001</v>
      </c>
      <c r="D42" s="10">
        <f>IF(OR(13449.98955="",13833.27956=""),"-",13833.27956/13449.98955*100)</f>
        <v>102.84974206541297</v>
      </c>
      <c r="E42" s="15">
        <f>IF(13449.98955="","-",13449.98955/2809489.71283*100)</f>
        <v>0.47873425158235661</v>
      </c>
      <c r="F42" s="15">
        <f>IF(13833.27956="","-",13833.27956/2997495.34676*100)</f>
        <v>0.46149461332617003</v>
      </c>
      <c r="G42" s="15">
        <f>IF(OR(2113068.17363="",13357.55472="",13449.98955=""),"-",(13449.98955-13357.55472)/2113068.17363*100)</f>
        <v>4.374436714988144E-3</v>
      </c>
      <c r="H42" s="15">
        <f>IF(OR(2809489.71283="",13833.27956="",13449.98955=""),"-",(13833.27956-13449.98955)/2809489.71283*100)</f>
        <v>1.3642691348882444E-2</v>
      </c>
    </row>
    <row r="43" spans="1:8" s="2" customFormat="1" x14ac:dyDescent="0.3">
      <c r="A43" s="13" t="s">
        <v>238</v>
      </c>
      <c r="B43" s="14" t="s">
        <v>151</v>
      </c>
      <c r="C43" s="10">
        <v>103321.91821</v>
      </c>
      <c r="D43" s="10">
        <f>IF(OR(108034.67649="",103321.91821=""),"-",103321.91821/108034.67649*100)</f>
        <v>95.637735555734992</v>
      </c>
      <c r="E43" s="15">
        <f>IF(108034.67649="","-",108034.67649/2809489.71283*100)</f>
        <v>3.8453487121394945</v>
      </c>
      <c r="F43" s="15">
        <f>IF(103321.91821="","-",103321.91821/2997495.34676*100)</f>
        <v>3.446941738264278</v>
      </c>
      <c r="G43" s="15">
        <f>IF(OR(2113068.17363="",101131.38259="",108034.67649=""),"-",(108034.67649-101131.38259)/2113068.17363*100)</f>
        <v>0.3266952759096724</v>
      </c>
      <c r="H43" s="15">
        <f>IF(OR(2809489.71283="",103321.91821="",108034.67649=""),"-",(103321.91821-108034.67649)/2809489.71283*100)</f>
        <v>-0.16774427962766347</v>
      </c>
    </row>
    <row r="44" spans="1:8" s="2" customFormat="1" ht="39.6" x14ac:dyDescent="0.3">
      <c r="A44" s="13" t="s">
        <v>239</v>
      </c>
      <c r="B44" s="14" t="s">
        <v>152</v>
      </c>
      <c r="C44" s="10">
        <v>53189.39675</v>
      </c>
      <c r="D44" s="10">
        <f>IF(OR(46044.37389="",53189.39675=""),"-",53189.39675/46044.37389*100)</f>
        <v>115.5176892557372</v>
      </c>
      <c r="E44" s="15">
        <f>IF(46044.37389="","-",46044.37389/2809489.71283*100)</f>
        <v>1.6388874349576987</v>
      </c>
      <c r="F44" s="15">
        <f>IF(53189.39675="","-",53189.39675/2997495.34676*100)</f>
        <v>1.7744613617996956</v>
      </c>
      <c r="G44" s="15">
        <f>IF(OR(2113068.17363="",43179.88446="",46044.37389=""),"-",(46044.37389-43179.88446)/2113068.17363*100)</f>
        <v>0.13556067266297184</v>
      </c>
      <c r="H44" s="15">
        <f>IF(OR(2809489.71283="",53189.39675="",46044.37389=""),"-",(53189.39675-46044.37389)/2809489.71283*100)</f>
        <v>0.25431745940805783</v>
      </c>
    </row>
    <row r="45" spans="1:8" s="2" customFormat="1" x14ac:dyDescent="0.3">
      <c r="A45" s="13" t="s">
        <v>240</v>
      </c>
      <c r="B45" s="14" t="s">
        <v>153</v>
      </c>
      <c r="C45" s="10">
        <v>77247.729810000004</v>
      </c>
      <c r="D45" s="10">
        <f>IF(OR(68070.93035="",77247.72981=""),"-",77247.72981/68070.93035*100)</f>
        <v>113.48123114054076</v>
      </c>
      <c r="E45" s="15">
        <f>IF(68070.93035="","-",68070.93035/2809489.71283*100)</f>
        <v>2.4228930271266993</v>
      </c>
      <c r="F45" s="15">
        <f>IF(77247.72981="","-",77247.72981/2997495.34676*100)</f>
        <v>2.5770758874904431</v>
      </c>
      <c r="G45" s="15">
        <f>IF(OR(2113068.17363="",31005.07395="",68070.93035=""),"-",(68070.93035-31005.07395)/2113068.17363*100)</f>
        <v>1.7541249668402914</v>
      </c>
      <c r="H45" s="15">
        <f>IF(OR(2809489.71283="",77247.72981="",68070.93035=""),"-",(77247.72981-68070.93035)/2809489.71283*100)</f>
        <v>0.32663580927499519</v>
      </c>
    </row>
    <row r="46" spans="1:8" s="2" customFormat="1" x14ac:dyDescent="0.3">
      <c r="A46" s="13" t="s">
        <v>241</v>
      </c>
      <c r="B46" s="14" t="s">
        <v>25</v>
      </c>
      <c r="C46" s="10">
        <v>21318.32329</v>
      </c>
      <c r="D46" s="10">
        <f>IF(OR(23017.53058="",21318.32329=""),"-",21318.32329/23017.53058*100)</f>
        <v>92.617768947480201</v>
      </c>
      <c r="E46" s="15">
        <f>IF(23017.53058="","-",23017.53058/2809489.71283*100)</f>
        <v>0.81927798044202238</v>
      </c>
      <c r="F46" s="15">
        <f>IF(21318.32329="","-",21318.32329/2997495.34676*100)</f>
        <v>0.71120454992675886</v>
      </c>
      <c r="G46" s="15">
        <f>IF(OR(2113068.17363="",18122.61884="",23017.53058=""),"-",(23017.53058-18122.61884)/2113068.17363*100)</f>
        <v>0.23164949437438748</v>
      </c>
      <c r="H46" s="15">
        <f>IF(OR(2809489.71283="",21318.32329="",23017.53058=""),"-",(21318.32329-23017.53058)/2809489.71283*100)</f>
        <v>-6.0480993478647986E-2</v>
      </c>
    </row>
    <row r="47" spans="1:8" s="2" customFormat="1" x14ac:dyDescent="0.3">
      <c r="A47" s="13" t="s">
        <v>242</v>
      </c>
      <c r="B47" s="14" t="s">
        <v>26</v>
      </c>
      <c r="C47" s="10">
        <v>42156.197079999998</v>
      </c>
      <c r="D47" s="10">
        <f>IF(OR(45540.28812="",42156.19708=""),"-",42156.19708/45540.28812*100)</f>
        <v>92.569017062248662</v>
      </c>
      <c r="E47" s="15">
        <f>IF(45540.28812="","-",45540.28812/2809489.71283*100)</f>
        <v>1.6209451813271543</v>
      </c>
      <c r="F47" s="15">
        <f>IF(42156.19708="","-",42156.19708/2997495.34676*100)</f>
        <v>1.4063807346879365</v>
      </c>
      <c r="G47" s="15">
        <f>IF(OR(2113068.17363="",46006.44438="",45540.28812=""),"-",(45540.28812-46006.44438)/2113068.17363*100)</f>
        <v>-2.2060635137919015E-2</v>
      </c>
      <c r="H47" s="15">
        <f>IF(OR(2809489.71283="",42156.19708="",45540.28812=""),"-",(42156.19708-45540.28812)/2809489.71283*100)</f>
        <v>-0.12045215985472334</v>
      </c>
    </row>
    <row r="48" spans="1:8" s="2" customFormat="1" x14ac:dyDescent="0.3">
      <c r="A48" s="13" t="s">
        <v>243</v>
      </c>
      <c r="B48" s="14" t="s">
        <v>154</v>
      </c>
      <c r="C48" s="10">
        <v>84127.231830000004</v>
      </c>
      <c r="D48" s="10">
        <f>IF(OR(81829.53552="",84127.23183=""),"-",84127.23183/81829.53552*100)</f>
        <v>102.80790584401937</v>
      </c>
      <c r="E48" s="15">
        <f>IF(81829.53552="","-",81829.53552/2809489.71283*100)</f>
        <v>2.9126120357840031</v>
      </c>
      <c r="F48" s="15">
        <f>IF(84127.23183="","-",84127.23183/2997495.34676*100)</f>
        <v>2.8065842344320342</v>
      </c>
      <c r="G48" s="15">
        <f>IF(OR(2113068.17363="",78085.80528="",81829.53552=""),"-",(81829.53552-78085.80528)/2113068.17363*100)</f>
        <v>0.17717034815628879</v>
      </c>
      <c r="H48" s="15">
        <f>IF(OR(2809489.71283="",84127.23183="",81829.53552=""),"-",(84127.23183-81829.53552)/2809489.71283*100)</f>
        <v>8.1783403566391036E-2</v>
      </c>
    </row>
    <row r="49" spans="1:8" s="2" customFormat="1" ht="26.4" x14ac:dyDescent="0.3">
      <c r="A49" s="11" t="s">
        <v>244</v>
      </c>
      <c r="B49" s="12" t="s">
        <v>307</v>
      </c>
      <c r="C49" s="9">
        <v>370845.03453</v>
      </c>
      <c r="D49" s="9">
        <f>IF(402153.98272="","-",370845.03453/402153.98272*100)</f>
        <v>92.214686529214632</v>
      </c>
      <c r="E49" s="16">
        <f>IF(402153.98272="","-",402153.98272/2809489.71283*100)</f>
        <v>14.314129035016476</v>
      </c>
      <c r="F49" s="16">
        <f>IF(370845.03453="","-",370845.03453/2997495.34676*100)</f>
        <v>12.371830199197717</v>
      </c>
      <c r="G49" s="16">
        <f>IF(2113068.17363="","-",(402153.98272-374409.81368)/2113068.17363*100)</f>
        <v>1.3129803092125902</v>
      </c>
      <c r="H49" s="16">
        <f>IF(2809489.71283="","-",(370845.03453-402153.98272)/2809489.71283*100)</f>
        <v>-1.1143998159887374</v>
      </c>
    </row>
    <row r="50" spans="1:8" s="2" customFormat="1" x14ac:dyDescent="0.3">
      <c r="A50" s="13" t="s">
        <v>245</v>
      </c>
      <c r="B50" s="14" t="s">
        <v>155</v>
      </c>
      <c r="C50" s="10">
        <v>15066.92462</v>
      </c>
      <c r="D50" s="10">
        <f>IF(OR(17685.37878="",15066.92462=""),"-",15066.92462/17685.37878*100)</f>
        <v>85.194243264039386</v>
      </c>
      <c r="E50" s="15">
        <f>IF(17685.37878="","-",17685.37878/2809489.71283*100)</f>
        <v>0.62948722322195338</v>
      </c>
      <c r="F50" s="15">
        <f>IF(15066.92462="","-",15066.92462/2997495.34676*100)</f>
        <v>0.50265047571419497</v>
      </c>
      <c r="G50" s="15">
        <f>IF(OR(2113068.17363="",20023.73149="",17685.37878=""),"-",(17685.37878-20023.73149)/2113068.17363*100)</f>
        <v>-0.11066148925914621</v>
      </c>
      <c r="H50" s="15">
        <f>IF(OR(2809489.71283="",15066.92462="",17685.37878=""),"-",(15066.92462-17685.37878)/2809489.71283*100)</f>
        <v>-9.3200346954195795E-2</v>
      </c>
    </row>
    <row r="51" spans="1:8" s="2" customFormat="1" x14ac:dyDescent="0.3">
      <c r="A51" s="13" t="s">
        <v>246</v>
      </c>
      <c r="B51" s="14" t="s">
        <v>27</v>
      </c>
      <c r="C51" s="10">
        <v>24169.921289999998</v>
      </c>
      <c r="D51" s="10">
        <f>IF(OR(26318.67402="",24169.92129=""),"-",24169.92129/26318.67402*100)</f>
        <v>91.835634544631205</v>
      </c>
      <c r="E51" s="15">
        <f>IF(26318.67402="","-",26318.67402/2809489.71283*100)</f>
        <v>0.9367777322626033</v>
      </c>
      <c r="F51" s="15">
        <f>IF(24169.92129="","-",24169.92129/2997495.34676*100)</f>
        <v>0.80633724139473062</v>
      </c>
      <c r="G51" s="15">
        <f>IF(OR(2113068.17363="",20519.64282="",26318.67402=""),"-",(26318.67402-20519.64282)/2113068.17363*100)</f>
        <v>0.27443654077842417</v>
      </c>
      <c r="H51" s="15">
        <f>IF(OR(2809489.71283="",24169.92129="",26318.67402=""),"-",(24169.92129-26318.67402)/2809489.71283*100)</f>
        <v>-7.648195756643511E-2</v>
      </c>
    </row>
    <row r="52" spans="1:8" s="2" customFormat="1" x14ac:dyDescent="0.3">
      <c r="A52" s="13" t="s">
        <v>247</v>
      </c>
      <c r="B52" s="14" t="s">
        <v>156</v>
      </c>
      <c r="C52" s="10">
        <v>30117.308570000001</v>
      </c>
      <c r="D52" s="10">
        <f>IF(OR(32036.08965="",30117.30857=""),"-",30117.30857/32036.08965*100)</f>
        <v>94.010564020256453</v>
      </c>
      <c r="E52" s="15">
        <f>IF(32036.08965="","-",32036.08965/2809489.71283*100)</f>
        <v>1.1402814362943523</v>
      </c>
      <c r="F52" s="15">
        <f>IF(30117.30857="","-",30117.30857/2997495.34676*100)</f>
        <v>1.0047491350588376</v>
      </c>
      <c r="G52" s="15">
        <f>IF(OR(2113068.17363="",30525.81552="",32036.08965=""),"-",(32036.08965-30525.81552)/2113068.17363*100)</f>
        <v>7.147304326701065E-2</v>
      </c>
      <c r="H52" s="15">
        <f>IF(OR(2809489.71283="",30117.30857="",32036.08965=""),"-",(30117.30857-32036.08965)/2809489.71283*100)</f>
        <v>-6.8296426615750513E-2</v>
      </c>
    </row>
    <row r="53" spans="1:8" s="2" customFormat="1" ht="26.4" x14ac:dyDescent="0.3">
      <c r="A53" s="13" t="s">
        <v>248</v>
      </c>
      <c r="B53" s="14" t="s">
        <v>157</v>
      </c>
      <c r="C53" s="10">
        <v>39539.990489999996</v>
      </c>
      <c r="D53" s="10">
        <f>IF(OR(44039.64475="",39539.9904899999=""),"-",39539.9904899999/44039.64475*100)</f>
        <v>89.782718989802717</v>
      </c>
      <c r="E53" s="15">
        <f>IF(44039.64475="","-",44039.64475/2809489.71283*100)</f>
        <v>1.5675318029778031</v>
      </c>
      <c r="F53" s="15">
        <f>IF(39539.9904899999="","-",39539.9904899999/2997495.34676*100)</f>
        <v>1.3191009798476843</v>
      </c>
      <c r="G53" s="15">
        <f>IF(OR(2113068.17363="",33926.11923="",44039.64475=""),"-",(44039.64475-33926.11923)/2113068.17363*100)</f>
        <v>0.47861804205901071</v>
      </c>
      <c r="H53" s="15">
        <f>IF(OR(2809489.71283="",39539.9904899999="",44039.64475=""),"-",(39539.9904899999-44039.64475)/2809489.71283*100)</f>
        <v>-0.16015912923445424</v>
      </c>
    </row>
    <row r="54" spans="1:8" s="2" customFormat="1" ht="27.75" customHeight="1" x14ac:dyDescent="0.3">
      <c r="A54" s="13" t="s">
        <v>249</v>
      </c>
      <c r="B54" s="14" t="s">
        <v>158</v>
      </c>
      <c r="C54" s="10">
        <v>99970.026089999999</v>
      </c>
      <c r="D54" s="10">
        <f>IF(OR(107402.59921="",99970.02609=""),"-",99970.02609/107402.59921*100)</f>
        <v>93.079708336045584</v>
      </c>
      <c r="E54" s="15">
        <f>IF(107402.59921="","-",107402.59921/2809489.71283*100)</f>
        <v>3.8228507732036974</v>
      </c>
      <c r="F54" s="15">
        <f>IF(99970.02609="","-",99970.02609/2997495.34676*100)</f>
        <v>3.3351186415704643</v>
      </c>
      <c r="G54" s="15">
        <f>IF(OR(2113068.17363="",96775.67103="",107402.59921=""),"-",(107402.59921-96775.67103)/2113068.17363*100)</f>
        <v>0.50291459180629283</v>
      </c>
      <c r="H54" s="15">
        <f>IF(OR(2809489.71283="",99970.02609="",107402.59921=""),"-",(99970.02609-107402.59921)/2809489.71283*100)</f>
        <v>-0.26455242338343243</v>
      </c>
    </row>
    <row r="55" spans="1:8" s="2" customFormat="1" x14ac:dyDescent="0.3">
      <c r="A55" s="13" t="s">
        <v>250</v>
      </c>
      <c r="B55" s="14" t="s">
        <v>28</v>
      </c>
      <c r="C55" s="10">
        <v>54292.410960000001</v>
      </c>
      <c r="D55" s="10">
        <f>IF(OR(45375.39153="",54292.41096=""),"-",54292.41096/45375.39153*100)</f>
        <v>119.65166388504768</v>
      </c>
      <c r="E55" s="15">
        <f>IF(45375.39153="","-",45375.39153/2809489.71283*100)</f>
        <v>1.6150759094360003</v>
      </c>
      <c r="F55" s="15">
        <f>IF(54292.41096="","-",54292.41096/2997495.34676*100)</f>
        <v>1.811259224094703</v>
      </c>
      <c r="G55" s="15">
        <f>IF(OR(2113068.17363="",44956.29091="",45375.39153=""),"-",(45375.39153-44956.29091)/2113068.17363*100)</f>
        <v>1.9833748159674015E-2</v>
      </c>
      <c r="H55" s="15">
        <f>IF(OR(2809489.71283="",54292.41096="",45375.39153=""),"-",(54292.41096-45375.39153)/2809489.71283*100)</f>
        <v>0.31738928921074006</v>
      </c>
    </row>
    <row r="56" spans="1:8" s="2" customFormat="1" x14ac:dyDescent="0.3">
      <c r="A56" s="13" t="s">
        <v>251</v>
      </c>
      <c r="B56" s="14" t="s">
        <v>159</v>
      </c>
      <c r="C56" s="10">
        <v>40744.440739999998</v>
      </c>
      <c r="D56" s="10">
        <f>IF(OR(58114.1308="",40744.44074=""),"-",40744.44074/58114.1308*100)</f>
        <v>70.111073123027765</v>
      </c>
      <c r="E56" s="15">
        <f>IF(58114.1308="","-",58114.1308/2809489.71283*100)</f>
        <v>2.0684941658484171</v>
      </c>
      <c r="F56" s="15">
        <f>IF(40744.44074="","-",40744.44074/2997495.34676*100)</f>
        <v>1.3592828687470946</v>
      </c>
      <c r="G56" s="15">
        <f>IF(OR(2113068.17363="",44084.62923="",58114.1308=""),"-",(58114.1308-44084.62923)/2113068.17363*100)</f>
        <v>0.66393984562736486</v>
      </c>
      <c r="H56" s="15">
        <f>IF(OR(2809489.71283="",40744.44074="",58114.1308=""),"-",(40744.44074-58114.1308)/2809489.71283*100)</f>
        <v>-0.6182507086848702</v>
      </c>
    </row>
    <row r="57" spans="1:8" s="2" customFormat="1" x14ac:dyDescent="0.3">
      <c r="A57" s="13" t="s">
        <v>252</v>
      </c>
      <c r="B57" s="14" t="s">
        <v>29</v>
      </c>
      <c r="C57" s="10">
        <v>10466.747530000001</v>
      </c>
      <c r="D57" s="10">
        <f>IF(OR(10759.15716="",10466.74753=""),"-",10466.74753/10759.15716*100)</f>
        <v>97.282225497299081</v>
      </c>
      <c r="E57" s="15">
        <f>IF(10759.15716="","-",10759.15716/2809489.71283*100)</f>
        <v>0.38295769907490773</v>
      </c>
      <c r="F57" s="15">
        <f>IF(10466.74753="","-",10466.74753/2997495.34676*100)</f>
        <v>0.34918311187083351</v>
      </c>
      <c r="G57" s="15">
        <f>IF(OR(2113068.17363="",23945.37489="",10759.15716=""),"-",(10759.15716-23945.37489)/2113068.17363*100)</f>
        <v>-0.62403181755123605</v>
      </c>
      <c r="H57" s="15">
        <f>IF(OR(2809489.71283="",10466.74753="",10759.15716=""),"-",(10466.74753-10759.15716)/2809489.71283*100)</f>
        <v>-1.0407926701587947E-2</v>
      </c>
    </row>
    <row r="58" spans="1:8" s="2" customFormat="1" x14ac:dyDescent="0.3">
      <c r="A58" s="13" t="s">
        <v>253</v>
      </c>
      <c r="B58" s="14" t="s">
        <v>30</v>
      </c>
      <c r="C58" s="10">
        <v>56477.264239999997</v>
      </c>
      <c r="D58" s="10">
        <f>IF(OR(60422.91682="",56477.26424=""),"-",56477.26424/60422.91682*100)</f>
        <v>93.469940235169204</v>
      </c>
      <c r="E58" s="15">
        <f>IF(60422.91682="","-",60422.91682/2809489.71283*100)</f>
        <v>2.1506722926967394</v>
      </c>
      <c r="F58" s="15">
        <f>IF(56477.26424="","-",56477.26424/2997495.34676*100)</f>
        <v>1.8841485208991704</v>
      </c>
      <c r="G58" s="15">
        <f>IF(OR(2113068.17363="",59652.53856="",60422.91682=""),"-",(60422.91682-59652.53856)/2113068.17363*100)</f>
        <v>3.6457804325195027E-2</v>
      </c>
      <c r="H58" s="15">
        <f>IF(OR(2809489.71283="",56477.26424="",60422.91682=""),"-",(56477.26424-60422.91682)/2809489.71283*100)</f>
        <v>-0.14044018605875389</v>
      </c>
    </row>
    <row r="59" spans="1:8" s="2" customFormat="1" ht="26.4" x14ac:dyDescent="0.3">
      <c r="A59" s="11" t="s">
        <v>254</v>
      </c>
      <c r="B59" s="12" t="s">
        <v>160</v>
      </c>
      <c r="C59" s="9">
        <v>638224.88543000002</v>
      </c>
      <c r="D59" s="9">
        <f>IF(586581.18988="","-",638224.88543/586581.18988*100)</f>
        <v>108.80418541217884</v>
      </c>
      <c r="E59" s="16">
        <f>IF(586581.18988="","-",586581.18988/2809489.71283*100)</f>
        <v>20.878566922714821</v>
      </c>
      <c r="F59" s="16">
        <f>IF(638224.88543="","-",638224.88543/2997495.34676*100)</f>
        <v>21.291939155797486</v>
      </c>
      <c r="G59" s="16">
        <f>IF(2113068.17363="","-",(586581.18988-536274.80245)/2113068.17363*100)</f>
        <v>2.380727136861827</v>
      </c>
      <c r="H59" s="16">
        <f>IF(2809489.71283="","-",(638224.88543-586581.18988)/2809489.71283*100)</f>
        <v>1.8381877432816562</v>
      </c>
    </row>
    <row r="60" spans="1:8" s="2" customFormat="1" ht="26.4" x14ac:dyDescent="0.3">
      <c r="A60" s="13" t="s">
        <v>255</v>
      </c>
      <c r="B60" s="14" t="s">
        <v>161</v>
      </c>
      <c r="C60" s="10">
        <v>15024.57631</v>
      </c>
      <c r="D60" s="10" t="s">
        <v>100</v>
      </c>
      <c r="E60" s="15">
        <f>IF(9334.49185="","-",9334.49185/2809489.71283*100)</f>
        <v>0.3322486573761953</v>
      </c>
      <c r="F60" s="15">
        <f>IF(15024.57631="","-",15024.57631/2997495.34676*100)</f>
        <v>0.50123768586463702</v>
      </c>
      <c r="G60" s="15">
        <f>IF(OR(2113068.17363="",9541.46854="",9334.49185=""),"-",(9334.49185-9541.46854)/2113068.17363*100)</f>
        <v>-9.7950786719975137E-3</v>
      </c>
      <c r="H60" s="15">
        <f>IF(OR(2809489.71283="",15024.57631="",9334.49185=""),"-",(15024.57631-9334.49185)/2809489.71283*100)</f>
        <v>0.2025308878696116</v>
      </c>
    </row>
    <row r="61" spans="1:8" s="2" customFormat="1" ht="26.4" x14ac:dyDescent="0.3">
      <c r="A61" s="13" t="s">
        <v>256</v>
      </c>
      <c r="B61" s="14" t="s">
        <v>162</v>
      </c>
      <c r="C61" s="10">
        <v>69497.387489999994</v>
      </c>
      <c r="D61" s="10">
        <f>IF(OR(98018.36957="",69497.38749=""),"-",69497.38749/98018.36957*100)</f>
        <v>70.90241124687175</v>
      </c>
      <c r="E61" s="15">
        <f>IF(98018.36957="","-",98018.36957/2809489.71283*100)</f>
        <v>3.4888317662236981</v>
      </c>
      <c r="F61" s="15">
        <f>IF(69497.38749="","-",69497.38749/2997495.34676*100)</f>
        <v>2.3185152752653941</v>
      </c>
      <c r="G61" s="15">
        <f>IF(OR(2113068.17363="",56556.40665="",98018.36957=""),"-",(98018.36957-56556.40665)/2113068.17363*100)</f>
        <v>1.9621687287435345</v>
      </c>
      <c r="H61" s="15">
        <f>IF(OR(2809489.71283="",69497.38749="",98018.36957=""),"-",(69497.38749-98018.36957)/2809489.71283*100)</f>
        <v>-1.0151659196242724</v>
      </c>
    </row>
    <row r="62" spans="1:8" s="2" customFormat="1" ht="26.4" x14ac:dyDescent="0.3">
      <c r="A62" s="13" t="s">
        <v>257</v>
      </c>
      <c r="B62" s="14" t="s">
        <v>163</v>
      </c>
      <c r="C62" s="10">
        <v>5267.6748299999999</v>
      </c>
      <c r="D62" s="10">
        <f>IF(OR(3684.11285="",5267.67483=""),"-",5267.67483/3684.11285*100)</f>
        <v>142.98353618565184</v>
      </c>
      <c r="E62" s="15">
        <f>IF(3684.11285="","-",3684.11285/2809489.71283*100)</f>
        <v>0.13113103184453351</v>
      </c>
      <c r="F62" s="15">
        <f>IF(5267.67483="","-",5267.67483/2997495.34676*100)</f>
        <v>0.17573588014719832</v>
      </c>
      <c r="G62" s="15">
        <f>IF(OR(2113068.17363="",5141.71211="",3684.11285=""),"-",(3684.11285-5141.71211)/2113068.17363*100)</f>
        <v>-6.8980228758829781E-2</v>
      </c>
      <c r="H62" s="15">
        <f>IF(OR(2809489.71283="",5267.67483="",3684.11285=""),"-",(5267.67483-3684.11285)/2809489.71283*100)</f>
        <v>5.6364754523513715E-2</v>
      </c>
    </row>
    <row r="63" spans="1:8" s="2" customFormat="1" ht="39.6" x14ac:dyDescent="0.3">
      <c r="A63" s="13" t="s">
        <v>258</v>
      </c>
      <c r="B63" s="14" t="s">
        <v>164</v>
      </c>
      <c r="C63" s="10">
        <v>71217.161200000002</v>
      </c>
      <c r="D63" s="10">
        <f>IF(OR(73507.46001="",71217.1612=""),"-",71217.1612/73507.46001*100)</f>
        <v>96.884263434366503</v>
      </c>
      <c r="E63" s="15">
        <f>IF(73507.46001="","-",73507.46001/2809489.71283*100)</f>
        <v>2.6163989736042099</v>
      </c>
      <c r="F63" s="15">
        <f>IF(71217.1612="","-",71217.1612/2997495.34676*100)</f>
        <v>2.3758889659988567</v>
      </c>
      <c r="G63" s="15">
        <f>IF(OR(2113068.17363="",75098.97618="",73507.46001=""),"-",(73507.46001-75098.97618)/2113068.17363*100)</f>
        <v>-7.5317786234315717E-2</v>
      </c>
      <c r="H63" s="15">
        <f>IF(OR(2809489.71283="",71217.1612="",73507.46001=""),"-",(71217.1612-73507.46001)/2809489.71283*100)</f>
        <v>-8.1520099523445994E-2</v>
      </c>
    </row>
    <row r="64" spans="1:8" s="2" customFormat="1" ht="26.4" x14ac:dyDescent="0.3">
      <c r="A64" s="13" t="s">
        <v>259</v>
      </c>
      <c r="B64" s="14" t="s">
        <v>165</v>
      </c>
      <c r="C64" s="10">
        <v>26902.533660000001</v>
      </c>
      <c r="D64" s="10">
        <f>IF(OR(29345.83851="",26902.53366=""),"-",26902.53366/29345.83851*100)</f>
        <v>91.674101085346706</v>
      </c>
      <c r="E64" s="15">
        <f>IF(29345.83851="","-",29345.83851/2809489.71283*100)</f>
        <v>1.0445255725973073</v>
      </c>
      <c r="F64" s="15">
        <f>IF(26902.53366="","-",26902.53366/2997495.34676*100)</f>
        <v>0.89750043112090272</v>
      </c>
      <c r="G64" s="15">
        <f>IF(OR(2113068.17363="",26449.75545="",29345.83851=""),"-",(29345.83851-26449.75545)/2113068.17363*100)</f>
        <v>0.13705582697906402</v>
      </c>
      <c r="H64" s="15">
        <f>IF(OR(2809489.71283="",26902.53366="",29345.83851=""),"-",(26902.53366-29345.83851)/2809489.71283*100)</f>
        <v>-8.6966143312155381E-2</v>
      </c>
    </row>
    <row r="65" spans="1:8" s="2" customFormat="1" ht="52.8" x14ac:dyDescent="0.3">
      <c r="A65" s="13" t="s">
        <v>260</v>
      </c>
      <c r="B65" s="14" t="s">
        <v>166</v>
      </c>
      <c r="C65" s="10">
        <v>64735.53501</v>
      </c>
      <c r="D65" s="10">
        <f>IF(OR(53574.94494="",64735.53501=""),"-",64735.53501/53574.94494*100)</f>
        <v>120.83173409230572</v>
      </c>
      <c r="E65" s="15">
        <f>IF(53574.94494="","-",53574.94494/2809489.71283*100)</f>
        <v>1.9069279625884068</v>
      </c>
      <c r="F65" s="15">
        <f>IF(64735.53501="","-",64735.53501/2997495.34676*100)</f>
        <v>2.1596542286536922</v>
      </c>
      <c r="G65" s="15">
        <f>IF(OR(2113068.17363="",56339.87667="",53574.94494=""),"-",(53574.94494-56339.87667)/2113068.17363*100)</f>
        <v>-0.13084914933199587</v>
      </c>
      <c r="H65" s="15">
        <f>IF(OR(2809489.71283="",64735.53501="",53574.94494=""),"-",(64735.53501-53574.94494)/2809489.71283*100)</f>
        <v>0.39724616249824002</v>
      </c>
    </row>
    <row r="66" spans="1:8" s="2" customFormat="1" ht="52.8" x14ac:dyDescent="0.3">
      <c r="A66" s="13" t="s">
        <v>261</v>
      </c>
      <c r="B66" s="14" t="s">
        <v>167</v>
      </c>
      <c r="C66" s="10">
        <v>202477.42042000001</v>
      </c>
      <c r="D66" s="10">
        <f>IF(OR(168818.74893="",202477.42042=""),"-",202477.42042/168818.74893*100)</f>
        <v>119.93775673811943</v>
      </c>
      <c r="E66" s="15">
        <f>IF(168818.74893="","-",168818.74893/2809489.71283*100)</f>
        <v>6.0088758524034178</v>
      </c>
      <c r="F66" s="15">
        <f>IF(202477.42042="","-",202477.42042/2997495.34676*100)</f>
        <v>6.7548868971175668</v>
      </c>
      <c r="G66" s="15">
        <f>IF(OR(2113068.17363="",172436.91894="",168818.74893=""),"-",(168818.74893-172436.91894)/2113068.17363*100)</f>
        <v>-0.17122826679957112</v>
      </c>
      <c r="H66" s="15">
        <f>IF(OR(2809489.71283="",202477.42042="",168818.74893=""),"-",(202477.42042-168818.74893)/2809489.71283*100)</f>
        <v>1.1980350501477941</v>
      </c>
    </row>
    <row r="67" spans="1:8" s="2" customFormat="1" ht="26.4" x14ac:dyDescent="0.3">
      <c r="A67" s="13" t="s">
        <v>262</v>
      </c>
      <c r="B67" s="14" t="s">
        <v>168</v>
      </c>
      <c r="C67" s="10">
        <v>180448.47852999999</v>
      </c>
      <c r="D67" s="10">
        <f>IF(OR(147301.0859="",180448.47853=""),"-",180448.47853/147301.0859*100)</f>
        <v>122.50315564713701</v>
      </c>
      <c r="E67" s="15">
        <f>IF(147301.0859="","-",147301.0859/2809489.71283*100)</f>
        <v>5.2429836360434141</v>
      </c>
      <c r="F67" s="15">
        <f>IF(180448.47853="","-",180448.47853/2997495.34676*100)</f>
        <v>6.0199752678531153</v>
      </c>
      <c r="G67" s="15">
        <f>IF(OR(2113068.17363="",134188.59691="",147301.0859=""),"-",(147301.0859-134188.59691)/2113068.17363*100)</f>
        <v>0.62054263812389521</v>
      </c>
      <c r="H67" s="15">
        <f>IF(OR(2809489.71283="",180448.47853="",147301.0859=""),"-",(180448.47853-147301.0859)/2809489.71283*100)</f>
        <v>1.1798367681727726</v>
      </c>
    </row>
    <row r="68" spans="1:8" s="2" customFormat="1" x14ac:dyDescent="0.3">
      <c r="A68" s="13" t="s">
        <v>263</v>
      </c>
      <c r="B68" s="14" t="s">
        <v>31</v>
      </c>
      <c r="C68" s="10">
        <v>2654.11798</v>
      </c>
      <c r="D68" s="10">
        <f>IF(OR(2996.13732="",2654.11798=""),"-",2654.11798/2996.13732*100)</f>
        <v>88.584657394808602</v>
      </c>
      <c r="E68" s="15">
        <f>IF(2996.13732="","-",2996.13732/2809489.71283*100)</f>
        <v>0.10664347003363787</v>
      </c>
      <c r="F68" s="15">
        <f>IF(2654.11798="","-",2654.11798/2997495.34676*100)</f>
        <v>8.8544523776120043E-2</v>
      </c>
      <c r="G68" s="15">
        <f>IF(OR(2113068.17363="",521.091="",2996.13732=""),"-",(2996.13732-521.091)/2113068.17363*100)</f>
        <v>0.11713045281204365</v>
      </c>
      <c r="H68" s="15">
        <f>IF(OR(2809489.71283="",2654.11798="",2996.13732=""),"-",(2654.11798-2996.13732)/2809489.71283*100)</f>
        <v>-1.217371747040439E-2</v>
      </c>
    </row>
    <row r="69" spans="1:8" s="2" customFormat="1" x14ac:dyDescent="0.3">
      <c r="A69" s="11" t="s">
        <v>264</v>
      </c>
      <c r="B69" s="12" t="s">
        <v>32</v>
      </c>
      <c r="C69" s="9">
        <v>256990.86243000001</v>
      </c>
      <c r="D69" s="9">
        <f>IF(237520.56059="","-",256990.86243/237520.56059*100)</f>
        <v>108.1973121786324</v>
      </c>
      <c r="E69" s="16">
        <f>IF(237520.56059="","-",237520.56059/2809489.71283*100)</f>
        <v>8.4542242495255646</v>
      </c>
      <c r="F69" s="16">
        <f>IF(256990.86243="","-",256990.86243/2997495.34676*100)</f>
        <v>8.5735199791980339</v>
      </c>
      <c r="G69" s="16">
        <f>IF(2113068.17363="","-",(237520.56059-240953.49772)/2113068.17363*100)</f>
        <v>-0.16246220414661905</v>
      </c>
      <c r="H69" s="16">
        <f>IF(2809489.71283="","-",(256990.86243-237520.56059)/2809489.71283*100)</f>
        <v>0.69301915401525205</v>
      </c>
    </row>
    <row r="70" spans="1:8" ht="39.6" x14ac:dyDescent="0.3">
      <c r="A70" s="13" t="s">
        <v>265</v>
      </c>
      <c r="B70" s="14" t="s">
        <v>194</v>
      </c>
      <c r="C70" s="10">
        <v>14140.232819999999</v>
      </c>
      <c r="D70" s="10">
        <f>IF(OR(19590.03138="",14140.23282=""),"-",14140.23282/19590.03138*100)</f>
        <v>72.180756353642963</v>
      </c>
      <c r="E70" s="15">
        <f>IF(19590.03138="","-",19590.03138/2809489.71283*100)</f>
        <v>0.69728076563295027</v>
      </c>
      <c r="F70" s="15">
        <f>IF(14140.23282="","-",14140.23282/2997495.34676*100)</f>
        <v>0.47173493814708378</v>
      </c>
      <c r="G70" s="15">
        <f>IF(OR(2113068.17363="",17944.96141="",19590.03138=""),"-",(19590.03138-17944.96141)/2113068.17363*100)</f>
        <v>7.7852195709046418E-2</v>
      </c>
      <c r="H70" s="15">
        <f>IF(OR(2809489.71283="",14140.23282="",19590.03138=""),"-",(14140.23282-19590.03138)/2809489.71283*100)</f>
        <v>-0.19397823509061426</v>
      </c>
    </row>
    <row r="71" spans="1:8" x14ac:dyDescent="0.3">
      <c r="A71" s="13" t="s">
        <v>266</v>
      </c>
      <c r="B71" s="14" t="s">
        <v>169</v>
      </c>
      <c r="C71" s="10">
        <v>19765.642889999999</v>
      </c>
      <c r="D71" s="10">
        <f>IF(OR(23102.27537="",19765.64289=""),"-",19765.64289/23102.27537*100)</f>
        <v>85.557126185358939</v>
      </c>
      <c r="E71" s="15">
        <f>IF(23102.27537="","-",23102.27537/2809489.71283*100)</f>
        <v>0.82229435703215537</v>
      </c>
      <c r="F71" s="15">
        <f>IF(19765.64289="","-",19765.64289/2997495.34676*100)</f>
        <v>0.65940529019885652</v>
      </c>
      <c r="G71" s="15">
        <f>IF(OR(2113068.17363="",21256.28537="",23102.27537=""),"-",(23102.27537-21256.28537)/2113068.17363*100)</f>
        <v>8.7360645673291576E-2</v>
      </c>
      <c r="H71" s="15">
        <f>IF(OR(2809489.71283="",19765.64289="",23102.27537=""),"-",(19765.64289-23102.27537)/2809489.71283*100)</f>
        <v>-0.11876293637106822</v>
      </c>
    </row>
    <row r="72" spans="1:8" x14ac:dyDescent="0.3">
      <c r="A72" s="13" t="s">
        <v>267</v>
      </c>
      <c r="B72" s="14" t="s">
        <v>170</v>
      </c>
      <c r="C72" s="10">
        <v>5384.0374899999997</v>
      </c>
      <c r="D72" s="10">
        <f>IF(OR(5052.24216="",5384.03749=""),"-",5384.03749/5052.24216*100)</f>
        <v>106.56728873027733</v>
      </c>
      <c r="E72" s="15">
        <f>IF(5052.24216="","-",5052.24216/2809489.71283*100)</f>
        <v>0.17982775081638844</v>
      </c>
      <c r="F72" s="15">
        <f>IF(5384.03749="","-",5384.03749/2997495.34676*100)</f>
        <v>0.17961787649877817</v>
      </c>
      <c r="G72" s="15">
        <f>IF(OR(2113068.17363="",3562.25331="",5052.24216=""),"-",(5052.24216-3562.25331)/2113068.17363*100)</f>
        <v>7.0513051523575593E-2</v>
      </c>
      <c r="H72" s="15">
        <f>IF(OR(2809489.71283="",5384.03749="",5052.24216=""),"-",(5384.03749-5052.24216)/2809489.71283*100)</f>
        <v>1.1809807613275877E-2</v>
      </c>
    </row>
    <row r="73" spans="1:8" x14ac:dyDescent="0.3">
      <c r="A73" s="13" t="s">
        <v>268</v>
      </c>
      <c r="B73" s="14" t="s">
        <v>171</v>
      </c>
      <c r="C73" s="10">
        <v>62349.270140000001</v>
      </c>
      <c r="D73" s="10">
        <f>IF(OR(58536.14412="",62349.27014=""),"-",62349.27014/58536.14412*100)</f>
        <v>106.51413938742367</v>
      </c>
      <c r="E73" s="15">
        <f>IF(58536.14412="","-",58536.14412/2809489.71283*100)</f>
        <v>2.0835151612296356</v>
      </c>
      <c r="F73" s="15">
        <f>IF(62349.27014="","-",62349.27014/2997495.34676*100)</f>
        <v>2.0800456023190654</v>
      </c>
      <c r="G73" s="15">
        <f>IF(OR(2113068.17363="",57471.91405="",58536.14412=""),"-",(58536.14412-57471.91405)/2113068.17363*100)</f>
        <v>5.0364208939448311E-2</v>
      </c>
      <c r="H73" s="15">
        <f>IF(OR(2809489.71283="",62349.27014="",58536.14412=""),"-",(62349.27014-58536.14412)/2809489.71283*100)</f>
        <v>0.13572308176060341</v>
      </c>
    </row>
    <row r="74" spans="1:8" x14ac:dyDescent="0.3">
      <c r="A74" s="13" t="s">
        <v>269</v>
      </c>
      <c r="B74" s="14" t="s">
        <v>172</v>
      </c>
      <c r="C74" s="10">
        <v>20316.064620000001</v>
      </c>
      <c r="D74" s="10">
        <f>IF(OR(20011.85225="",20316.06462=""),"-",20316.06462/20011.85225*100)</f>
        <v>101.52016098359911</v>
      </c>
      <c r="E74" s="15">
        <f>IF(20011.85225="","-",20011.85225/2809489.71283*100)</f>
        <v>0.71229491101578202</v>
      </c>
      <c r="F74" s="15">
        <f>IF(20316.06462="","-",20316.06462/2997495.34676*100)</f>
        <v>0.67776801194903213</v>
      </c>
      <c r="G74" s="15">
        <f>IF(OR(2113068.17363="",17055.54415="",20011.85225=""),"-",(20011.85225-17055.54415)/2113068.17363*100)</f>
        <v>0.13990594988335905</v>
      </c>
      <c r="H74" s="15">
        <f>IF(OR(2809489.71283="",20316.06462="",20011.85225=""),"-",(20316.06462-20011.85225)/2809489.71283*100)</f>
        <v>1.0828029325423934E-2</v>
      </c>
    </row>
    <row r="75" spans="1:8" ht="26.4" x14ac:dyDescent="0.3">
      <c r="A75" s="13" t="s">
        <v>270</v>
      </c>
      <c r="B75" s="14" t="s">
        <v>319</v>
      </c>
      <c r="C75" s="10">
        <v>24800.5193</v>
      </c>
      <c r="D75" s="10">
        <f>IF(OR(20345.82003="",24800.5193=""),"-",24800.5193/20345.82003*100)</f>
        <v>121.89491140406987</v>
      </c>
      <c r="E75" s="15">
        <f>IF(20345.82003="","-",20345.82003/2809489.71283*100)</f>
        <v>0.72418204405901332</v>
      </c>
      <c r="F75" s="15">
        <f>IF(24800.5193="","-",24800.5193/2997495.34676*100)</f>
        <v>0.82737473894019353</v>
      </c>
      <c r="G75" s="15">
        <f>IF(OR(2113068.17363="",29700.68624="",20345.82003=""),"-",(20345.82003-29700.68624)/2113068.17363*100)</f>
        <v>-0.44271483176661786</v>
      </c>
      <c r="H75" s="15">
        <f>IF(OR(2809489.71283="",24800.5193="",20345.82003=""),"-",(24800.5193-20345.82003)/2809489.71283*100)</f>
        <v>0.15855901695090319</v>
      </c>
    </row>
    <row r="76" spans="1:8" ht="39.6" x14ac:dyDescent="0.3">
      <c r="A76" s="13" t="s">
        <v>271</v>
      </c>
      <c r="B76" s="14" t="s">
        <v>173</v>
      </c>
      <c r="C76" s="10">
        <v>6192.2004200000001</v>
      </c>
      <c r="D76" s="10">
        <f>IF(OR(4530.81906="",6192.20042=""),"-",6192.20042/4530.81906*100)</f>
        <v>136.66845526159679</v>
      </c>
      <c r="E76" s="15">
        <f>IF(4530.81906="","-",4530.81906/2809489.71283*100)</f>
        <v>0.16126839828988387</v>
      </c>
      <c r="F76" s="15">
        <f>IF(6192.20042="","-",6192.20042/2997495.34676*100)</f>
        <v>0.20657915037943811</v>
      </c>
      <c r="G76" s="15">
        <f>IF(OR(2113068.17363="",3935.88276="",4530.81906=""),"-",(4530.81906-3935.88276)/2113068.17363*100)</f>
        <v>2.8155092553306976E-2</v>
      </c>
      <c r="H76" s="15">
        <f>IF(OR(2809489.71283="",6192.20042="",4530.81906=""),"-",(6192.20042-4530.81906)/2809489.71283*100)</f>
        <v>5.9134630478019798E-2</v>
      </c>
    </row>
    <row r="77" spans="1:8" x14ac:dyDescent="0.3">
      <c r="A77" s="13" t="s">
        <v>272</v>
      </c>
      <c r="B77" s="14" t="s">
        <v>33</v>
      </c>
      <c r="C77" s="10">
        <v>104042.89475000001</v>
      </c>
      <c r="D77" s="10">
        <f>IF(OR(86351.37622="",104042.89475=""),"-",104042.89475/86351.37622*100)</f>
        <v>120.48782463515901</v>
      </c>
      <c r="E77" s="15">
        <f>IF(86351.37622="","-",86351.37622/2809489.71283*100)</f>
        <v>3.0735608614497552</v>
      </c>
      <c r="F77" s="15">
        <f>IF(104042.89475="","-",104042.89475/2997495.34676*100)</f>
        <v>3.4709943707655864</v>
      </c>
      <c r="G77" s="15">
        <f>IF(OR(2113068.17363="",90025.97043="",86351.37622=""),"-",(86351.37622-90025.97043)/2113068.17363*100)</f>
        <v>-0.17389851666202891</v>
      </c>
      <c r="H77" s="15">
        <f>IF(OR(2809489.71283="",104042.89475="",86351.37622=""),"-",(104042.89475-86351.37622)/2809489.71283*100)</f>
        <v>0.62970575934870854</v>
      </c>
    </row>
    <row r="78" spans="1:8" ht="26.4" x14ac:dyDescent="0.3">
      <c r="A78" s="59" t="s">
        <v>275</v>
      </c>
      <c r="B78" s="56" t="s">
        <v>174</v>
      </c>
      <c r="C78" s="57">
        <v>3180.1052100000002</v>
      </c>
      <c r="D78" s="57">
        <f>IF(10709.57716="","-",3180.10521/10709.57716*100)</f>
        <v>29.694031449510561</v>
      </c>
      <c r="E78" s="58">
        <f>IF(10709.57716="","-",10709.57716/2809489.71283*100)</f>
        <v>0.38119296579350131</v>
      </c>
      <c r="F78" s="58">
        <f>IF(3180.10521="","-",3180.10521/2997495.34676*100)</f>
        <v>0.10609208162532709</v>
      </c>
      <c r="G78" s="58">
        <f>IF(2113068.17363="","-",(10709.57716-77.36987)/2113068.17363*100)</f>
        <v>0.50316442331035305</v>
      </c>
      <c r="H78" s="58">
        <f>IF(2809489.71283="","-",(3180.10521-10709.57716)/2809489.71283*100)</f>
        <v>-0.26800140664745703</v>
      </c>
    </row>
    <row r="79" spans="1:8" x14ac:dyDescent="0.3">
      <c r="A79" s="19" t="s">
        <v>278</v>
      </c>
      <c r="B79" s="20"/>
    </row>
    <row r="80" spans="1:8" x14ac:dyDescent="0.3">
      <c r="A80" s="20" t="s">
        <v>324</v>
      </c>
      <c r="B80" s="20"/>
    </row>
  </sheetData>
  <mergeCells count="8">
    <mergeCell ref="B1:H1"/>
    <mergeCell ref="B2:H2"/>
    <mergeCell ref="A4:A5"/>
    <mergeCell ref="B4:B5"/>
    <mergeCell ref="C4:D4"/>
    <mergeCell ref="E4:F4"/>
    <mergeCell ref="G4:H4"/>
    <mergeCell ref="A3:H3"/>
  </mergeCells>
  <pageMargins left="0.59055118110236227" right="0.39370078740157483" top="0.39370078740157483" bottom="0.39370078740157483" header="0.11811023622047245" footer="0.11811023622047245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0000"/>
  </sheetPr>
  <dimension ref="A1:E82"/>
  <sheetViews>
    <sheetView zoomScale="99" zoomScaleNormal="99" workbookViewId="0">
      <selection activeCell="B1" sqref="B1:E1"/>
    </sheetView>
  </sheetViews>
  <sheetFormatPr defaultRowHeight="15.6" x14ac:dyDescent="0.3"/>
  <cols>
    <col min="1" max="1" width="7" customWidth="1"/>
    <col min="2" max="2" width="39" customWidth="1"/>
    <col min="3" max="4" width="13.3984375" customWidth="1"/>
    <col min="5" max="5" width="13.59765625" customWidth="1"/>
  </cols>
  <sheetData>
    <row r="1" spans="1:5" ht="16.2" x14ac:dyDescent="0.35">
      <c r="B1" s="83" t="s">
        <v>129</v>
      </c>
      <c r="C1" s="83"/>
      <c r="D1" s="83"/>
      <c r="E1" s="83"/>
    </row>
    <row r="2" spans="1:5" ht="16.2" x14ac:dyDescent="0.35">
      <c r="B2" s="83" t="s">
        <v>277</v>
      </c>
      <c r="C2" s="83"/>
      <c r="D2" s="83"/>
      <c r="E2" s="83"/>
    </row>
    <row r="3" spans="1:5" x14ac:dyDescent="0.3">
      <c r="A3" s="93"/>
      <c r="B3" s="93"/>
      <c r="C3" s="93"/>
      <c r="D3" s="93"/>
      <c r="E3" s="93"/>
    </row>
    <row r="4" spans="1:5" ht="74.25" customHeight="1" x14ac:dyDescent="0.3">
      <c r="A4" s="43" t="s">
        <v>276</v>
      </c>
      <c r="B4" s="45"/>
      <c r="C4" s="43" t="s">
        <v>360</v>
      </c>
      <c r="D4" s="43" t="s">
        <v>361</v>
      </c>
      <c r="E4" s="44" t="s">
        <v>366</v>
      </c>
    </row>
    <row r="5" spans="1:5" s="36" customFormat="1" ht="15.75" customHeight="1" x14ac:dyDescent="0.25">
      <c r="A5" s="24"/>
      <c r="B5" s="54" t="s">
        <v>282</v>
      </c>
      <c r="C5" s="51">
        <v>-1350501.33614</v>
      </c>
      <c r="D5" s="51">
        <v>-1608477.42469</v>
      </c>
      <c r="E5" s="51">
        <f>IF(-1350501.33614="","-",-1608477.42469/-1350501.33614*100)</f>
        <v>119.10224608050717</v>
      </c>
    </row>
    <row r="6" spans="1:5" x14ac:dyDescent="0.3">
      <c r="A6" s="24"/>
      <c r="B6" s="32" t="s">
        <v>119</v>
      </c>
      <c r="C6" s="71"/>
      <c r="D6" s="71"/>
      <c r="E6" s="16"/>
    </row>
    <row r="7" spans="1:5" x14ac:dyDescent="0.3">
      <c r="A7" s="11" t="s">
        <v>204</v>
      </c>
      <c r="B7" s="12" t="s">
        <v>175</v>
      </c>
      <c r="C7" s="47">
        <v>104850.82854</v>
      </c>
      <c r="D7" s="16">
        <v>-26985.626810000002</v>
      </c>
      <c r="E7" s="16" t="s">
        <v>20</v>
      </c>
    </row>
    <row r="8" spans="1:5" x14ac:dyDescent="0.3">
      <c r="A8" s="13" t="s">
        <v>205</v>
      </c>
      <c r="B8" s="14" t="s">
        <v>21</v>
      </c>
      <c r="C8" s="48">
        <v>1880.7751000000001</v>
      </c>
      <c r="D8" s="15">
        <v>1609.5437999999999</v>
      </c>
      <c r="E8" s="15">
        <f>IF(OR(1880.7751="",1609.5438="",1880.7751=0,1609.5438=0),"-",1609.5438/1880.7751*100)</f>
        <v>85.578748889221245</v>
      </c>
    </row>
    <row r="9" spans="1:5" x14ac:dyDescent="0.3">
      <c r="A9" s="13" t="s">
        <v>206</v>
      </c>
      <c r="B9" s="14" t="s">
        <v>176</v>
      </c>
      <c r="C9" s="48">
        <v>-32714.89791</v>
      </c>
      <c r="D9" s="15">
        <v>-20087.7971</v>
      </c>
      <c r="E9" s="15">
        <f>IF(OR(-32714.89791="",-20087.7971="",-32714.89791=0,-20087.7971=0),"-",-20087.7971/-32714.89791*100)</f>
        <v>61.402597542142232</v>
      </c>
    </row>
    <row r="10" spans="1:5" x14ac:dyDescent="0.3">
      <c r="A10" s="13" t="s">
        <v>207</v>
      </c>
      <c r="B10" s="14" t="s">
        <v>177</v>
      </c>
      <c r="C10" s="48">
        <v>-35416.48659</v>
      </c>
      <c r="D10" s="15">
        <v>-36091.756600000001</v>
      </c>
      <c r="E10" s="15">
        <f>IF(OR(-35416.48659="",-36091.7566="",-35416.48659=0,-36091.7566=0),"-",-36091.7566/-35416.48659*100)</f>
        <v>101.90665442853573</v>
      </c>
    </row>
    <row r="11" spans="1:5" x14ac:dyDescent="0.3">
      <c r="A11" s="13" t="s">
        <v>208</v>
      </c>
      <c r="B11" s="14" t="s">
        <v>178</v>
      </c>
      <c r="C11" s="48">
        <v>-25693.546249999999</v>
      </c>
      <c r="D11" s="15">
        <v>-27946.198789999999</v>
      </c>
      <c r="E11" s="15">
        <f>IF(OR(-25693.54625="",-27946.19879="",-25693.54625=0,-27946.19879=0),"-",-27946.19879/-25693.54625*100)</f>
        <v>108.76738663507766</v>
      </c>
    </row>
    <row r="12" spans="1:5" x14ac:dyDescent="0.3">
      <c r="A12" s="13" t="s">
        <v>209</v>
      </c>
      <c r="B12" s="14" t="s">
        <v>179</v>
      </c>
      <c r="C12" s="48">
        <v>195118.60385000001</v>
      </c>
      <c r="D12" s="15">
        <v>85150.432360000006</v>
      </c>
      <c r="E12" s="15">
        <f>IF(OR(195118.60385="",85150.43236="",195118.60385=0,85150.43236=0),"-",85150.43236/195118.60385*100)</f>
        <v>43.640345246351039</v>
      </c>
    </row>
    <row r="13" spans="1:5" x14ac:dyDescent="0.3">
      <c r="A13" s="13" t="s">
        <v>210</v>
      </c>
      <c r="B13" s="14" t="s">
        <v>180</v>
      </c>
      <c r="C13" s="48">
        <v>46935.969969999998</v>
      </c>
      <c r="D13" s="15">
        <v>25727.533289999999</v>
      </c>
      <c r="E13" s="15">
        <f>IF(OR(46935.96997="",25727.53329="",46935.96997=0,25727.53329=0),"-",25727.53329/46935.96997*100)</f>
        <v>54.814108042177956</v>
      </c>
    </row>
    <row r="14" spans="1:5" x14ac:dyDescent="0.3">
      <c r="A14" s="13" t="s">
        <v>211</v>
      </c>
      <c r="B14" s="14" t="s">
        <v>138</v>
      </c>
      <c r="C14" s="48">
        <v>3447.8331600000001</v>
      </c>
      <c r="D14" s="15">
        <v>-2101.74197</v>
      </c>
      <c r="E14" s="15" t="s">
        <v>20</v>
      </c>
    </row>
    <row r="15" spans="1:5" ht="17.25" customHeight="1" x14ac:dyDescent="0.3">
      <c r="A15" s="13" t="s">
        <v>212</v>
      </c>
      <c r="B15" s="14" t="s">
        <v>181</v>
      </c>
      <c r="C15" s="48">
        <v>-17592.29262</v>
      </c>
      <c r="D15" s="15">
        <v>-21815.593369999999</v>
      </c>
      <c r="E15" s="15">
        <f>IF(OR(-17592.29262="",-21815.59337="",-17592.29262=0,-21815.59337=0),"-",-21815.59337/-17592.29262*100)</f>
        <v>124.00653991622836</v>
      </c>
    </row>
    <row r="16" spans="1:5" ht="15.75" customHeight="1" x14ac:dyDescent="0.3">
      <c r="A16" s="13" t="s">
        <v>213</v>
      </c>
      <c r="B16" s="14" t="s">
        <v>139</v>
      </c>
      <c r="C16" s="48">
        <v>4687.6795199999997</v>
      </c>
      <c r="D16" s="15">
        <v>3041.0169099999998</v>
      </c>
      <c r="E16" s="15">
        <f>IF(OR(4687.67952="",3041.01691="",4687.67952=0,3041.01691=0),"-",3041.01691/4687.67952*100)</f>
        <v>64.872542950632422</v>
      </c>
    </row>
    <row r="17" spans="1:5" x14ac:dyDescent="0.3">
      <c r="A17" s="13" t="s">
        <v>214</v>
      </c>
      <c r="B17" s="14" t="s">
        <v>182</v>
      </c>
      <c r="C17" s="48">
        <v>-35802.809690000002</v>
      </c>
      <c r="D17" s="15">
        <v>-34471.065340000001</v>
      </c>
      <c r="E17" s="15">
        <f>IF(OR(-35802.80969="",-34471.06534="",-35802.80969=0,-34471.06534=0),"-",-34471.06534/-35802.80969*100)</f>
        <v>96.280335645355891</v>
      </c>
    </row>
    <row r="18" spans="1:5" x14ac:dyDescent="0.3">
      <c r="A18" s="11" t="s">
        <v>215</v>
      </c>
      <c r="B18" s="12" t="s">
        <v>183</v>
      </c>
      <c r="C18" s="47">
        <v>19251.212230000001</v>
      </c>
      <c r="D18" s="16">
        <v>29973.83555</v>
      </c>
      <c r="E18" s="16">
        <f>IF(19251.21223="","-",29973.83555/19251.21223*100)</f>
        <v>155.69843182805116</v>
      </c>
    </row>
    <row r="19" spans="1:5" x14ac:dyDescent="0.3">
      <c r="A19" s="13" t="s">
        <v>216</v>
      </c>
      <c r="B19" s="14" t="s">
        <v>184</v>
      </c>
      <c r="C19" s="48">
        <v>26161.182209999999</v>
      </c>
      <c r="D19" s="15">
        <v>39453.619120000003</v>
      </c>
      <c r="E19" s="15">
        <f>IF(OR(26161.1822099999="",39453.61912="",26161.1822099999=0,39453.61912=0),"-",39453.61912/26161.1822099999*100)</f>
        <v>150.80977152828808</v>
      </c>
    </row>
    <row r="20" spans="1:5" x14ac:dyDescent="0.3">
      <c r="A20" s="13" t="s">
        <v>217</v>
      </c>
      <c r="B20" s="14" t="s">
        <v>185</v>
      </c>
      <c r="C20" s="48">
        <v>-6909.9699799999999</v>
      </c>
      <c r="D20" s="15">
        <v>-9479.7835699999996</v>
      </c>
      <c r="E20" s="15">
        <f>IF(OR(-6909.96998="",-9479.78357="",-6909.96998=0,-9479.78357=0),"-",-9479.78357/-6909.96998*100)</f>
        <v>137.18993855889369</v>
      </c>
    </row>
    <row r="21" spans="1:5" ht="16.5" customHeight="1" x14ac:dyDescent="0.3">
      <c r="A21" s="11" t="s">
        <v>218</v>
      </c>
      <c r="B21" s="12" t="s">
        <v>22</v>
      </c>
      <c r="C21" s="47">
        <v>110703.89862000001</v>
      </c>
      <c r="D21" s="16">
        <v>-18527.31885</v>
      </c>
      <c r="E21" s="16" t="s">
        <v>20</v>
      </c>
    </row>
    <row r="22" spans="1:5" x14ac:dyDescent="0.3">
      <c r="A22" s="13" t="s">
        <v>219</v>
      </c>
      <c r="B22" s="14" t="s">
        <v>192</v>
      </c>
      <c r="C22" s="48">
        <v>513.21825999999999</v>
      </c>
      <c r="D22" s="15">
        <v>443.03041999999999</v>
      </c>
      <c r="E22" s="15">
        <f>IF(OR(513.21826="",443.03042="",513.21826=0,443.03042=0),"-",443.03042/513.21826*100)</f>
        <v>86.323978418071107</v>
      </c>
    </row>
    <row r="23" spans="1:5" x14ac:dyDescent="0.3">
      <c r="A23" s="13" t="s">
        <v>220</v>
      </c>
      <c r="B23" s="14" t="s">
        <v>186</v>
      </c>
      <c r="C23" s="48">
        <v>125536.85009000001</v>
      </c>
      <c r="D23" s="15">
        <v>4209.8639700000003</v>
      </c>
      <c r="E23" s="15">
        <f>IF(OR(125536.85009="",4209.86397="",125536.85009=0,4209.86397=0),"-",4209.86397/125536.85009*100)</f>
        <v>3.3534886107002531</v>
      </c>
    </row>
    <row r="24" spans="1:5" ht="17.25" customHeight="1" x14ac:dyDescent="0.3">
      <c r="A24" s="13" t="s">
        <v>273</v>
      </c>
      <c r="B24" s="14" t="s">
        <v>187</v>
      </c>
      <c r="C24" s="48">
        <v>-1193.8532499999999</v>
      </c>
      <c r="D24" s="15">
        <v>-1561.2407700000001</v>
      </c>
      <c r="E24" s="15">
        <f>IF(OR(-1193.85325="",-1561.24077="",-1193.85325=0,-1561.24077=0),"-",-1561.24077/-1193.85325*100)</f>
        <v>130.77325626076743</v>
      </c>
    </row>
    <row r="25" spans="1:5" x14ac:dyDescent="0.3">
      <c r="A25" s="13" t="s">
        <v>221</v>
      </c>
      <c r="B25" s="14" t="s">
        <v>188</v>
      </c>
      <c r="C25" s="48">
        <v>-17411.938050000001</v>
      </c>
      <c r="D25" s="15">
        <v>-11454.13989</v>
      </c>
      <c r="E25" s="15">
        <f>IF(OR(-17411.93805="",-11454.13989="",-17411.93805=0,-11454.13989=0),"-",-11454.13989/-17411.93805*100)</f>
        <v>65.783256620304826</v>
      </c>
    </row>
    <row r="26" spans="1:5" x14ac:dyDescent="0.3">
      <c r="A26" s="13" t="s">
        <v>222</v>
      </c>
      <c r="B26" s="14" t="s">
        <v>140</v>
      </c>
      <c r="C26" s="48">
        <v>1150.1107500000001</v>
      </c>
      <c r="D26" s="15">
        <v>957.79980999999998</v>
      </c>
      <c r="E26" s="15">
        <f>IF(OR(1150.11075="",957.79981="",1150.11075=0,957.79981=0),"-",957.79981/1150.11075*100)</f>
        <v>83.27891987793349</v>
      </c>
    </row>
    <row r="27" spans="1:5" ht="28.5" customHeight="1" x14ac:dyDescent="0.3">
      <c r="A27" s="13" t="s">
        <v>223</v>
      </c>
      <c r="B27" s="14" t="s">
        <v>141</v>
      </c>
      <c r="C27" s="48">
        <v>-2658.9635699999999</v>
      </c>
      <c r="D27" s="15">
        <v>-2458.19524</v>
      </c>
      <c r="E27" s="15">
        <f>IF(OR(-2658.96357="",-2458.19524="",-2658.96357=0,-2458.19524=0),"-",-2458.19524/-2658.96357*100)</f>
        <v>92.44937643128371</v>
      </c>
    </row>
    <row r="28" spans="1:5" ht="26.4" x14ac:dyDescent="0.3">
      <c r="A28" s="13" t="s">
        <v>224</v>
      </c>
      <c r="B28" s="14" t="s">
        <v>142</v>
      </c>
      <c r="C28" s="48">
        <v>-3825.53026</v>
      </c>
      <c r="D28" s="15">
        <v>-284.46521999999999</v>
      </c>
      <c r="E28" s="15">
        <f>IF(OR(-3825.53026="",-284.46522="",-3825.53026=0,-284.46522=0),"-",-284.46522/-3825.53026*100)</f>
        <v>7.4359683669055583</v>
      </c>
    </row>
    <row r="29" spans="1:5" x14ac:dyDescent="0.3">
      <c r="A29" s="13" t="s">
        <v>225</v>
      </c>
      <c r="B29" s="14" t="s">
        <v>143</v>
      </c>
      <c r="C29" s="48">
        <v>28396.998520000001</v>
      </c>
      <c r="D29" s="15">
        <v>13906.58764</v>
      </c>
      <c r="E29" s="15">
        <f>IF(OR(28396.99852="",13906.58764="",28396.99852=0,13906.58764=0),"-",13906.58764/28396.99852*100)</f>
        <v>48.972033541522329</v>
      </c>
    </row>
    <row r="30" spans="1:5" x14ac:dyDescent="0.3">
      <c r="A30" s="13" t="s">
        <v>226</v>
      </c>
      <c r="B30" s="14" t="s">
        <v>144</v>
      </c>
      <c r="C30" s="48">
        <v>-19802.993869999998</v>
      </c>
      <c r="D30" s="15">
        <v>-22286.559570000001</v>
      </c>
      <c r="E30" s="15">
        <f>IF(OR(-19802.99387="",-22286.55957="",-19802.99387=0,-22286.55957=0),"-",-22286.55957/-19802.99387*100)</f>
        <v>112.54136478708108</v>
      </c>
    </row>
    <row r="31" spans="1:5" ht="15.75" customHeight="1" x14ac:dyDescent="0.3">
      <c r="A31" s="11" t="s">
        <v>227</v>
      </c>
      <c r="B31" s="12" t="s">
        <v>145</v>
      </c>
      <c r="C31" s="47">
        <v>-642210.0183</v>
      </c>
      <c r="D31" s="16">
        <v>-642801.73034999997</v>
      </c>
      <c r="E31" s="16">
        <f>IF(-642210.0183="","-",-642801.73035/-642210.0183*100)</f>
        <v>100.0921368451346</v>
      </c>
    </row>
    <row r="32" spans="1:5" x14ac:dyDescent="0.3">
      <c r="A32" s="13" t="s">
        <v>228</v>
      </c>
      <c r="B32" s="14" t="s">
        <v>189</v>
      </c>
      <c r="C32" s="48">
        <v>-6169.27574</v>
      </c>
      <c r="D32" s="15">
        <v>-6365.0528400000003</v>
      </c>
      <c r="E32" s="15">
        <f>IF(OR(-6169.27574="",-6365.05284="",-6169.27574=0,-6365.05284=0),"-",-6365.05284/-6169.27574*100)</f>
        <v>103.17342113160272</v>
      </c>
    </row>
    <row r="33" spans="1:5" x14ac:dyDescent="0.3">
      <c r="A33" s="13" t="s">
        <v>229</v>
      </c>
      <c r="B33" s="14" t="s">
        <v>146</v>
      </c>
      <c r="C33" s="48">
        <v>-263471.42994</v>
      </c>
      <c r="D33" s="15">
        <v>-321450.3162</v>
      </c>
      <c r="E33" s="15">
        <f>IF(OR(-263471.42994="",-321450.3162="",-263471.42994=0,-321450.3162=0),"-",-321450.3162/-263471.42994*100)</f>
        <v>122.00575837509345</v>
      </c>
    </row>
    <row r="34" spans="1:5" x14ac:dyDescent="0.3">
      <c r="A34" s="13" t="s">
        <v>274</v>
      </c>
      <c r="B34" s="14" t="s">
        <v>190</v>
      </c>
      <c r="C34" s="48">
        <v>-372570.56228000001</v>
      </c>
      <c r="D34" s="15">
        <v>-308277.05378000002</v>
      </c>
      <c r="E34" s="15">
        <f>IF(OR(-372570.56228="",-308277.05378="",-372570.56228=0,-308277.05378=0),"-",-308277.05378/-372570.56228*100)</f>
        <v>82.743266642821567</v>
      </c>
    </row>
    <row r="35" spans="1:5" x14ac:dyDescent="0.3">
      <c r="A35" s="13" t="s">
        <v>279</v>
      </c>
      <c r="B35" s="14" t="s">
        <v>281</v>
      </c>
      <c r="C35" s="48">
        <v>1.24966</v>
      </c>
      <c r="D35" s="15">
        <v>-6709.30753</v>
      </c>
      <c r="E35" s="15" t="s">
        <v>20</v>
      </c>
    </row>
    <row r="36" spans="1:5" ht="26.4" x14ac:dyDescent="0.3">
      <c r="A36" s="11" t="s">
        <v>230</v>
      </c>
      <c r="B36" s="12" t="s">
        <v>147</v>
      </c>
      <c r="C36" s="47">
        <v>115181.30805000001</v>
      </c>
      <c r="D36" s="16">
        <v>107948.38226</v>
      </c>
      <c r="E36" s="16">
        <f>IF(115181.30805="","-",107948.38226/115181.30805*100)</f>
        <v>93.720399679034543</v>
      </c>
    </row>
    <row r="37" spans="1:5" x14ac:dyDescent="0.3">
      <c r="A37" s="13" t="s">
        <v>231</v>
      </c>
      <c r="B37" s="14" t="s">
        <v>193</v>
      </c>
      <c r="C37" s="48">
        <v>-728.85472000000004</v>
      </c>
      <c r="D37" s="15">
        <v>-855.4479</v>
      </c>
      <c r="E37" s="15">
        <f>IF(OR(-728.85472="",-855.4479="",-728.85472=0,-855.4479=0),"-",-855.4479/-728.85472*100)</f>
        <v>117.36878098285486</v>
      </c>
    </row>
    <row r="38" spans="1:5" ht="14.25" customHeight="1" x14ac:dyDescent="0.3">
      <c r="A38" s="13" t="s">
        <v>232</v>
      </c>
      <c r="B38" s="14" t="s">
        <v>148</v>
      </c>
      <c r="C38" s="48">
        <v>116803.55551000001</v>
      </c>
      <c r="D38" s="15">
        <v>109661.65837999999</v>
      </c>
      <c r="E38" s="15">
        <f>IF(OR(116803.55551="",109661.65838="",116803.55551=0,109661.65838=0),"-",109661.65838/116803.55551*100)</f>
        <v>93.885548176323653</v>
      </c>
    </row>
    <row r="39" spans="1:5" ht="40.5" customHeight="1" x14ac:dyDescent="0.3">
      <c r="A39" s="13" t="s">
        <v>233</v>
      </c>
      <c r="B39" s="14" t="s">
        <v>191</v>
      </c>
      <c r="C39" s="48">
        <v>-893.39274</v>
      </c>
      <c r="D39" s="15">
        <v>-857.82821999999999</v>
      </c>
      <c r="E39" s="15">
        <f>IF(OR(-893.39274="",-857.82822="",-893.39274=0,-857.82822=0),"-",-857.82822/-893.39274*100)</f>
        <v>96.019161740669617</v>
      </c>
    </row>
    <row r="40" spans="1:5" ht="15" customHeight="1" x14ac:dyDescent="0.3">
      <c r="A40" s="11" t="s">
        <v>234</v>
      </c>
      <c r="B40" s="12" t="s">
        <v>149</v>
      </c>
      <c r="C40" s="47">
        <v>-350049.04600999999</v>
      </c>
      <c r="D40" s="16">
        <v>-366828.49994000001</v>
      </c>
      <c r="E40" s="16">
        <f>IF(-350049.04601="","-",-366828.49994/-350049.04601*100)</f>
        <v>104.79345798003423</v>
      </c>
    </row>
    <row r="41" spans="1:5" x14ac:dyDescent="0.3">
      <c r="A41" s="13" t="s">
        <v>235</v>
      </c>
      <c r="B41" s="14" t="s">
        <v>23</v>
      </c>
      <c r="C41" s="48">
        <v>13025.323549999999</v>
      </c>
      <c r="D41" s="15">
        <v>3432.4704400000001</v>
      </c>
      <c r="E41" s="15">
        <f>IF(OR(13025.32355="",3432.47044="",13025.32355=0,3432.47044=0),"-",3432.47044/13025.32355*100)</f>
        <v>26.352285429408777</v>
      </c>
    </row>
    <row r="42" spans="1:5" x14ac:dyDescent="0.3">
      <c r="A42" s="13" t="s">
        <v>236</v>
      </c>
      <c r="B42" s="14" t="s">
        <v>24</v>
      </c>
      <c r="C42" s="48">
        <v>-7288.2455200000004</v>
      </c>
      <c r="D42" s="15">
        <v>-8993.2438099999999</v>
      </c>
      <c r="E42" s="15">
        <f>IF(OR(-7288.24552="",-8993.24381="",-7288.24552=0,-8993.24381=0),"-",-8993.24381/-7288.24552*100)</f>
        <v>123.39380973543273</v>
      </c>
    </row>
    <row r="43" spans="1:5" x14ac:dyDescent="0.3">
      <c r="A43" s="13" t="s">
        <v>237</v>
      </c>
      <c r="B43" s="14" t="s">
        <v>150</v>
      </c>
      <c r="C43" s="48">
        <v>-12440.87343</v>
      </c>
      <c r="D43" s="15">
        <v>-12441.29025</v>
      </c>
      <c r="E43" s="15">
        <f>IF(OR(-12440.87343="",-12441.29025="",-12440.87343=0,-12441.29025=0),"-",-12441.29025/-12440.87343*100)</f>
        <v>100.00335040784994</v>
      </c>
    </row>
    <row r="44" spans="1:5" x14ac:dyDescent="0.3">
      <c r="A44" s="13" t="s">
        <v>238</v>
      </c>
      <c r="B44" s="14" t="s">
        <v>151</v>
      </c>
      <c r="C44" s="48">
        <v>-87461.233370000002</v>
      </c>
      <c r="D44" s="15">
        <v>-87954.911529999998</v>
      </c>
      <c r="E44" s="15">
        <f>IF(OR(-87461.23337="",-87954.91153="",-87461.23337=0,-87954.91153=0),"-",-87954.91153/-87461.23337*100)</f>
        <v>100.56445369105592</v>
      </c>
    </row>
    <row r="45" spans="1:5" ht="28.5" customHeight="1" x14ac:dyDescent="0.3">
      <c r="A45" s="13" t="s">
        <v>239</v>
      </c>
      <c r="B45" s="14" t="s">
        <v>152</v>
      </c>
      <c r="C45" s="48">
        <v>-42024.031540000004</v>
      </c>
      <c r="D45" s="15">
        <v>-47145.852339999998</v>
      </c>
      <c r="E45" s="15">
        <f>IF(OR(-42024.03154="",-47145.85234="",-42024.03154=0,-47145.85234=0),"-",-47145.85234/-42024.03154*100)</f>
        <v>112.18783779734427</v>
      </c>
    </row>
    <row r="46" spans="1:5" x14ac:dyDescent="0.3">
      <c r="A46" s="13" t="s">
        <v>240</v>
      </c>
      <c r="B46" s="14" t="s">
        <v>153</v>
      </c>
      <c r="C46" s="48">
        <v>-67999.712390000001</v>
      </c>
      <c r="D46" s="15">
        <v>-76982.357749999996</v>
      </c>
      <c r="E46" s="15">
        <f>IF(OR(-67999.71239="",-76982.35775="",-67999.71239=0,-76982.35775=0),"-",-76982.35775/-67999.71239*100)</f>
        <v>113.20982845998179</v>
      </c>
    </row>
    <row r="47" spans="1:5" x14ac:dyDescent="0.3">
      <c r="A47" s="13" t="s">
        <v>241</v>
      </c>
      <c r="B47" s="14" t="s">
        <v>25</v>
      </c>
      <c r="C47" s="48">
        <v>-22029.064579999998</v>
      </c>
      <c r="D47" s="15">
        <v>-14545.760480000001</v>
      </c>
      <c r="E47" s="15">
        <f>IF(OR(-22029.06458="",-14545.76048="",-22029.06458=0,-14545.76048=0),"-",-14545.76048/-22029.06458*100)</f>
        <v>66.029859902476176</v>
      </c>
    </row>
    <row r="48" spans="1:5" x14ac:dyDescent="0.3">
      <c r="A48" s="13" t="s">
        <v>242</v>
      </c>
      <c r="B48" s="14" t="s">
        <v>26</v>
      </c>
      <c r="C48" s="48">
        <v>-43643.267529999997</v>
      </c>
      <c r="D48" s="15">
        <v>-40306.616419999998</v>
      </c>
      <c r="E48" s="15">
        <f>IF(OR(-43643.26753="",-40306.61642="",-43643.26753=0,-40306.61642=0),"-",-40306.61642/-43643.26753*100)</f>
        <v>92.354717465399645</v>
      </c>
    </row>
    <row r="49" spans="1:5" x14ac:dyDescent="0.3">
      <c r="A49" s="13" t="s">
        <v>243</v>
      </c>
      <c r="B49" s="14" t="s">
        <v>154</v>
      </c>
      <c r="C49" s="48">
        <v>-80187.941200000001</v>
      </c>
      <c r="D49" s="15">
        <v>-81890.9378</v>
      </c>
      <c r="E49" s="15">
        <f>IF(OR(-80187.9412="",-81890.9378="",-80187.9412=0,-81890.9378=0),"-",-81890.9378/-80187.9412*100)</f>
        <v>102.12375648322542</v>
      </c>
    </row>
    <row r="50" spans="1:5" ht="26.4" x14ac:dyDescent="0.3">
      <c r="A50" s="11" t="s">
        <v>244</v>
      </c>
      <c r="B50" s="12" t="s">
        <v>307</v>
      </c>
      <c r="C50" s="47">
        <v>-305490.41924999998</v>
      </c>
      <c r="D50" s="16">
        <v>-271858.39905000001</v>
      </c>
      <c r="E50" s="16">
        <f>IF(-305490.41925="","-",-271858.39905/-305490.41925*100)</f>
        <v>88.990810159425322</v>
      </c>
    </row>
    <row r="51" spans="1:5" x14ac:dyDescent="0.3">
      <c r="A51" s="13" t="s">
        <v>245</v>
      </c>
      <c r="B51" s="14" t="s">
        <v>155</v>
      </c>
      <c r="C51" s="48">
        <v>-16643.65711</v>
      </c>
      <c r="D51" s="15">
        <v>-14786.14078</v>
      </c>
      <c r="E51" s="15">
        <f>IF(OR(-16643.65711="",-14786.14078="",-16643.65711=0,-14786.14078=0),"-",-14786.14078/-16643.65711*100)</f>
        <v>88.839494122454923</v>
      </c>
    </row>
    <row r="52" spans="1:5" x14ac:dyDescent="0.3">
      <c r="A52" s="13" t="s">
        <v>246</v>
      </c>
      <c r="B52" s="14" t="s">
        <v>27</v>
      </c>
      <c r="C52" s="48">
        <v>-26101.266800000001</v>
      </c>
      <c r="D52" s="15">
        <v>-23045.69714</v>
      </c>
      <c r="E52" s="15">
        <f>IF(OR(-26101.2668="",-23045.69714="",-26101.2668=0,-23045.69714=0),"-",-23045.69714/-26101.2668*100)</f>
        <v>88.293404747696002</v>
      </c>
    </row>
    <row r="53" spans="1:5" x14ac:dyDescent="0.3">
      <c r="A53" s="13" t="s">
        <v>247</v>
      </c>
      <c r="B53" s="14" t="s">
        <v>156</v>
      </c>
      <c r="C53" s="48">
        <v>-22014.479920000002</v>
      </c>
      <c r="D53" s="15">
        <v>-21433.743109999999</v>
      </c>
      <c r="E53" s="15">
        <f>IF(OR(-22014.47992="",-21433.74311="",-22014.47992=0,-21433.74311=0),"-",-21433.74311/-22014.47992*100)</f>
        <v>97.362023485858472</v>
      </c>
    </row>
    <row r="54" spans="1:5" ht="26.4" x14ac:dyDescent="0.3">
      <c r="A54" s="13" t="s">
        <v>248</v>
      </c>
      <c r="B54" s="14" t="s">
        <v>157</v>
      </c>
      <c r="C54" s="48">
        <v>-38062.172140000002</v>
      </c>
      <c r="D54" s="15">
        <v>-32652.075400000002</v>
      </c>
      <c r="E54" s="15">
        <f>IF(OR(-38062.17214="",-32652.0754="",-38062.17214=0,-32652.0754=0),"-",-32652.0754/-38062.17214*100)</f>
        <v>85.786158708702644</v>
      </c>
    </row>
    <row r="55" spans="1:5" ht="26.4" x14ac:dyDescent="0.3">
      <c r="A55" s="13" t="s">
        <v>249</v>
      </c>
      <c r="B55" s="14" t="s">
        <v>158</v>
      </c>
      <c r="C55" s="48">
        <v>-76234.432490000007</v>
      </c>
      <c r="D55" s="15">
        <v>-71966.897899999996</v>
      </c>
      <c r="E55" s="15">
        <f>IF(OR(-76234.43249="",-71966.8979="",-76234.43249=0,-71966.8979=0),"-",-71966.8979/-76234.43249*100)</f>
        <v>94.402090432614159</v>
      </c>
    </row>
    <row r="56" spans="1:5" x14ac:dyDescent="0.3">
      <c r="A56" s="13" t="s">
        <v>250</v>
      </c>
      <c r="B56" s="14" t="s">
        <v>28</v>
      </c>
      <c r="C56" s="48">
        <v>-16728.701929999999</v>
      </c>
      <c r="D56" s="15">
        <v>-14934.44289</v>
      </c>
      <c r="E56" s="15">
        <f>IF(OR(-16728.70193="",-14934.44289="",-16728.70193=0,-14934.44289=0),"-",-14934.44289/-16728.70193*100)</f>
        <v>89.274367805057793</v>
      </c>
    </row>
    <row r="57" spans="1:5" x14ac:dyDescent="0.3">
      <c r="A57" s="13" t="s">
        <v>251</v>
      </c>
      <c r="B57" s="14" t="s">
        <v>159</v>
      </c>
      <c r="C57" s="48">
        <v>-54188.854720000003</v>
      </c>
      <c r="D57" s="15">
        <v>-36922.635490000001</v>
      </c>
      <c r="E57" s="15">
        <f>IF(OR(-54188.85472="",-36922.63549="",-54188.85472=0,-36922.63549=0),"-",-36922.63549/-54188.85472*100)</f>
        <v>68.136954878975516</v>
      </c>
    </row>
    <row r="58" spans="1:5" x14ac:dyDescent="0.3">
      <c r="A58" s="13" t="s">
        <v>252</v>
      </c>
      <c r="B58" s="14" t="s">
        <v>29</v>
      </c>
      <c r="C58" s="48">
        <v>-9683.2683300000008</v>
      </c>
      <c r="D58" s="15">
        <v>-10052.26244</v>
      </c>
      <c r="E58" s="15">
        <f>IF(OR(-9683.26833="",-10052.26244="",-9683.26833=0,-10052.26244=0),"-",-10052.26244/-9683.26833*100)</f>
        <v>103.81063601074452</v>
      </c>
    </row>
    <row r="59" spans="1:5" x14ac:dyDescent="0.3">
      <c r="A59" s="13" t="s">
        <v>253</v>
      </c>
      <c r="B59" s="14" t="s">
        <v>30</v>
      </c>
      <c r="C59" s="48">
        <v>-45833.585809999997</v>
      </c>
      <c r="D59" s="15">
        <v>-46064.503900000003</v>
      </c>
      <c r="E59" s="15">
        <f>IF(OR(-45833.58581="",-46064.5039="",-45833.58581=0,-46064.5039=0),"-",-46064.5039/-45833.58581*100)</f>
        <v>100.50381851194726</v>
      </c>
    </row>
    <row r="60" spans="1:5" x14ac:dyDescent="0.3">
      <c r="A60" s="11" t="s">
        <v>254</v>
      </c>
      <c r="B60" s="12" t="s">
        <v>160</v>
      </c>
      <c r="C60" s="47">
        <v>-359973.37560000003</v>
      </c>
      <c r="D60" s="16">
        <v>-363566.61429</v>
      </c>
      <c r="E60" s="16">
        <f>IF(-359973.3756="","-",-363566.61429/-359973.3756*100)</f>
        <v>100.99819568155861</v>
      </c>
    </row>
    <row r="61" spans="1:5" ht="16.5" customHeight="1" x14ac:dyDescent="0.3">
      <c r="A61" s="13" t="s">
        <v>255</v>
      </c>
      <c r="B61" s="14" t="s">
        <v>161</v>
      </c>
      <c r="C61" s="48">
        <v>-8503.2804599999999</v>
      </c>
      <c r="D61" s="15">
        <v>-12396.159949999999</v>
      </c>
      <c r="E61" s="15">
        <f>IF(OR(-8503.28046="",-12396.15995="",-8503.28046=0,-12396.15995=0),"-",-12396.15995/-8503.28046*100)</f>
        <v>145.78091371103616</v>
      </c>
    </row>
    <row r="62" spans="1:5" ht="15" customHeight="1" x14ac:dyDescent="0.3">
      <c r="A62" s="13" t="s">
        <v>256</v>
      </c>
      <c r="B62" s="14" t="s">
        <v>162</v>
      </c>
      <c r="C62" s="48">
        <v>-94560.131940000007</v>
      </c>
      <c r="D62" s="15">
        <v>-61014.15769</v>
      </c>
      <c r="E62" s="15">
        <f>IF(OR(-94560.13194="",-61014.15769="",-94560.13194=0,-61014.15769=0),"-",-61014.15769/-94560.13194*100)</f>
        <v>64.524188406076362</v>
      </c>
    </row>
    <row r="63" spans="1:5" x14ac:dyDescent="0.3">
      <c r="A63" s="13" t="s">
        <v>257</v>
      </c>
      <c r="B63" s="14" t="s">
        <v>163</v>
      </c>
      <c r="C63" s="48">
        <v>-2450.8350300000002</v>
      </c>
      <c r="D63" s="15">
        <v>-3814.0487199999998</v>
      </c>
      <c r="E63" s="15">
        <f>IF(OR(-2450.83503="",-3814.04872="",-2450.83503=0,-3814.04872=0),"-",-3814.04872/-2450.83503*100)</f>
        <v>155.62241739298136</v>
      </c>
    </row>
    <row r="64" spans="1:5" ht="26.4" x14ac:dyDescent="0.3">
      <c r="A64" s="13" t="s">
        <v>258</v>
      </c>
      <c r="B64" s="14" t="s">
        <v>164</v>
      </c>
      <c r="C64" s="48">
        <v>-64343.29567</v>
      </c>
      <c r="D64" s="15">
        <v>-57706.35585</v>
      </c>
      <c r="E64" s="15">
        <f>IF(OR(-64343.29567="",-57706.35585="",-64343.29567=0,-57706.35585=0),"-",-57706.35585/-64343.29567*100)</f>
        <v>89.685110545099931</v>
      </c>
    </row>
    <row r="65" spans="1:5" ht="27.75" customHeight="1" x14ac:dyDescent="0.3">
      <c r="A65" s="13" t="s">
        <v>259</v>
      </c>
      <c r="B65" s="14" t="s">
        <v>165</v>
      </c>
      <c r="C65" s="48">
        <v>-28495.285230000001</v>
      </c>
      <c r="D65" s="15">
        <v>-23306.61897</v>
      </c>
      <c r="E65" s="15">
        <f>IF(OR(-28495.28523="",-23306.61897="",-28495.28523=0,-23306.61897=0),"-",-23306.61897/-28495.28523*100)</f>
        <v>81.791141172584787</v>
      </c>
    </row>
    <row r="66" spans="1:5" ht="29.25" customHeight="1" x14ac:dyDescent="0.3">
      <c r="A66" s="13" t="s">
        <v>260</v>
      </c>
      <c r="B66" s="14" t="s">
        <v>166</v>
      </c>
      <c r="C66" s="48">
        <v>-52970.308590000001</v>
      </c>
      <c r="D66" s="15">
        <v>-63619.368719999999</v>
      </c>
      <c r="E66" s="15">
        <f>IF(OR(-52970.30859="",-63619.36872="",-52970.30859=0,-63619.36872=0),"-",-63619.36872/-52970.30859*100)</f>
        <v>120.10382875513469</v>
      </c>
    </row>
    <row r="67" spans="1:5" ht="15" customHeight="1" x14ac:dyDescent="0.3">
      <c r="A67" s="13" t="s">
        <v>261</v>
      </c>
      <c r="B67" s="14" t="s">
        <v>167</v>
      </c>
      <c r="C67" s="48">
        <v>9783.6028100000003</v>
      </c>
      <c r="D67" s="15">
        <v>5726.6583799999999</v>
      </c>
      <c r="E67" s="15">
        <f>IF(OR(9783.60281="",5726.65838="",9783.60281=0,5726.65838=0),"-",5726.65838/9783.60281*100)</f>
        <v>58.533226370828103</v>
      </c>
    </row>
    <row r="68" spans="1:5" x14ac:dyDescent="0.3">
      <c r="A68" s="13" t="s">
        <v>262</v>
      </c>
      <c r="B68" s="14" t="s">
        <v>168</v>
      </c>
      <c r="C68" s="48">
        <v>-115837.68394</v>
      </c>
      <c r="D68" s="15">
        <v>-148884.28666000001</v>
      </c>
      <c r="E68" s="15">
        <f>IF(OR(-115837.68394="",-148884.28666="",-115837.68394=0,-148884.28666=0),"-",-148884.28666/-115837.68394*100)</f>
        <v>128.52836969454347</v>
      </c>
    </row>
    <row r="69" spans="1:5" x14ac:dyDescent="0.3">
      <c r="A69" s="13" t="s">
        <v>263</v>
      </c>
      <c r="B69" s="14" t="s">
        <v>31</v>
      </c>
      <c r="C69" s="48">
        <v>-2596.1575499999999</v>
      </c>
      <c r="D69" s="15">
        <v>1447.72389</v>
      </c>
      <c r="E69" s="15" t="s">
        <v>20</v>
      </c>
    </row>
    <row r="70" spans="1:5" x14ac:dyDescent="0.3">
      <c r="A70" s="11" t="s">
        <v>264</v>
      </c>
      <c r="B70" s="12" t="s">
        <v>32</v>
      </c>
      <c r="C70" s="47">
        <v>-33374.52261</v>
      </c>
      <c r="D70" s="16">
        <f>IF(-56073.51888="","-",-56073.51888)</f>
        <v>-56073.518880000003</v>
      </c>
      <c r="E70" s="16" t="s">
        <v>99</v>
      </c>
    </row>
    <row r="71" spans="1:5" ht="26.4" x14ac:dyDescent="0.3">
      <c r="A71" s="13" t="s">
        <v>265</v>
      </c>
      <c r="B71" s="14" t="s">
        <v>194</v>
      </c>
      <c r="C71" s="48">
        <v>-13710.037480000001</v>
      </c>
      <c r="D71" s="15">
        <v>-9088.5745999999999</v>
      </c>
      <c r="E71" s="15">
        <f>IF(OR(-13710.03748="",-9088.5746="",-13710.03748=0,-9088.5746=0),"-",-9088.5746/-13710.03748*100)</f>
        <v>66.291391349281696</v>
      </c>
    </row>
    <row r="72" spans="1:5" x14ac:dyDescent="0.3">
      <c r="A72" s="13" t="s">
        <v>266</v>
      </c>
      <c r="B72" s="14" t="s">
        <v>169</v>
      </c>
      <c r="C72" s="48">
        <v>28583.642540000001</v>
      </c>
      <c r="D72" s="15">
        <v>28399.441309999998</v>
      </c>
      <c r="E72" s="15">
        <f>IF(OR(28583.64254="",28399.44131="",28583.64254=0,28399.44131=0),"-",28399.44131/28583.64254*100)</f>
        <v>99.35557118116688</v>
      </c>
    </row>
    <row r="73" spans="1:5" x14ac:dyDescent="0.3">
      <c r="A73" s="13" t="s">
        <v>267</v>
      </c>
      <c r="B73" s="14" t="s">
        <v>170</v>
      </c>
      <c r="C73" s="48">
        <v>23.63618</v>
      </c>
      <c r="D73" s="15">
        <v>-643.47578999999996</v>
      </c>
      <c r="E73" s="15" t="s">
        <v>20</v>
      </c>
    </row>
    <row r="74" spans="1:5" x14ac:dyDescent="0.3">
      <c r="A74" s="13" t="s">
        <v>268</v>
      </c>
      <c r="B74" s="14" t="s">
        <v>171</v>
      </c>
      <c r="C74" s="48">
        <v>37461.818870000003</v>
      </c>
      <c r="D74" s="15">
        <v>31640.823840000001</v>
      </c>
      <c r="E74" s="15">
        <f>IF(OR(37461.81887="",31640.82384="",37461.81887=0,31640.82384=0),"-",31640.82384/37461.81887*100)</f>
        <v>84.461525879989921</v>
      </c>
    </row>
    <row r="75" spans="1:5" x14ac:dyDescent="0.3">
      <c r="A75" s="13" t="s">
        <v>269</v>
      </c>
      <c r="B75" s="14" t="s">
        <v>172</v>
      </c>
      <c r="C75" s="48">
        <v>-6605.2597699999997</v>
      </c>
      <c r="D75" s="15">
        <v>-9537.7432900000003</v>
      </c>
      <c r="E75" s="15">
        <f>IF(OR(-6605.25977="",-9537.74329="",-6605.25977=0,-9537.74329=0),"-",-9537.74329/-6605.25977*100)</f>
        <v>144.3961876157976</v>
      </c>
    </row>
    <row r="76" spans="1:5" ht="26.4" x14ac:dyDescent="0.3">
      <c r="A76" s="13" t="s">
        <v>270</v>
      </c>
      <c r="B76" s="14" t="s">
        <v>319</v>
      </c>
      <c r="C76" s="48">
        <v>-15333.08711</v>
      </c>
      <c r="D76" s="15">
        <v>-16697.078689999998</v>
      </c>
      <c r="E76" s="15">
        <f>IF(OR(-15333.08711="",-16697.07869="",-15333.08711=0,-16697.07869=0),"-",-16697.07869/-15333.08711*100)</f>
        <v>108.89574010905099</v>
      </c>
    </row>
    <row r="77" spans="1:5" ht="26.4" x14ac:dyDescent="0.3">
      <c r="A77" s="13" t="s">
        <v>271</v>
      </c>
      <c r="B77" s="14" t="s">
        <v>173</v>
      </c>
      <c r="C77" s="48">
        <v>-3059.893</v>
      </c>
      <c r="D77" s="15">
        <v>-4013.68658</v>
      </c>
      <c r="E77" s="15">
        <f>IF(OR(-3059.893="",-4013.68658="",-3059.893=0,-4013.68658=0),"-",-4013.68658/-3059.893*100)</f>
        <v>131.17081479646509</v>
      </c>
    </row>
    <row r="78" spans="1:5" x14ac:dyDescent="0.3">
      <c r="A78" s="13" t="s">
        <v>272</v>
      </c>
      <c r="B78" s="14" t="s">
        <v>33</v>
      </c>
      <c r="C78" s="48">
        <v>-60735.342839999998</v>
      </c>
      <c r="D78" s="15">
        <f>IF(OR(-76133.22508="",-76133.22508=0),"-",-76133.22508)</f>
        <v>-76133.225080000004</v>
      </c>
      <c r="E78" s="15">
        <f>IF(OR(-60735.34284="",-76133.22508="",-60735.34284=0,-76133.22508=0),"-",-76133.22508/-60735.34284*100)</f>
        <v>125.35242499670068</v>
      </c>
    </row>
    <row r="79" spans="1:5" x14ac:dyDescent="0.3">
      <c r="A79" s="59" t="s">
        <v>275</v>
      </c>
      <c r="B79" s="56" t="s">
        <v>174</v>
      </c>
      <c r="C79" s="60">
        <v>-9391.2018100000005</v>
      </c>
      <c r="D79" s="58">
        <v>242.06567000000001</v>
      </c>
      <c r="E79" s="58" t="s">
        <v>20</v>
      </c>
    </row>
    <row r="80" spans="1:5" x14ac:dyDescent="0.3">
      <c r="A80" s="19" t="s">
        <v>278</v>
      </c>
      <c r="B80" s="20"/>
    </row>
    <row r="81" spans="3:5" x14ac:dyDescent="0.3">
      <c r="C81" s="15"/>
      <c r="D81" s="15"/>
      <c r="E81" s="22"/>
    </row>
    <row r="82" spans="3:5" x14ac:dyDescent="0.3">
      <c r="C82" s="15"/>
      <c r="D82" s="15"/>
      <c r="E82" s="22"/>
    </row>
  </sheetData>
  <mergeCells count="3">
    <mergeCell ref="B1:E1"/>
    <mergeCell ref="B2:E2"/>
    <mergeCell ref="A3:E3"/>
  </mergeCells>
  <pageMargins left="0.59055118110236227" right="0.39370078740157483" top="0.39370078740157483" bottom="0.39370078740157483" header="0.11811023622047245" footer="0.1181102362204724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6</vt:i4>
      </vt:variant>
    </vt:vector>
  </HeadingPairs>
  <TitlesOfParts>
    <vt:vector size="14" baseType="lpstr">
      <vt:lpstr>Export_Tari</vt:lpstr>
      <vt:lpstr>Import_Tari</vt:lpstr>
      <vt:lpstr>Balanta Comerciala_Tari</vt:lpstr>
      <vt:lpstr>Export_Moduri_Transport</vt:lpstr>
      <vt:lpstr>Import_Moduri_Transport</vt:lpstr>
      <vt:lpstr>Export_Grupe_Marfuri_CSCI</vt:lpstr>
      <vt:lpstr>Import_Grupe_Marfuri_CSCI</vt:lpstr>
      <vt:lpstr>Balanta_Comerciala_Gr_Marf_CSCI</vt:lpstr>
      <vt:lpstr>'Balanta Comerciala_Tari'!Print_Titles</vt:lpstr>
      <vt:lpstr>Balanta_Comerciala_Gr_Marf_CSCI!Print_Titles</vt:lpstr>
      <vt:lpstr>Export_Grupe_Marfuri_CSCI!Print_Titles</vt:lpstr>
      <vt:lpstr>Export_Tari!Print_Titles</vt:lpstr>
      <vt:lpstr>Import_Grupe_Marfuri_CSCI!Print_Titles</vt:lpstr>
      <vt:lpstr>Import_Tari!Print_Titles</vt:lpstr>
    </vt:vector>
  </TitlesOfParts>
  <Company>BNS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Mariana Eni</dc:creator>
  <cp:lastModifiedBy>Corina Vicol</cp:lastModifiedBy>
  <cp:lastPrinted>2023-06-14T11:35:18Z</cp:lastPrinted>
  <dcterms:created xsi:type="dcterms:W3CDTF">2016-09-01T07:59:47Z</dcterms:created>
  <dcterms:modified xsi:type="dcterms:W3CDTF">2023-06-14T17:19:24Z</dcterms:modified>
</cp:coreProperties>
</file>