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ert exterior\"/>
    </mc:Choice>
  </mc:AlternateContent>
  <xr:revisionPtr revIDLastSave="0" documentId="13_ncr:1_{3DEB14DD-84CC-471A-AA3E-741205C7DA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Comerciala_Tari'!$3:$3</definedName>
    <definedName name="_xlnm.Print_Titles" localSheetId="7">Balanta_Comerciala_Gr_Marf_CSCI!$4:$4</definedName>
    <definedName name="_xlnm.Print_Titles" localSheetId="5">Export_Grupe_Marfuri_CSCI!$4:$5</definedName>
    <definedName name="_xlnm.Print_Titles" localSheetId="0">Export_Tari!$3:$4</definedName>
    <definedName name="_xlnm.Print_Titles" localSheetId="6">Import_Grupe_Marfuri_CSCI!$4:$5</definedName>
    <definedName name="_xlnm.Print_Titles" localSheetId="1">Import_Tari!$3:$4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4" l="1"/>
  <c r="E77" i="4"/>
  <c r="E76" i="4"/>
  <c r="E75" i="4"/>
  <c r="E74" i="4"/>
  <c r="E72" i="4"/>
  <c r="E71" i="4"/>
  <c r="E70" i="4"/>
  <c r="E68" i="4"/>
  <c r="E66" i="4"/>
  <c r="E65" i="4"/>
  <c r="E64" i="4"/>
  <c r="E63" i="4"/>
  <c r="E62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0" i="4"/>
  <c r="E17" i="4"/>
  <c r="E15" i="4"/>
  <c r="E13" i="4"/>
  <c r="E12" i="4"/>
  <c r="E11" i="4"/>
  <c r="E10" i="4"/>
  <c r="E9" i="4"/>
  <c r="E5" i="4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D35" i="6"/>
  <c r="H34" i="6"/>
  <c r="G34" i="6"/>
  <c r="F34" i="6"/>
  <c r="E34" i="6"/>
  <c r="H33" i="6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7" i="6"/>
  <c r="G7" i="6"/>
  <c r="F7" i="6"/>
  <c r="E7" i="6"/>
  <c r="D7" i="6"/>
  <c r="H6" i="6"/>
  <c r="G6" i="6"/>
  <c r="D6" i="6"/>
  <c r="H79" i="5"/>
  <c r="F79" i="5"/>
  <c r="E79" i="5"/>
  <c r="H78" i="5"/>
  <c r="G78" i="5"/>
  <c r="F78" i="5"/>
  <c r="E78" i="5"/>
  <c r="D78" i="5"/>
  <c r="H77" i="5"/>
  <c r="G77" i="5"/>
  <c r="F77" i="5"/>
  <c r="E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H68" i="5"/>
  <c r="G68" i="5"/>
  <c r="F68" i="5"/>
  <c r="E68" i="5"/>
  <c r="D68" i="5"/>
  <c r="H67" i="5"/>
  <c r="G67" i="5"/>
  <c r="F67" i="5"/>
  <c r="E67" i="5"/>
  <c r="D67" i="5"/>
  <c r="H66" i="5"/>
  <c r="G66" i="5"/>
  <c r="F66" i="5"/>
  <c r="E66" i="5"/>
  <c r="H65" i="5"/>
  <c r="G65" i="5"/>
  <c r="F65" i="5"/>
  <c r="E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H61" i="5"/>
  <c r="G61" i="5"/>
  <c r="F61" i="5"/>
  <c r="E61" i="5"/>
  <c r="H60" i="5"/>
  <c r="G60" i="5"/>
  <c r="F60" i="5"/>
  <c r="E60" i="5"/>
  <c r="D60" i="5"/>
  <c r="H59" i="5"/>
  <c r="G59" i="5"/>
  <c r="F59" i="5"/>
  <c r="E59" i="5"/>
  <c r="D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D56" i="5"/>
  <c r="H55" i="5"/>
  <c r="G55" i="5"/>
  <c r="F55" i="5"/>
  <c r="E55" i="5"/>
  <c r="D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D48" i="5"/>
  <c r="H47" i="5"/>
  <c r="G47" i="5"/>
  <c r="F47" i="5"/>
  <c r="E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D37" i="5"/>
  <c r="H36" i="5"/>
  <c r="G36" i="5"/>
  <c r="F36" i="5"/>
  <c r="E36" i="5"/>
  <c r="D36" i="5"/>
  <c r="H35" i="5"/>
  <c r="G35" i="5"/>
  <c r="F35" i="5"/>
  <c r="E35" i="5"/>
  <c r="H34" i="5"/>
  <c r="G34" i="5"/>
  <c r="F34" i="5"/>
  <c r="E34" i="5"/>
  <c r="D34" i="5"/>
  <c r="H33" i="5"/>
  <c r="G33" i="5"/>
  <c r="F33" i="5"/>
  <c r="E33" i="5"/>
  <c r="H32" i="5"/>
  <c r="G32" i="5"/>
  <c r="F32" i="5"/>
  <c r="E32" i="5"/>
  <c r="D32" i="5"/>
  <c r="H31" i="5"/>
  <c r="G31" i="5"/>
  <c r="F31" i="5"/>
  <c r="E31" i="5"/>
  <c r="H30" i="5"/>
  <c r="G30" i="5"/>
  <c r="F30" i="5"/>
  <c r="E30" i="5"/>
  <c r="D30" i="5"/>
  <c r="H29" i="5"/>
  <c r="G29" i="5"/>
  <c r="F29" i="5"/>
  <c r="E29" i="5"/>
  <c r="D29" i="5"/>
  <c r="H28" i="5"/>
  <c r="G28" i="5"/>
  <c r="F28" i="5"/>
  <c r="E28" i="5"/>
  <c r="H27" i="5"/>
  <c r="G27" i="5"/>
  <c r="F27" i="5"/>
  <c r="E27" i="5"/>
  <c r="H26" i="5"/>
  <c r="G26" i="5"/>
  <c r="F26" i="5"/>
  <c r="E26" i="5"/>
  <c r="D26" i="5"/>
  <c r="H25" i="5"/>
  <c r="G25" i="5"/>
  <c r="F25" i="5"/>
  <c r="E25" i="5"/>
  <c r="D25" i="5"/>
  <c r="H24" i="5"/>
  <c r="G24" i="5"/>
  <c r="F24" i="5"/>
  <c r="E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H11" i="5"/>
  <c r="G11" i="5"/>
  <c r="F11" i="5"/>
  <c r="E11" i="5"/>
  <c r="H10" i="5"/>
  <c r="G10" i="5"/>
  <c r="F10" i="5"/>
  <c r="E10" i="5"/>
  <c r="D10" i="5"/>
  <c r="H9" i="5"/>
  <c r="G9" i="5"/>
  <c r="F9" i="5"/>
  <c r="E9" i="5"/>
  <c r="H8" i="5"/>
  <c r="G8" i="5"/>
  <c r="F8" i="5"/>
  <c r="E8" i="5"/>
  <c r="D8" i="5"/>
  <c r="H7" i="5"/>
  <c r="G7" i="5"/>
  <c r="F7" i="5"/>
  <c r="E7" i="5"/>
  <c r="D7" i="5"/>
  <c r="H6" i="5"/>
  <c r="G6" i="5"/>
  <c r="D6" i="5"/>
  <c r="E39" i="8" l="1"/>
  <c r="D39" i="8"/>
  <c r="E38" i="8"/>
  <c r="D38" i="8"/>
  <c r="E37" i="8"/>
  <c r="D37" i="8"/>
  <c r="E36" i="8"/>
  <c r="D36" i="8"/>
  <c r="E35" i="8"/>
  <c r="D35" i="8"/>
  <c r="E34" i="8"/>
  <c r="D34" i="8"/>
  <c r="E32" i="8"/>
  <c r="D32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E20" i="8"/>
  <c r="D20" i="8"/>
  <c r="E19" i="8"/>
  <c r="D19" i="8"/>
  <c r="E18" i="8"/>
  <c r="D18" i="8"/>
  <c r="E17" i="8"/>
  <c r="D17" i="8"/>
  <c r="E16" i="8"/>
  <c r="D16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E20" i="7"/>
  <c r="D20" i="7"/>
  <c r="E19" i="7"/>
  <c r="D19" i="7"/>
  <c r="E18" i="7"/>
  <c r="D18" i="7"/>
  <c r="E17" i="7"/>
  <c r="D17" i="7"/>
  <c r="E16" i="7"/>
  <c r="D16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D134" i="3" l="1"/>
  <c r="D132" i="3"/>
  <c r="D131" i="3"/>
  <c r="D130" i="3"/>
  <c r="D128" i="3"/>
  <c r="D126" i="3"/>
  <c r="D124" i="3"/>
  <c r="D123" i="3"/>
  <c r="D120" i="3"/>
  <c r="D119" i="3"/>
  <c r="D118" i="3"/>
  <c r="D117" i="3"/>
  <c r="D115" i="3"/>
  <c r="D114" i="3"/>
  <c r="D112" i="3"/>
  <c r="D111" i="3"/>
  <c r="D110" i="3"/>
  <c r="D109" i="3"/>
  <c r="D107" i="3"/>
  <c r="D106" i="3"/>
  <c r="D105" i="3"/>
  <c r="D102" i="3"/>
  <c r="D101" i="3"/>
  <c r="D100" i="3"/>
  <c r="D99" i="3"/>
  <c r="D96" i="3"/>
  <c r="D95" i="3"/>
  <c r="D93" i="3"/>
  <c r="D89" i="3"/>
  <c r="D88" i="3"/>
  <c r="D86" i="3"/>
  <c r="D85" i="3"/>
  <c r="D82" i="3"/>
  <c r="D81" i="3"/>
  <c r="D80" i="3"/>
  <c r="D77" i="3"/>
  <c r="D74" i="3"/>
  <c r="D72" i="3"/>
  <c r="D71" i="3"/>
  <c r="D67" i="3"/>
  <c r="D65" i="3"/>
  <c r="D64" i="3"/>
  <c r="D63" i="3"/>
  <c r="D62" i="3"/>
  <c r="D60" i="3"/>
  <c r="D59" i="3"/>
  <c r="D58" i="3"/>
  <c r="D57" i="3"/>
  <c r="D55" i="3"/>
  <c r="D53" i="3"/>
  <c r="D52" i="3"/>
  <c r="D51" i="3"/>
  <c r="D49" i="3"/>
  <c r="D47" i="3"/>
  <c r="D46" i="3"/>
  <c r="D41" i="3"/>
  <c r="D37" i="3"/>
  <c r="D36" i="3"/>
  <c r="D35" i="3"/>
  <c r="D30" i="3"/>
  <c r="D29" i="3"/>
  <c r="D28" i="3"/>
  <c r="D26" i="3"/>
  <c r="D25" i="3"/>
  <c r="D24" i="3"/>
  <c r="D23" i="3"/>
  <c r="D22" i="3"/>
  <c r="D20" i="3"/>
  <c r="D19" i="3"/>
  <c r="D18" i="3"/>
  <c r="D14" i="3"/>
  <c r="D11" i="3"/>
  <c r="D10" i="3"/>
  <c r="D9" i="3"/>
  <c r="D7" i="3"/>
  <c r="D4" i="3"/>
  <c r="G122" i="2" l="1"/>
  <c r="F122" i="2"/>
  <c r="E122" i="2"/>
  <c r="D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C115" i="2"/>
  <c r="G114" i="2"/>
  <c r="F114" i="2"/>
  <c r="E114" i="2"/>
  <c r="D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C109" i="2"/>
  <c r="G108" i="2"/>
  <c r="F108" i="2"/>
  <c r="E108" i="2"/>
  <c r="D108" i="2"/>
  <c r="G107" i="2"/>
  <c r="F107" i="2"/>
  <c r="E107" i="2"/>
  <c r="D107" i="2"/>
  <c r="C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C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C101" i="2"/>
  <c r="G100" i="2"/>
  <c r="F100" i="2"/>
  <c r="E100" i="2"/>
  <c r="D100" i="2"/>
  <c r="G99" i="2"/>
  <c r="F99" i="2"/>
  <c r="E99" i="2"/>
  <c r="D99" i="2"/>
  <c r="C99" i="2"/>
  <c r="G98" i="2"/>
  <c r="F98" i="2"/>
  <c r="E98" i="2"/>
  <c r="D98" i="2"/>
  <c r="G97" i="2"/>
  <c r="F97" i="2"/>
  <c r="E97" i="2"/>
  <c r="D97" i="2"/>
  <c r="G96" i="2"/>
  <c r="F96" i="2"/>
  <c r="E96" i="2"/>
  <c r="D96" i="2"/>
  <c r="C96" i="2"/>
  <c r="G95" i="2"/>
  <c r="F95" i="2"/>
  <c r="E95" i="2"/>
  <c r="D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G76" i="2"/>
  <c r="F76" i="2"/>
  <c r="E76" i="2"/>
  <c r="D76" i="2"/>
  <c r="G75" i="2"/>
  <c r="F75" i="2"/>
  <c r="E75" i="2"/>
  <c r="D75" i="2"/>
  <c r="G74" i="2"/>
  <c r="F74" i="2"/>
  <c r="E74" i="2"/>
  <c r="D74" i="2"/>
  <c r="G73" i="2"/>
  <c r="F73" i="2"/>
  <c r="E73" i="2"/>
  <c r="D73" i="2"/>
  <c r="C73" i="2"/>
  <c r="G72" i="2"/>
  <c r="F72" i="2"/>
  <c r="E72" i="2"/>
  <c r="D72" i="2"/>
  <c r="G71" i="2"/>
  <c r="F71" i="2"/>
  <c r="E71" i="2"/>
  <c r="D71" i="2"/>
  <c r="C71" i="2"/>
  <c r="G70" i="2"/>
  <c r="F70" i="2"/>
  <c r="E70" i="2"/>
  <c r="D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G61" i="2"/>
  <c r="F61" i="2"/>
  <c r="E61" i="2"/>
  <c r="D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G53" i="2"/>
  <c r="F53" i="2"/>
  <c r="E53" i="2"/>
  <c r="D53" i="2"/>
  <c r="C53" i="2"/>
  <c r="G52" i="2"/>
  <c r="F52" i="2"/>
  <c r="E52" i="2"/>
  <c r="D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G43" i="2"/>
  <c r="F43" i="2"/>
  <c r="E43" i="2"/>
  <c r="D43" i="2"/>
  <c r="C43" i="2"/>
  <c r="G42" i="2"/>
  <c r="F42" i="2"/>
  <c r="E42" i="2"/>
  <c r="D42" i="2"/>
  <c r="G41" i="2"/>
  <c r="F41" i="2"/>
  <c r="E41" i="2"/>
  <c r="D41" i="2"/>
  <c r="G40" i="2"/>
  <c r="F40" i="2"/>
  <c r="E40" i="2"/>
  <c r="D40" i="2"/>
  <c r="C40" i="2"/>
  <c r="G39" i="2"/>
  <c r="F39" i="2"/>
  <c r="E39" i="2"/>
  <c r="D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5" i="2"/>
  <c r="F5" i="2"/>
  <c r="C5" i="2"/>
  <c r="G107" i="1" l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G89" i="1"/>
  <c r="F89" i="1"/>
  <c r="E89" i="1"/>
  <c r="D89" i="1"/>
  <c r="C89" i="1"/>
  <c r="G88" i="1"/>
  <c r="F88" i="1"/>
  <c r="E88" i="1"/>
  <c r="D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G82" i="1"/>
  <c r="F82" i="1"/>
  <c r="E82" i="1"/>
  <c r="D82" i="1"/>
  <c r="C82" i="1"/>
  <c r="G81" i="1"/>
  <c r="F81" i="1"/>
  <c r="E81" i="1"/>
  <c r="D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G77" i="1"/>
  <c r="F77" i="1"/>
  <c r="E77" i="1"/>
  <c r="D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G70" i="1"/>
  <c r="F70" i="1"/>
  <c r="E70" i="1"/>
  <c r="D70" i="1"/>
  <c r="C70" i="1"/>
  <c r="G69" i="1"/>
  <c r="F69" i="1"/>
  <c r="E69" i="1"/>
  <c r="D69" i="1"/>
  <c r="G68" i="1"/>
  <c r="F68" i="1"/>
  <c r="E68" i="1"/>
  <c r="D68" i="1"/>
  <c r="C68" i="1"/>
  <c r="G67" i="1"/>
  <c r="F67" i="1"/>
  <c r="E67" i="1"/>
  <c r="D67" i="1"/>
  <c r="G66" i="1"/>
  <c r="F66" i="1"/>
  <c r="E66" i="1"/>
  <c r="D66" i="1"/>
  <c r="C66" i="1"/>
  <c r="G65" i="1"/>
  <c r="F65" i="1"/>
  <c r="E65" i="1"/>
  <c r="D65" i="1"/>
  <c r="G64" i="1"/>
  <c r="F64" i="1"/>
  <c r="E64" i="1"/>
  <c r="D64" i="1"/>
  <c r="C64" i="1"/>
  <c r="G63" i="1"/>
  <c r="F63" i="1"/>
  <c r="E63" i="1"/>
  <c r="D63" i="1"/>
  <c r="G62" i="1"/>
  <c r="F62" i="1"/>
  <c r="E62" i="1"/>
  <c r="D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C40" i="1"/>
  <c r="G39" i="1"/>
  <c r="F39" i="1"/>
  <c r="E39" i="1"/>
  <c r="D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G31" i="1"/>
  <c r="F31" i="1"/>
  <c r="E31" i="1"/>
  <c r="D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G14" i="1"/>
  <c r="F14" i="1"/>
  <c r="E14" i="1"/>
  <c r="D14" i="1"/>
  <c r="C14" i="1"/>
  <c r="G13" i="1"/>
  <c r="F13" i="1"/>
  <c r="E13" i="1"/>
  <c r="D13" i="1"/>
  <c r="G12" i="1"/>
  <c r="F12" i="1"/>
  <c r="E12" i="1"/>
  <c r="D12" i="1"/>
  <c r="C12" i="1"/>
  <c r="G11" i="1"/>
  <c r="F11" i="1"/>
  <c r="E11" i="1"/>
  <c r="D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5" i="1"/>
  <c r="F5" i="1"/>
  <c r="C5" i="1"/>
</calcChain>
</file>

<file path=xl/sharedStrings.xml><?xml version="1.0" encoding="utf-8"?>
<sst xmlns="http://schemas.openxmlformats.org/spreadsheetml/2006/main" count="1121" uniqueCount="412">
  <si>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</si>
  <si>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</si>
  <si>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</si>
  <si>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</si>
  <si>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</si>
  <si>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</si>
  <si>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</si>
  <si>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</si>
  <si>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</si>
  <si>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</si>
  <si>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</si>
  <si>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</si>
  <si>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</si>
  <si>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</si>
  <si>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</si>
  <si>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</si>
  <si>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</si>
  <si>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</si>
  <si>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</si>
  <si>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</si>
  <si>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</si>
  <si>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</si>
  <si>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</si>
  <si>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</si>
  <si>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</si>
  <si>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</si>
  <si>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</si>
  <si>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</si>
  <si>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</si>
  <si>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</si>
  <si>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</si>
  <si>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</si>
  <si>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</si>
  <si>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</si>
  <si>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</si>
  <si>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</si>
  <si>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</si>
  <si>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</si>
  <si>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</si>
  <si>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</si>
  <si>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</si>
  <si>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</si>
  <si>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</si>
  <si>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</si>
  <si>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</si>
  <si>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</si>
  <si>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</si>
  <si>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</si>
  <si>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</si>
  <si>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</si>
  <si>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</si>
  <si>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</si>
  <si>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</si>
  <si>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</si>
  <si>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</si>
  <si>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</si>
  <si>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</si>
  <si>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</si>
  <si>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</si>
  <si>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</si>
  <si>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</si>
  <si>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</si>
  <si>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</si>
  <si>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</si>
  <si>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</si>
  <si>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</si>
  <si>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</si>
  <si>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</si>
  <si>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</si>
  <si>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</si>
  <si>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</si>
  <si>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</si>
  <si>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</si>
  <si>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</si>
  <si>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</si>
  <si>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</si>
  <si>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</si>
  <si>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</si>
  <si>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</si>
  <si>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</si>
  <si>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</si>
  <si>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</si>
  <si>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</si>
  <si>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</si>
  <si>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</si>
  <si>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</si>
  <si>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</si>
  <si>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</si>
  <si>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</si>
  <si>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</si>
  <si>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</si>
  <si>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</si>
  <si>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</si>
  <si>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</si>
  <si>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</si>
  <si>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</si>
  <si>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</si>
  <si>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</si>
  <si>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</si>
  <si>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</si>
  <si>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</si>
  <si>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</si>
  <si>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</si>
  <si>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</si>
  <si>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</si>
  <si>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</si>
  <si>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</si>
  <si>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</si>
  <si>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</si>
  <si>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</si>
  <si>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</si>
  <si>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</si>
  <si>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</si>
  <si>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</si>
  <si>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</si>
  <si>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</si>
  <si>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</si>
  <si>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</si>
  <si>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</si>
  <si>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</si>
  <si>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</si>
  <si>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</si>
  <si>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</si>
  <si>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</si>
  <si>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</si>
  <si>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</si>
  <si>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</si>
  <si>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</si>
  <si>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</si>
  <si>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</si>
  <si>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</si>
  <si>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</si>
  <si>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</si>
  <si>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</si>
  <si>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</si>
  <si>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</si>
  <si>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</si>
  <si>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</si>
  <si>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</si>
  <si>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</si>
  <si>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</si>
  <si>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</si>
  <si>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</si>
  <si>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</si>
  <si>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</si>
  <si>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</si>
  <si>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</si>
  <si>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</si>
  <si>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</si>
  <si>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</si>
  <si>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</si>
  <si>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</si>
  <si>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</si>
  <si>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</si>
  <si>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</si>
  <si>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</si>
  <si>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</si>
  <si>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</si>
  <si>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</si>
  <si>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</si>
  <si>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</si>
  <si>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</si>
  <si>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</si>
  <si>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</si>
  <si>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</si>
  <si>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</si>
  <si>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</si>
  <si>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</si>
  <si>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</si>
  <si>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</si>
  <si>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</si>
  <si>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</si>
  <si>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</si>
  <si>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</si>
  <si>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</si>
  <si>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</si>
  <si>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</si>
  <si>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</si>
  <si>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</si>
  <si>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</si>
  <si>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</si>
  <si>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</si>
  <si>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</si>
  <si>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</si>
  <si>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</si>
  <si>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</si>
  <si>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</si>
  <si>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</si>
  <si>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</si>
  <si>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</si>
  <si>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</si>
  <si>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</si>
  <si>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</si>
  <si>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</si>
  <si>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</si>
  <si>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</si>
  <si>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</si>
  <si>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</si>
  <si>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</si>
  <si>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Afganistan</t>
  </si>
  <si>
    <t>Tanzania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</si>
  <si>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</si>
  <si>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</si>
  <si>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</si>
  <si>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</si>
  <si>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</si>
  <si>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</si>
  <si>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</si>
  <si>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</si>
  <si>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</si>
  <si>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</si>
  <si>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</si>
  <si>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</si>
  <si>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</si>
  <si>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</si>
  <si>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</si>
  <si>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</si>
  <si>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</si>
  <si>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</si>
  <si>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</si>
  <si>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</si>
  <si>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</si>
  <si>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</si>
  <si>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</si>
  <si>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</si>
  <si>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</si>
  <si>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</si>
  <si>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</si>
  <si>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</si>
  <si>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</si>
  <si>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</si>
  <si>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</si>
  <si>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</si>
  <si>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</si>
  <si>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</si>
  <si>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</si>
  <si>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</si>
  <si>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</si>
  <si>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</si>
  <si>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</si>
  <si>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</si>
  <si>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</si>
  <si>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</si>
  <si>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</si>
  <si>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</si>
  <si>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</si>
  <si>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</si>
  <si>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</si>
  <si>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</si>
  <si>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</si>
  <si>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</si>
  <si>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</si>
  <si>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</si>
  <si>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</si>
  <si>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</si>
  <si>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</si>
  <si>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</si>
  <si>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</si>
  <si>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</si>
  <si>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</si>
  <si>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</si>
  <si>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</si>
  <si>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</si>
  <si>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</si>
  <si>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</si>
  <si>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</si>
  <si>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</si>
  <si>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</si>
  <si>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</si>
  <si>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</si>
  <si>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</si>
  <si>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</si>
  <si>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</si>
  <si>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</si>
  <si>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</si>
  <si>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</si>
  <si>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</si>
  <si>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</si>
  <si>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</si>
  <si>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</si>
  <si>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BALANŢA COMERCIALĂ - total, mii dolari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</si>
  <si>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</si>
  <si>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</si>
  <si>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t>Celelalte țări ale lumii</t>
  </si>
  <si>
    <t>Malawi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</si>
  <si>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</si>
  <si>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</si>
  <si>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pe grupe de ţări</t>
    </r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</si>
  <si>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</si>
  <si>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</si>
  <si>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</si>
  <si>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</si>
  <si>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</si>
  <si>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</si>
  <si>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2,8 ori</t>
  </si>
  <si>
    <t>Cehia</t>
  </si>
  <si>
    <t>Kârgâzstan</t>
  </si>
  <si>
    <t>Taiwan, provincie a Chinei</t>
  </si>
  <si>
    <t>Insulele Feroe</t>
  </si>
  <si>
    <t>Burkina Faso</t>
  </si>
  <si>
    <t>de 3,1 ori</t>
  </si>
  <si>
    <t>Regatul Țărilor de Jos (Netherlands)</t>
  </si>
  <si>
    <t>Țările Uniunii Europene - total</t>
  </si>
  <si>
    <t>Gaz și produse industriale obținute din gaz</t>
  </si>
  <si>
    <t>Mărfuri manufacturate, clasificate mai ales după materia primă</t>
  </si>
  <si>
    <t>de 2,6 ori</t>
  </si>
  <si>
    <t>de 2,7 ori</t>
  </si>
  <si>
    <t>de 2,5 ori</t>
  </si>
  <si>
    <t>de 2,3 ori</t>
  </si>
  <si>
    <t>de 2,9 ori</t>
  </si>
  <si>
    <t>Republica Dominicană</t>
  </si>
  <si>
    <t>Kosovo</t>
  </si>
  <si>
    <t>Tuvalu</t>
  </si>
  <si>
    <t>-</t>
  </si>
  <si>
    <t>Instrumente şi aparate profesionale, ştiinţifice şi de control</t>
  </si>
  <si>
    <t>Ciad</t>
  </si>
  <si>
    <t>de 3,7 ori</t>
  </si>
  <si>
    <t>de 4,2 ori</t>
  </si>
  <si>
    <r>
      <t xml:space="preserve"> 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Faţă de anul precedent</t>
    </r>
  </si>
  <si>
    <t>Uganda</t>
  </si>
  <si>
    <t>Nepal</t>
  </si>
  <si>
    <t>de 6,9 ori</t>
  </si>
  <si>
    <t>BALANŢA COMERCIALĂ – total, mii dolari SUA</t>
  </si>
  <si>
    <t>Instrumente şi aparate, profesionale, ştiinţifice şi de control</t>
  </si>
  <si>
    <t>de 3,8 ori</t>
  </si>
  <si>
    <t>Republica Yemen</t>
  </si>
  <si>
    <t>Algeria</t>
  </si>
  <si>
    <t>Kuwait</t>
  </si>
  <si>
    <t>Togo</t>
  </si>
  <si>
    <t>Lesotho</t>
  </si>
  <si>
    <t>Coreea de Nord</t>
  </si>
  <si>
    <t>Mauritania</t>
  </si>
  <si>
    <t>Nicaragua</t>
  </si>
  <si>
    <t>Liechtenstein</t>
  </si>
  <si>
    <t>Libia</t>
  </si>
  <si>
    <t>de 2,4 ori</t>
  </si>
  <si>
    <t>de 7,4 ori</t>
  </si>
  <si>
    <t>de 5,7 ori</t>
  </si>
  <si>
    <t>de 61,4 ori</t>
  </si>
  <si>
    <t>de 6,0 ori</t>
  </si>
  <si>
    <t>Sudan</t>
  </si>
  <si>
    <t>Muntenegru</t>
  </si>
  <si>
    <t>de 4,9 ori</t>
  </si>
  <si>
    <t>de 5,5 ori</t>
  </si>
  <si>
    <t>de 52,6 ori</t>
  </si>
  <si>
    <t>Belize</t>
  </si>
  <si>
    <t>Venezuela</t>
  </si>
  <si>
    <t>de 7,2 ori</t>
  </si>
  <si>
    <t>de 3,9 ori</t>
  </si>
  <si>
    <t>Mărfuri produse în UE, la care țara de origine nu poate fi identificată</t>
  </si>
  <si>
    <t>de 10,1 ori</t>
  </si>
  <si>
    <t>de 4,1 ori</t>
  </si>
  <si>
    <t>de 4,4 ori</t>
  </si>
  <si>
    <t>de 3,2 ori</t>
  </si>
  <si>
    <t>de 5,2 ori</t>
  </si>
  <si>
    <t xml:space="preserve"> Ianuarie-mai 2023</t>
  </si>
  <si>
    <t>în % faţă de  ianuarie-mai 2022 ¹</t>
  </si>
  <si>
    <t>ianuarie-mai 2022</t>
  </si>
  <si>
    <t>ianuarie-mai 2023</t>
  </si>
  <si>
    <r>
      <t xml:space="preserve">ianuarie-mai       2022 </t>
    </r>
    <r>
      <rPr>
        <b/>
        <vertAlign val="superscript"/>
        <sz val="10"/>
        <rFont val="Times New Roman"/>
        <family val="1"/>
        <charset val="204"/>
      </rPr>
      <t>1,2</t>
    </r>
  </si>
  <si>
    <r>
      <t>ianuarie-mai     2023</t>
    </r>
    <r>
      <rPr>
        <b/>
        <vertAlign val="superscript"/>
        <sz val="10"/>
        <rFont val="Times New Roman"/>
        <family val="1"/>
        <charset val="204"/>
      </rPr>
      <t xml:space="preserve"> 1,2</t>
    </r>
  </si>
  <si>
    <r>
      <t xml:space="preserve">ianuarie-mai    2022 </t>
    </r>
    <r>
      <rPr>
        <b/>
        <vertAlign val="superscript"/>
        <sz val="10"/>
        <rFont val="Times New Roman"/>
        <family val="1"/>
        <charset val="204"/>
      </rPr>
      <t>1,2</t>
    </r>
  </si>
  <si>
    <r>
      <t xml:space="preserve">ianuarie-mai         2023 </t>
    </r>
    <r>
      <rPr>
        <b/>
        <vertAlign val="superscript"/>
        <sz val="10"/>
        <rFont val="Times New Roman"/>
        <family val="1"/>
        <charset val="204"/>
      </rPr>
      <t>1,2</t>
    </r>
  </si>
  <si>
    <t>Ianuarie-mai 2023</t>
  </si>
  <si>
    <t>Ianuarie-mai 2023
în % faţă de ianuarie-mai 
2022 ¹</t>
  </si>
  <si>
    <t>în % faţă de 
ianuarie-mai 2022 ¹</t>
  </si>
  <si>
    <r>
      <t xml:space="preserve">ianuarie-mai 2022 </t>
    </r>
    <r>
      <rPr>
        <b/>
        <vertAlign val="superscript"/>
        <sz val="10"/>
        <rFont val="Times New Roman"/>
        <family val="1"/>
        <charset val="204"/>
      </rPr>
      <t>1,2</t>
    </r>
  </si>
  <si>
    <r>
      <t xml:space="preserve">ianuarie-mai 2023 </t>
    </r>
    <r>
      <rPr>
        <b/>
        <vertAlign val="superscript"/>
        <sz val="10"/>
        <rFont val="Times New Roman"/>
        <family val="1"/>
        <charset val="204"/>
      </rPr>
      <t>1,2</t>
    </r>
  </si>
  <si>
    <t>Ianuarie-mai 2023
în % faţă de ianuarie-mai
2022 ¹</t>
  </si>
  <si>
    <t>Mărfuri produse în UE, cu origine neidentificată</t>
  </si>
  <si>
    <t>San Marino</t>
  </si>
  <si>
    <t>Mauritius</t>
  </si>
  <si>
    <t>Guatemala</t>
  </si>
  <si>
    <t>Laos</t>
  </si>
  <si>
    <t>Regatul Unit al Marii Britanii şi Irlandei de Nord</t>
  </si>
  <si>
    <t>Elveţia</t>
  </si>
  <si>
    <t>Bosnia şi Herţegovina</t>
  </si>
  <si>
    <t>Şri Lanka</t>
  </si>
  <si>
    <t>de 9,7 ori</t>
  </si>
  <si>
    <t>de 23,4 ori</t>
  </si>
  <si>
    <t>de 5,8 ori</t>
  </si>
  <si>
    <t>de 12,8 ori</t>
  </si>
  <si>
    <t>de 12,7 ori</t>
  </si>
  <si>
    <t>de 6,5 ori</t>
  </si>
  <si>
    <t>de 41,4 ori</t>
  </si>
  <si>
    <t>de 612,2 ori</t>
  </si>
  <si>
    <t>de 325,3 ori</t>
  </si>
  <si>
    <t>de 94,8 ori</t>
  </si>
  <si>
    <t>de 45,7 ori</t>
  </si>
  <si>
    <t>de 4,0 ori</t>
  </si>
  <si>
    <t>de 5,6 ori</t>
  </si>
  <si>
    <t>de 8,7 ori</t>
  </si>
  <si>
    <t>de 14,7 ori</t>
  </si>
  <si>
    <t>de 4,5 ori</t>
  </si>
  <si>
    <t>de 76,4 ori</t>
  </si>
  <si>
    <t>de 14,5 ori</t>
  </si>
  <si>
    <t>de 9,9 ori</t>
  </si>
  <si>
    <t>de 214,0 ori</t>
  </si>
  <si>
    <t>de 72,3 ori</t>
  </si>
  <si>
    <t>de 5989,3 ori</t>
  </si>
  <si>
    <t>de 10,5 ori</t>
  </si>
  <si>
    <t>de 2763,6 ori</t>
  </si>
  <si>
    <t>de 118,0 ori</t>
  </si>
  <si>
    <t>de 10,9 ori</t>
  </si>
  <si>
    <t>Ianuarie-mai        2022</t>
  </si>
  <si>
    <t>Ianuarie-mai         2023</t>
  </si>
  <si>
    <t>Ianuarie-mai    2022</t>
  </si>
  <si>
    <t>Ianuarie-mai    2023</t>
  </si>
  <si>
    <t xml:space="preserve">   EXPORT - total</t>
  </si>
  <si>
    <t xml:space="preserve">      din care:</t>
  </si>
  <si>
    <t>Gradul de influenţă a grupelor de mărfuri  la creşterea (+),  scăderea   (-) exporturilor, %</t>
  </si>
  <si>
    <t>Gradul de influenţă a grupelor de mărfuri  la creşterea (+),  scăderea   (-) importurilor,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</si>
</sst>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color indexed="8"/>
      <name val="Times New Roman"/>
      <family val="2"/>
      <charset val="238"/>
    </font>
    <font>
      <sz val="10.5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1" fillId="0" borderId="0"/>
    <xf numFmtId="0" fontId="10" fillId="0" borderId="0"/>
    <xf numFmtId="0" fontId="16" fillId="0" borderId="0"/>
    <xf numFmtId="0" fontId="10" fillId="0" borderId="0"/>
  </cellStyleXfs>
  <cellXfs count="94">
    <xf numFmtId="0" fontId="0" fillId="0" borderId="0" xfId="0"/>
    <xf numFmtId="0" fontId="4" fillId="0" borderId="0" xfId="0" applyFont="1"/>
    <xf numFmtId="0" fontId="9" fillId="0" borderId="0" xfId="0" applyFont="1"/>
    <xf numFmtId="0" fontId="5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4" fontId="0" fillId="0" borderId="0" xfId="0" applyNumberFormat="1"/>
    <xf numFmtId="4" fontId="8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38" fontId="8" fillId="0" borderId="0" xfId="0" applyNumberFormat="1" applyFont="1" applyAlignment="1">
      <alignment horizontal="center" vertical="top"/>
    </xf>
    <xf numFmtId="38" fontId="8" fillId="0" borderId="0" xfId="0" applyNumberFormat="1" applyFont="1" applyAlignment="1">
      <alignment horizontal="left" vertical="top" wrapText="1"/>
    </xf>
    <xf numFmtId="38" fontId="7" fillId="0" borderId="0" xfId="0" applyNumberFormat="1" applyFont="1" applyAlignment="1">
      <alignment horizontal="center" vertical="top"/>
    </xf>
    <xf numFmtId="38" fontId="7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right" vertical="top" indent="1"/>
    </xf>
    <xf numFmtId="4" fontId="8" fillId="0" borderId="0" xfId="0" applyNumberFormat="1" applyFont="1" applyAlignment="1">
      <alignment horizontal="right" vertical="top" indent="1"/>
    </xf>
    <xf numFmtId="0" fontId="7" fillId="0" borderId="0" xfId="0" applyFont="1" applyAlignment="1">
      <alignment horizontal="left" vertical="top" wrapText="1" indent="1"/>
    </xf>
    <xf numFmtId="4" fontId="7" fillId="0" borderId="3" xfId="0" applyNumberFormat="1" applyFont="1" applyBorder="1" applyAlignment="1">
      <alignment horizontal="right" vertical="top" inden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8" fontId="25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right" vertical="top" indent="1"/>
    </xf>
    <xf numFmtId="4" fontId="27" fillId="0" borderId="0" xfId="0" applyNumberFormat="1" applyFont="1" applyAlignment="1">
      <alignment horizontal="right" vertical="top" indent="1"/>
    </xf>
    <xf numFmtId="0" fontId="2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 indent="1"/>
    </xf>
    <xf numFmtId="38" fontId="7" fillId="0" borderId="0" xfId="0" applyNumberFormat="1" applyFont="1" applyAlignment="1">
      <alignment horizontal="left" vertical="top" wrapText="1" indent="1"/>
    </xf>
    <xf numFmtId="38" fontId="7" fillId="0" borderId="3" xfId="0" applyNumberFormat="1" applyFont="1" applyBorder="1" applyAlignment="1">
      <alignment horizontal="left" vertical="top" wrapText="1" indent="1"/>
    </xf>
    <xf numFmtId="4" fontId="7" fillId="0" borderId="0" xfId="0" applyNumberFormat="1" applyFont="1" applyAlignment="1">
      <alignment horizontal="right" vertical="top" wrapText="1" indent="1"/>
    </xf>
    <xf numFmtId="0" fontId="7" fillId="0" borderId="0" xfId="0" applyFont="1" applyAlignment="1">
      <alignment horizontal="left" vertical="top" wrapText="1"/>
    </xf>
    <xf numFmtId="4" fontId="21" fillId="0" borderId="0" xfId="0" applyNumberFormat="1" applyFont="1" applyAlignment="1">
      <alignment horizontal="right" vertical="top" indent="1"/>
    </xf>
    <xf numFmtId="49" fontId="7" fillId="0" borderId="0" xfId="0" applyNumberFormat="1" applyFont="1" applyAlignment="1">
      <alignment horizontal="center" vertical="top"/>
    </xf>
    <xf numFmtId="0" fontId="7" fillId="0" borderId="3" xfId="0" applyFont="1" applyBorder="1" applyAlignment="1">
      <alignment horizontal="left" vertical="top" wrapText="1" indent="1"/>
    </xf>
    <xf numFmtId="0" fontId="29" fillId="0" borderId="0" xfId="0" applyFont="1"/>
    <xf numFmtId="0" fontId="30" fillId="0" borderId="0" xfId="0" applyFont="1"/>
    <xf numFmtId="4" fontId="25" fillId="0" borderId="0" xfId="0" applyNumberFormat="1" applyFont="1" applyAlignment="1">
      <alignment horizontal="left"/>
    </xf>
    <xf numFmtId="4" fontId="9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top"/>
    </xf>
    <xf numFmtId="4" fontId="8" fillId="0" borderId="0" xfId="4" applyNumberFormat="1" applyFont="1" applyAlignment="1">
      <alignment horizontal="right" vertical="top" indent="1"/>
    </xf>
    <xf numFmtId="4" fontId="7" fillId="0" borderId="0" xfId="4" applyNumberFormat="1" applyFont="1" applyAlignment="1">
      <alignment horizontal="right" vertical="top" indent="1"/>
    </xf>
    <xf numFmtId="0" fontId="32" fillId="0" borderId="5" xfId="0" applyFont="1" applyBorder="1" applyAlignment="1">
      <alignment horizontal="left" vertical="top" wrapText="1" indent="1"/>
    </xf>
    <xf numFmtId="0" fontId="32" fillId="0" borderId="0" xfId="0" applyFont="1" applyAlignment="1">
      <alignment horizontal="left" vertical="top" wrapText="1" indent="1"/>
    </xf>
    <xf numFmtId="4" fontId="32" fillId="0" borderId="5" xfId="0" applyNumberFormat="1" applyFont="1" applyBorder="1" applyAlignment="1">
      <alignment horizontal="right" vertical="top" indent="1"/>
    </xf>
    <xf numFmtId="4" fontId="32" fillId="0" borderId="0" xfId="0" applyNumberFormat="1" applyFont="1" applyAlignment="1">
      <alignment horizontal="right" vertical="top" indent="1"/>
    </xf>
    <xf numFmtId="4" fontId="32" fillId="0" borderId="5" xfId="0" applyNumberFormat="1" applyFont="1" applyBorder="1" applyAlignment="1">
      <alignment horizontal="right" vertical="top" wrapText="1" indent="1"/>
    </xf>
    <xf numFmtId="0" fontId="32" fillId="0" borderId="5" xfId="0" applyFont="1" applyBorder="1" applyAlignment="1">
      <alignment horizontal="left" vertical="top" wrapText="1"/>
    </xf>
    <xf numFmtId="4" fontId="32" fillId="0" borderId="5" xfId="0" applyNumberFormat="1" applyFont="1" applyBorder="1" applyAlignment="1">
      <alignment horizontal="right" vertical="top"/>
    </xf>
    <xf numFmtId="38" fontId="8" fillId="0" borderId="3" xfId="0" applyNumberFormat="1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right" vertical="top"/>
    </xf>
    <xf numFmtId="4" fontId="8" fillId="0" borderId="3" xfId="0" applyNumberFormat="1" applyFont="1" applyBorder="1" applyAlignment="1">
      <alignment horizontal="right" vertical="top" indent="1"/>
    </xf>
    <xf numFmtId="38" fontId="8" fillId="0" borderId="3" xfId="0" applyNumberFormat="1" applyFont="1" applyBorder="1" applyAlignment="1">
      <alignment horizontal="center" vertical="top"/>
    </xf>
    <xf numFmtId="4" fontId="8" fillId="0" borderId="3" xfId="4" applyNumberFormat="1" applyFont="1" applyBorder="1" applyAlignment="1">
      <alignment horizontal="right" vertical="top" indent="1"/>
    </xf>
    <xf numFmtId="4" fontId="30" fillId="0" borderId="0" xfId="0" applyNumberFormat="1" applyFont="1"/>
    <xf numFmtId="4" fontId="27" fillId="0" borderId="3" xfId="0" applyNumberFormat="1" applyFont="1" applyBorder="1" applyAlignment="1">
      <alignment horizontal="right" vertical="top" indent="1"/>
    </xf>
    <xf numFmtId="0" fontId="33" fillId="0" borderId="5" xfId="0" applyFont="1" applyBorder="1" applyAlignment="1">
      <alignment horizontal="center" vertical="top"/>
    </xf>
    <xf numFmtId="4" fontId="27" fillId="0" borderId="0" xfId="0" applyNumberFormat="1" applyFont="1" applyAlignment="1">
      <alignment horizontal="right" vertical="top"/>
    </xf>
    <xf numFmtId="4" fontId="7" fillId="0" borderId="3" xfId="0" applyNumberFormat="1" applyFont="1" applyBorder="1" applyAlignment="1">
      <alignment horizontal="right" vertical="top"/>
    </xf>
    <xf numFmtId="4" fontId="19" fillId="0" borderId="0" xfId="0" applyNumberFormat="1" applyFont="1" applyAlignment="1">
      <alignment horizontal="right" vertical="top" indent="1"/>
    </xf>
    <xf numFmtId="4" fontId="27" fillId="0" borderId="3" xfId="0" applyNumberFormat="1" applyFont="1" applyBorder="1" applyAlignment="1">
      <alignment horizontal="right" vertical="top"/>
    </xf>
    <xf numFmtId="4" fontId="20" fillId="0" borderId="0" xfId="0" applyNumberFormat="1" applyFont="1" applyAlignment="1">
      <alignment horizontal="right" vertical="top" wrapText="1" indent="1"/>
    </xf>
    <xf numFmtId="4" fontId="8" fillId="0" borderId="0" xfId="0" applyNumberFormat="1" applyFont="1" applyAlignment="1">
      <alignment horizontal="right" vertical="top" wrapText="1" indent="1"/>
    </xf>
    <xf numFmtId="4" fontId="22" fillId="0" borderId="0" xfId="0" applyNumberFormat="1" applyFont="1" applyAlignment="1">
      <alignment horizontal="right" vertical="top" indent="1"/>
    </xf>
    <xf numFmtId="4" fontId="4" fillId="0" borderId="0" xfId="0" applyNumberFormat="1" applyFont="1"/>
    <xf numFmtId="0" fontId="27" fillId="0" borderId="0" xfId="0" applyFont="1" applyAlignment="1">
      <alignment horizontal="left" vertical="top" wrapText="1" indent="1"/>
    </xf>
    <xf numFmtId="4" fontId="19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 indent="1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09"/>
  <sheetViews>
    <sheetView tabSelected="1" zoomScale="99" zoomScaleNormal="99" workbookViewId="0">
      <selection sqref="A1:G1"/>
    </sheetView>
  </sheetViews>
  <sheetFormatPr defaultRowHeight="15.6" x14ac:dyDescent="0.3"/>
  <cols>
    <col min="1" max="1" width="29.19921875" style="2" customWidth="1"/>
    <col min="2" max="2" width="11.69921875" style="2" customWidth="1"/>
    <col min="3" max="3" width="10.59765625" style="36" customWidth="1"/>
    <col min="4" max="4" width="9" style="2" customWidth="1"/>
    <col min="5" max="5" width="8.69921875" style="2" customWidth="1"/>
    <col min="6" max="7" width="10" style="2" customWidth="1"/>
    <col min="9" max="9" width="8.8984375" customWidth="1"/>
  </cols>
  <sheetData>
    <row r="1" spans="1:9" ht="16.2" x14ac:dyDescent="0.35">
      <c r="A1" s="73" t="s">
        <v>285</v>
      </c>
      <c r="B1" s="73"/>
      <c r="C1" s="73"/>
      <c r="D1" s="73"/>
      <c r="E1" s="73"/>
      <c r="F1" s="73"/>
      <c r="G1" s="73"/>
    </row>
    <row r="2" spans="1:9" x14ac:dyDescent="0.3">
      <c r="A2" s="82"/>
      <c r="B2" s="82"/>
      <c r="C2" s="82"/>
      <c r="D2" s="82"/>
      <c r="E2" s="82"/>
      <c r="F2" s="82"/>
      <c r="G2" s="82"/>
    </row>
    <row r="3" spans="1:9" ht="54" customHeight="1" x14ac:dyDescent="0.3">
      <c r="A3" s="74"/>
      <c r="B3" s="76" t="s">
        <v>355</v>
      </c>
      <c r="C3" s="77"/>
      <c r="D3" s="78" t="s">
        <v>103</v>
      </c>
      <c r="E3" s="79"/>
      <c r="F3" s="80" t="s">
        <v>1</v>
      </c>
      <c r="G3" s="81"/>
    </row>
    <row r="4" spans="1:9" ht="44.4" x14ac:dyDescent="0.3">
      <c r="A4" s="75"/>
      <c r="B4" s="39" t="s">
        <v>95</v>
      </c>
      <c r="C4" s="38" t="s">
        <v>356</v>
      </c>
      <c r="D4" s="39" t="s">
        <v>357</v>
      </c>
      <c r="E4" s="39" t="s">
        <v>358</v>
      </c>
      <c r="F4" s="39" t="s">
        <v>359</v>
      </c>
      <c r="G4" s="37" t="s">
        <v>360</v>
      </c>
    </row>
    <row r="5" spans="1:9" s="1" customFormat="1" ht="15.75" customHeight="1" x14ac:dyDescent="0.25">
      <c r="A5" s="51" t="s">
        <v>408</v>
      </c>
      <c r="B5" s="52">
        <v>1725483.75067</v>
      </c>
      <c r="C5" s="48">
        <f>IF(1874954.38713="","-",1725483.75067/1874954.38713*100)</f>
        <v>92.028038789317151</v>
      </c>
      <c r="D5" s="48">
        <v>100</v>
      </c>
      <c r="E5" s="48">
        <v>100</v>
      </c>
      <c r="F5" s="48">
        <f>IF(1104691.54098="","-",(1874954.38713-1104691.54098)/1104691.54098*100)</f>
        <v>69.726508946260253</v>
      </c>
      <c r="G5" s="48">
        <f>IF(1874954.38713="","-",(1725483.75067-1874954.38713)/1874954.38713*100)</f>
        <v>-7.9719612106828501</v>
      </c>
    </row>
    <row r="6" spans="1:9" ht="13.5" customHeight="1" x14ac:dyDescent="0.3">
      <c r="A6" s="29" t="s">
        <v>409</v>
      </c>
      <c r="B6" s="63"/>
      <c r="C6" s="63"/>
      <c r="D6" s="63"/>
      <c r="E6" s="63"/>
      <c r="F6" s="63"/>
      <c r="G6" s="63"/>
    </row>
    <row r="7" spans="1:9" ht="26.4" x14ac:dyDescent="0.3">
      <c r="A7" s="25" t="s">
        <v>129</v>
      </c>
      <c r="B7" s="9">
        <v>1056900.7792</v>
      </c>
      <c r="C7" s="16">
        <f>IF(1208565.81796="","-",1056900.7792/1208565.81796*100)</f>
        <v>87.450825060069704</v>
      </c>
      <c r="D7" s="16">
        <f>IF(1208565.81796="","-",1208565.81796/1874954.38713*100)</f>
        <v>64.458411695548307</v>
      </c>
      <c r="E7" s="16">
        <f>IF(1056900.7792="","-",1056900.7792/1725483.75067*100)</f>
        <v>61.25243305186784</v>
      </c>
      <c r="F7" s="16">
        <f>IF(1104691.54098="","-",(1208565.81796-720907.19202)/1104691.54098*100)</f>
        <v>44.144325166768773</v>
      </c>
      <c r="G7" s="16">
        <f>IF(1874954.38713="","-",(1056900.7792-1208565.81796)/1874954.38713*100)</f>
        <v>-8.0889988471748477</v>
      </c>
      <c r="I7" s="8"/>
    </row>
    <row r="8" spans="1:9" ht="15.75" customHeight="1" x14ac:dyDescent="0.3">
      <c r="A8" s="26" t="s">
        <v>2</v>
      </c>
      <c r="B8" s="10">
        <v>551734.66998000001</v>
      </c>
      <c r="C8" s="15">
        <f>IF(OR(570738.34608="",551734.66998=""),"-",551734.66998/570738.34608*100)</f>
        <v>96.670334798682632</v>
      </c>
      <c r="D8" s="15">
        <f>IF(570738.34608="","-",570738.34608/1874954.38713*100)</f>
        <v>30.440118970234337</v>
      </c>
      <c r="E8" s="15">
        <f>IF(551734.66998="","-",551734.66998/1725483.75067*100)</f>
        <v>31.975651452281902</v>
      </c>
      <c r="F8" s="15">
        <f>IF(OR(1104691.54098="",307437.96193="",570738.34608=""),"-",(570738.34608-307437.96193)/1104691.54098*100)</f>
        <v>23.834742494399798</v>
      </c>
      <c r="G8" s="15">
        <f>IF(OR(1874954.38713="",551734.66998="",570738.34608=""),"-",(551734.66998-570738.34608)/1874954.38713*100)</f>
        <v>-1.0135540485914989</v>
      </c>
    </row>
    <row r="9" spans="1:9" ht="15.75" customHeight="1" x14ac:dyDescent="0.3">
      <c r="A9" s="26" t="s">
        <v>3</v>
      </c>
      <c r="B9" s="10">
        <v>110649.59291000001</v>
      </c>
      <c r="C9" s="15">
        <f>IF(OR(175522.77573="",110649.59291=""),"-",110649.59291/175522.77573*100)</f>
        <v>63.040019991598164</v>
      </c>
      <c r="D9" s="15">
        <f>IF(175522.77573="","-",175522.77573/1874954.38713*100)</f>
        <v>9.3614424401370862</v>
      </c>
      <c r="E9" s="15">
        <f>IF(110649.59291="","-",110649.59291/1725483.75067*100)</f>
        <v>6.4126708157660195</v>
      </c>
      <c r="F9" s="15">
        <f>IF(OR(1104691.54098="",77334.27415="",175522.77573=""),"-",(175522.77573-77334.27415)/1104691.54098*100)</f>
        <v>8.8883184072265511</v>
      </c>
      <c r="G9" s="15">
        <f>IF(OR(1874954.38713="",110649.59291="",175522.77573=""),"-",(110649.59291-175522.77573)/1874954.38713*100)</f>
        <v>-3.4599872543727117</v>
      </c>
    </row>
    <row r="10" spans="1:9" ht="13.5" customHeight="1" x14ac:dyDescent="0.3">
      <c r="A10" s="26" t="s">
        <v>4</v>
      </c>
      <c r="B10" s="10">
        <v>93181.734760000007</v>
      </c>
      <c r="C10" s="15">
        <f>IF(OR(107430.87414="",93181.73476=""),"-",93181.73476/107430.87414*100)</f>
        <v>86.736457751026919</v>
      </c>
      <c r="D10" s="15">
        <f>IF(107430.87414="","-",107430.87414/1874954.38713*100)</f>
        <v>5.7297860085249788</v>
      </c>
      <c r="E10" s="15">
        <f>IF(93181.73476="","-",93181.73476/1725483.75067*100)</f>
        <v>5.4003252550954377</v>
      </c>
      <c r="F10" s="15">
        <f>IF(OR(1104691.54098="",114798.74452="",107430.87414=""),"-",(107430.87414-114798.74452)/1104691.54098*100)</f>
        <v>-0.66696178133705697</v>
      </c>
      <c r="G10" s="15">
        <f>IF(OR(1874954.38713="",93181.73476="",107430.87414=""),"-",(93181.73476-107430.87414)/1874954.38713*100)</f>
        <v>-0.75997258801645873</v>
      </c>
    </row>
    <row r="11" spans="1:9" ht="15.75" customHeight="1" x14ac:dyDescent="0.3">
      <c r="A11" s="26" t="s">
        <v>295</v>
      </c>
      <c r="B11" s="10">
        <v>65947.475789999997</v>
      </c>
      <c r="C11" s="15" t="s">
        <v>100</v>
      </c>
      <c r="D11" s="15">
        <f>IF(40529.81306="","-",40529.81306/1874954.38713*100)</f>
        <v>2.1616426158525992</v>
      </c>
      <c r="E11" s="15">
        <f>IF(65947.47579="","-",65947.47579/1725483.75067*100)</f>
        <v>3.8219702598991616</v>
      </c>
      <c r="F11" s="15">
        <f>IF(OR(1104691.54098="",34027.64288="",40529.81306=""),"-",(40529.81306-34027.64288)/1104691.54098*100)</f>
        <v>0.58859599614855018</v>
      </c>
      <c r="G11" s="15">
        <f>IF(OR(1874954.38713="",65947.47579="",40529.81306=""),"-",(65947.47579-40529.81306)/1874954.38713*100)</f>
        <v>1.3556416574435666</v>
      </c>
    </row>
    <row r="12" spans="1:9" s="5" customFormat="1" x14ac:dyDescent="0.3">
      <c r="A12" s="26" t="s">
        <v>5</v>
      </c>
      <c r="B12" s="10">
        <v>45499.030809999997</v>
      </c>
      <c r="C12" s="15">
        <f>IF(OR(52895.88904="",45499.03081=""),"-",45499.03081/52895.88904*100)</f>
        <v>86.016194520510879</v>
      </c>
      <c r="D12" s="15">
        <f>IF(52895.88904="","-",52895.88904/1874954.38713*100)</f>
        <v>2.8211827126615034</v>
      </c>
      <c r="E12" s="15">
        <f>IF(45499.03081="","-",45499.03081/1725483.75067*100)</f>
        <v>2.6368854990568797</v>
      </c>
      <c r="F12" s="15">
        <f>IF(OR(1104691.54098="",43191.96557="",52895.88904=""),"-",(52895.88904-43191.96557)/1104691.54098*100)</f>
        <v>0.87842833135043319</v>
      </c>
      <c r="G12" s="15">
        <f>IF(OR(1874954.38713="",45499.03081="",52895.88904=""),"-",(45499.03081-52895.88904)/1874954.38713*100)</f>
        <v>-0.39450870275955913</v>
      </c>
    </row>
    <row r="13" spans="1:9" s="5" customFormat="1" x14ac:dyDescent="0.3">
      <c r="A13" s="26" t="s">
        <v>38</v>
      </c>
      <c r="B13" s="10">
        <v>35869.894780000002</v>
      </c>
      <c r="C13" s="15" t="s">
        <v>305</v>
      </c>
      <c r="D13" s="15">
        <f>IF(13883.4802="","-",13883.4802/1874954.38713*100)</f>
        <v>0.7404702906533901</v>
      </c>
      <c r="E13" s="15">
        <f>IF(35869.89478="","-",35869.89478/1725483.75067*100)</f>
        <v>2.0788312127582675</v>
      </c>
      <c r="F13" s="15">
        <f>IF(OR(1104691.54098="",17345.67582="",13883.4802=""),"-",(13883.4802-17345.67582)/1104691.54098*100)</f>
        <v>-0.31340835804070682</v>
      </c>
      <c r="G13" s="15">
        <f>IF(OR(1874954.38713="",35869.89478="",13883.4802=""),"-",(35869.89478-13883.4802)/1874954.38713*100)</f>
        <v>1.1726373041882205</v>
      </c>
    </row>
    <row r="14" spans="1:9" s="5" customFormat="1" x14ac:dyDescent="0.3">
      <c r="A14" s="26" t="s">
        <v>6</v>
      </c>
      <c r="B14" s="10">
        <v>21840.771079999999</v>
      </c>
      <c r="C14" s="15">
        <f>IF(OR(86361.17995="",21840.77108=""),"-",21840.77108/86361.17995*100)</f>
        <v>25.290033198533202</v>
      </c>
      <c r="D14" s="15">
        <f>IF(86361.17995="","-",86361.17995/1874954.38713*100)</f>
        <v>4.6060416478820798</v>
      </c>
      <c r="E14" s="15">
        <f>IF(21840.77108="","-",21840.77108/1725483.75067*100)</f>
        <v>1.2657766885094857</v>
      </c>
      <c r="F14" s="15">
        <f>IF(OR(1104691.54098="",14496.17334="",86361.17995=""),"-",(86361.17995-14496.17334)/1104691.54098*100)</f>
        <v>6.5054364901035386</v>
      </c>
      <c r="G14" s="15">
        <f>IF(OR(1874954.38713="",21840.77108="",86361.17995=""),"-",(21840.77108-86361.17995)/1874954.38713*100)</f>
        <v>-3.4411721859944366</v>
      </c>
    </row>
    <row r="15" spans="1:9" s="5" customFormat="1" x14ac:dyDescent="0.3">
      <c r="A15" s="26" t="s">
        <v>45</v>
      </c>
      <c r="B15" s="10">
        <v>21811.310160000001</v>
      </c>
      <c r="C15" s="15" t="s">
        <v>101</v>
      </c>
      <c r="D15" s="15">
        <f>IF(11305.01422="","-",11305.01422/1874954.38713*100)</f>
        <v>0.60294875958580674</v>
      </c>
      <c r="E15" s="15">
        <f>IF(21811.31016="","-",21811.31016/1725483.75067*100)</f>
        <v>1.2640692879043769</v>
      </c>
      <c r="F15" s="15">
        <f>IF(OR(1104691.54098="",3530.47227="",11305.01422=""),"-",(11305.01422-3530.47227)/1104691.54098*100)</f>
        <v>0.70377491467916953</v>
      </c>
      <c r="G15" s="15">
        <f>IF(OR(1874954.38713="",21811.31016="",11305.01422=""),"-",(21811.31016-11305.01422)/1874954.38713*100)</f>
        <v>0.56034941501067825</v>
      </c>
    </row>
    <row r="16" spans="1:9" s="5" customFormat="1" x14ac:dyDescent="0.3">
      <c r="A16" s="26" t="s">
        <v>40</v>
      </c>
      <c r="B16" s="10">
        <v>21411.422930000001</v>
      </c>
      <c r="C16" s="15">
        <f>IF(OR(22297.7072="",21411.42293=""),"-",21411.42293/22297.7072*100)</f>
        <v>96.025222404929593</v>
      </c>
      <c r="D16" s="15">
        <f>IF(22297.7072="","-",22297.7072/1874954.38713*100)</f>
        <v>1.1892399811459513</v>
      </c>
      <c r="E16" s="15">
        <f>IF(21411.42293="","-",21411.42293/1725483.75067*100)</f>
        <v>1.2408939186872092</v>
      </c>
      <c r="F16" s="15">
        <f>IF(OR(1104691.54098="",16176.57838="",22297.7072=""),"-",(22297.7072-16176.57838)/1104691.54098*100)</f>
        <v>0.55410298648342959</v>
      </c>
      <c r="G16" s="15">
        <f>IF(OR(1874954.38713="",21411.42293="",22297.7072=""),"-",(21411.42293-22297.7072)/1874954.38713*100)</f>
        <v>-4.7269644322208759E-2</v>
      </c>
    </row>
    <row r="17" spans="1:7" s="5" customFormat="1" x14ac:dyDescent="0.3">
      <c r="A17" s="26" t="s">
        <v>288</v>
      </c>
      <c r="B17" s="10">
        <v>20612.234100000001</v>
      </c>
      <c r="C17" s="15">
        <f>IF(OR(20082.68463="",20612.2341=""),"-",20612.2341/20082.68463*100)</f>
        <v>102.63684601813121</v>
      </c>
      <c r="D17" s="15">
        <f>IF(20082.68463="","-",20082.68463/1874954.38713*100)</f>
        <v>1.0711025701665546</v>
      </c>
      <c r="E17" s="15">
        <f>IF(20612.2341="","-",20612.2341/1725483.75067*100)</f>
        <v>1.1945771203001092</v>
      </c>
      <c r="F17" s="15">
        <f>IF(OR(1104691.54098="",14640.71971="",20082.68463=""),"-",(20082.68463-14640.71971)/1104691.54098*100)</f>
        <v>0.4926230280692015</v>
      </c>
      <c r="G17" s="15">
        <f>IF(OR(1874954.38713="",20612.2341="",20082.68463=""),"-",(20612.2341-20082.68463)/1874954.38713*100)</f>
        <v>2.8243325471537749E-2</v>
      </c>
    </row>
    <row r="18" spans="1:7" s="7" customFormat="1" x14ac:dyDescent="0.3">
      <c r="A18" s="26" t="s">
        <v>301</v>
      </c>
      <c r="B18" s="10">
        <v>15632.190930000001</v>
      </c>
      <c r="C18" s="15">
        <f>IF(OR(41060.24721="",15632.19093=""),"-",15632.19093/41060.24721*100)</f>
        <v>38.071351227015668</v>
      </c>
      <c r="D18" s="15">
        <f>IF(41060.24721="","-",41060.24721/1874954.38713*100)</f>
        <v>2.1899331254053109</v>
      </c>
      <c r="E18" s="15">
        <f>IF(15632.19093="","-",15632.19093/1725483.75067*100)</f>
        <v>0.90595990393592918</v>
      </c>
      <c r="F18" s="15">
        <f>IF(OR(1104691.54098="",16703.25049="",41060.24721=""),"-",(41060.24721-16703.25049)/1104691.54098*100)</f>
        <v>2.2048685824454028</v>
      </c>
      <c r="G18" s="15">
        <f>IF(OR(1874954.38713="",15632.19093="",41060.24721=""),"-",(15632.19093-41060.24721)/1874954.38713*100)</f>
        <v>-1.3561959935954937</v>
      </c>
    </row>
    <row r="19" spans="1:7" s="5" customFormat="1" x14ac:dyDescent="0.3">
      <c r="A19" s="26" t="s">
        <v>8</v>
      </c>
      <c r="B19" s="10">
        <v>14949.373820000001</v>
      </c>
      <c r="C19" s="15">
        <f>IF(OR(18557.06545="",14949.37382=""),"-",14949.37382/18557.06545*100)</f>
        <v>80.558932446940318</v>
      </c>
      <c r="D19" s="15">
        <f>IF(18557.06545="","-",18557.06545/1874954.38713*100)</f>
        <v>0.98973423446345121</v>
      </c>
      <c r="E19" s="15">
        <f>IF(14949.37382="","-",14949.37382/1725483.75067*100)</f>
        <v>0.86638740087788169</v>
      </c>
      <c r="F19" s="15">
        <f>IF(OR(1104691.54098="",12204.33477="",18557.06545=""),"-",(18557.06545-12204.33477)/1104691.54098*100)</f>
        <v>0.57506828325709181</v>
      </c>
      <c r="G19" s="15">
        <f>IF(OR(1874954.38713="",14949.37382="",18557.06545=""),"-",(14949.37382-18557.06545)/1874954.38713*100)</f>
        <v>-0.1924149011177976</v>
      </c>
    </row>
    <row r="20" spans="1:7" s="5" customFormat="1" x14ac:dyDescent="0.3">
      <c r="A20" s="26" t="s">
        <v>41</v>
      </c>
      <c r="B20" s="10">
        <v>9633.0937799999992</v>
      </c>
      <c r="C20" s="15" t="s">
        <v>335</v>
      </c>
      <c r="D20" s="15">
        <f>IF(4005.48377="","-",4005.48377/1874954.38713*100)</f>
        <v>0.21363099803890215</v>
      </c>
      <c r="E20" s="15">
        <f>IF(9633.09378="","-",9633.09378/1725483.75067*100)</f>
        <v>0.55828365675767733</v>
      </c>
      <c r="F20" s="15">
        <f>IF(OR(1104691.54098="",3223.01758="",4005.48377=""),"-",(4005.48377-3223.01758)/1104691.54098*100)</f>
        <v>7.0831192325945938E-2</v>
      </c>
      <c r="G20" s="15">
        <f>IF(OR(1874954.38713="",9633.09378="",4005.48377=""),"-",(9633.09378-4005.48377)/1874954.38713*100)</f>
        <v>0.30014650215647137</v>
      </c>
    </row>
    <row r="21" spans="1:7" s="5" customFormat="1" x14ac:dyDescent="0.3">
      <c r="A21" s="26" t="s">
        <v>39</v>
      </c>
      <c r="B21" s="10">
        <v>6434.8098200000004</v>
      </c>
      <c r="C21" s="15">
        <f>IF(OR(8606.61583="",6434.80982=""),"-",6434.80982/8606.61583*100)</f>
        <v>74.76585393262522</v>
      </c>
      <c r="D21" s="15">
        <f>IF(8606.61583="","-",8606.61583/1874954.38713*100)</f>
        <v>0.4590306777102019</v>
      </c>
      <c r="E21" s="15">
        <f>IF(6434.80982="","-",6434.80982/1725483.75067*100)</f>
        <v>0.37292787124198551</v>
      </c>
      <c r="F21" s="15">
        <f>IF(OR(1104691.54098="",9391.07661="",8606.61583=""),"-",(8606.61583-9391.07661)/1104691.54098*100)</f>
        <v>-7.1011748610302947E-2</v>
      </c>
      <c r="G21" s="15">
        <f>IF(OR(1874954.38713="",6434.80982="",8606.61583=""),"-",(6434.80982-8606.61583)/1874954.38713*100)</f>
        <v>-0.1158324717074527</v>
      </c>
    </row>
    <row r="22" spans="1:7" s="5" customFormat="1" x14ac:dyDescent="0.3">
      <c r="A22" s="26" t="s">
        <v>7</v>
      </c>
      <c r="B22" s="10">
        <v>5838.2063900000003</v>
      </c>
      <c r="C22" s="15">
        <f>IF(OR(10030.52813="",5838.20639=""),"-",5838.20639/10030.52813*100)</f>
        <v>58.204376821781565</v>
      </c>
      <c r="D22" s="15">
        <f>IF(10030.52813="","-",10030.52813/1874954.38713*100)</f>
        <v>0.53497451451892486</v>
      </c>
      <c r="E22" s="15">
        <f>IF(5838.20639="","-",5838.20639/1725483.75067*100)</f>
        <v>0.33835186148423846</v>
      </c>
      <c r="F22" s="15">
        <f>IF(OR(1104691.54098="",9085.92045="",10030.52813=""),"-",(10030.52813-9085.92045)/1104691.54098*100)</f>
        <v>8.550872754597319E-2</v>
      </c>
      <c r="G22" s="15">
        <f>IF(OR(1874954.38713="",5838.20639="",10030.52813=""),"-",(5838.20639-10030.52813)/1874954.38713*100)</f>
        <v>-0.2235959321878333</v>
      </c>
    </row>
    <row r="23" spans="1:7" s="5" customFormat="1" x14ac:dyDescent="0.3">
      <c r="A23" s="26" t="s">
        <v>42</v>
      </c>
      <c r="B23" s="10">
        <v>5585.1358899999996</v>
      </c>
      <c r="C23" s="15">
        <f>IF(OR(4616.82956="",5585.13589=""),"-",5585.13589/4616.82956*100)</f>
        <v>120.97340431168094</v>
      </c>
      <c r="D23" s="15">
        <f>IF(4616.82956="","-",4616.82956/1874954.38713*100)</f>
        <v>0.24623690003824569</v>
      </c>
      <c r="E23" s="15">
        <f>IF(5585.13589="","-",5585.13589/1725483.75067*100)</f>
        <v>0.32368522090290963</v>
      </c>
      <c r="F23" s="15">
        <f>IF(OR(1104691.54098="",5524.05902="",4616.82956=""),"-",(4616.82956-5524.05902)/1104691.54098*100)</f>
        <v>-8.2125138678546705E-2</v>
      </c>
      <c r="G23" s="15">
        <f>IF(OR(1874954.38713="",5585.13589="",4616.82956=""),"-",(5585.13589-4616.82956)/1874954.38713*100)</f>
        <v>5.1644260609570863E-2</v>
      </c>
    </row>
    <row r="24" spans="1:7" s="5" customFormat="1" x14ac:dyDescent="0.3">
      <c r="A24" s="26" t="s">
        <v>289</v>
      </c>
      <c r="B24" s="10">
        <v>3720.3893499999999</v>
      </c>
      <c r="C24" s="15" t="s">
        <v>352</v>
      </c>
      <c r="D24" s="15">
        <f>IF(841.73182="","-",841.73182/1874954.38713*100)</f>
        <v>4.48934558503283E-2</v>
      </c>
      <c r="E24" s="15">
        <f>IF(3720.38935="","-",3720.38935/1725483.75067*100)</f>
        <v>0.21561427910030359</v>
      </c>
      <c r="F24" s="15">
        <f>IF(OR(1104691.54098="",270.09008="",841.73182=""),"-",(841.73182-270.09008)/1104691.54098*100)</f>
        <v>5.1746729181331656E-2</v>
      </c>
      <c r="G24" s="15">
        <f>IF(OR(1874954.38713="",3720.38935="",841.73182=""),"-",(3720.38935-841.73182)/1874954.38713*100)</f>
        <v>0.1535321365554056</v>
      </c>
    </row>
    <row r="25" spans="1:7" s="2" customFormat="1" x14ac:dyDescent="0.3">
      <c r="A25" s="26" t="s">
        <v>43</v>
      </c>
      <c r="B25" s="10">
        <v>2852.1663699999999</v>
      </c>
      <c r="C25" s="15">
        <f>IF(OR(2096.57983="",2852.16637=""),"-",2852.16637/2096.57983*100)</f>
        <v>136.03900644222068</v>
      </c>
      <c r="D25" s="15">
        <f>IF(2096.57983="","-",2096.57983/1874954.38713*100)</f>
        <v>0.11182031117083564</v>
      </c>
      <c r="E25" s="15">
        <f>IF(2852.16637="","-",2852.16637/1725483.75067*100)</f>
        <v>0.16529662298427977</v>
      </c>
      <c r="F25" s="15">
        <f>IF(OR(1104691.54098="",2050.88035="",2096.57983=""),"-",(2096.57983-2050.88035)/1104691.54098*100)</f>
        <v>4.1368543439247348E-3</v>
      </c>
      <c r="G25" s="15">
        <f>IF(OR(1874954.38713="",2852.16637="",2096.57983=""),"-",(2852.16637-2096.57983)/1874954.38713*100)</f>
        <v>4.0298929146568685E-2</v>
      </c>
    </row>
    <row r="26" spans="1:7" s="2" customFormat="1" x14ac:dyDescent="0.3">
      <c r="A26" s="26" t="s">
        <v>44</v>
      </c>
      <c r="B26" s="10">
        <v>1726.1896899999999</v>
      </c>
      <c r="C26" s="15">
        <f>IF(OR(1384.33533="",1726.18969=""),"-",1726.18969/1384.33533*100)</f>
        <v>124.69447630148973</v>
      </c>
      <c r="D26" s="15">
        <f>IF(1384.33533="","-",1384.33533/1874954.38713*100)</f>
        <v>7.3833013725683627E-2</v>
      </c>
      <c r="E26" s="15">
        <f>IF(1726.18969="","-",1726.18969/1725483.75067*100)</f>
        <v>0.10004091254581365</v>
      </c>
      <c r="F26" s="15">
        <f>IF(OR(1104691.54098="",1104.3553="",1384.33533=""),"-",(1384.33533-1104.3553)/1104691.54098*100)</f>
        <v>2.5344634190972687E-2</v>
      </c>
      <c r="G26" s="15">
        <f>IF(OR(1874954.38713="",1726.18969="",1384.33533=""),"-",(1726.18969-1384.33533)/1874954.38713*100)</f>
        <v>1.8232676077164608E-2</v>
      </c>
    </row>
    <row r="27" spans="1:7" s="5" customFormat="1" x14ac:dyDescent="0.3">
      <c r="A27" s="26" t="s">
        <v>46</v>
      </c>
      <c r="B27" s="10">
        <v>742.67274999999995</v>
      </c>
      <c r="C27" s="15">
        <f>IF(OR(715.63633="",742.67275=""),"-",742.67275/715.63633*100)</f>
        <v>103.77795520805937</v>
      </c>
      <c r="D27" s="15">
        <f>IF(715.63633="","-",715.63633/1874954.38713*100)</f>
        <v>3.8168199445930383E-2</v>
      </c>
      <c r="E27" s="15">
        <f>IF(742.67275="","-",742.67275/1725483.75067*100)</f>
        <v>4.3041422424964733E-2</v>
      </c>
      <c r="F27" s="15">
        <f>IF(OR(1104691.54098="",721.81511="",715.63633=""),"-",(715.63633-721.81511)/1104691.54098*100)</f>
        <v>-5.5932174464906354E-4</v>
      </c>
      <c r="G27" s="15">
        <f>IF(OR(1874954.38713="",742.67275="",715.63633=""),"-",(742.67275-715.63633)/1874954.38713*100)</f>
        <v>1.4419774787900127E-3</v>
      </c>
    </row>
    <row r="28" spans="1:7" s="5" customFormat="1" x14ac:dyDescent="0.3">
      <c r="A28" s="26" t="s">
        <v>49</v>
      </c>
      <c r="B28" s="10">
        <v>423.33440000000002</v>
      </c>
      <c r="C28" s="15">
        <f>IF(OR(14311.11844="",423.3344=""),"-",423.3344/14311.11844*100)</f>
        <v>2.958080472709721</v>
      </c>
      <c r="D28" s="15">
        <f>IF(14311.11844="","-",14311.11844/1874954.38713*100)</f>
        <v>0.76327821829874409</v>
      </c>
      <c r="E28" s="15">
        <f>IF(423.3344="","-",423.3344/1725483.75067*100)</f>
        <v>2.4534244372664799E-2</v>
      </c>
      <c r="F28" s="15">
        <f>IF(OR(1104691.54098="",16072.40532="",14311.11844=""),"-",(14311.11844-16072.40532)/1104691.54098*100)</f>
        <v>-0.15943698441263676</v>
      </c>
      <c r="G28" s="15">
        <f>IF(OR(1874954.38713="",423.3344="",14311.11844=""),"-",(423.3344-14311.11844)/1874954.38713*100)</f>
        <v>-0.74069983437080222</v>
      </c>
    </row>
    <row r="29" spans="1:7" s="2" customFormat="1" x14ac:dyDescent="0.3">
      <c r="A29" s="26" t="s">
        <v>51</v>
      </c>
      <c r="B29" s="10">
        <v>296.54401000000001</v>
      </c>
      <c r="C29" s="15">
        <f>IF(OR(444.23119="",296.54401=""),"-",296.54401/444.23119*100)</f>
        <v>66.754432528701997</v>
      </c>
      <c r="D29" s="15">
        <f>IF(444.23119="","-",444.23119/1874954.38713*100)</f>
        <v>2.3692906507447705E-2</v>
      </c>
      <c r="E29" s="15">
        <f>IF(296.54401="","-",296.54401/1725483.75067*100)</f>
        <v>1.7186137504039252E-2</v>
      </c>
      <c r="F29" s="15">
        <f>IF(OR(1104691.54098="",292.78167="",444.23119=""),"-",(444.23119-292.78167)/1104691.54098*100)</f>
        <v>1.3709665945811921E-2</v>
      </c>
      <c r="G29" s="15">
        <f>IF(OR(1874954.38713="",296.54401="",444.23119=""),"-",(296.54401-444.23119)/1874954.38713*100)</f>
        <v>-7.8768412188450817E-3</v>
      </c>
    </row>
    <row r="30" spans="1:7" s="2" customFormat="1" x14ac:dyDescent="0.3">
      <c r="A30" s="26" t="s">
        <v>48</v>
      </c>
      <c r="B30" s="10">
        <v>280.94207999999998</v>
      </c>
      <c r="C30" s="15">
        <f>IF(OR(754.24544="",280.94208=""),"-",280.94208/754.24544*100)</f>
        <v>37.248097913591621</v>
      </c>
      <c r="D30" s="15">
        <f>IF(754.24544="","-",754.24544/1874954.38713*100)</f>
        <v>4.0227402073205978E-2</v>
      </c>
      <c r="E30" s="15">
        <f>IF(280.94208="","-",280.94208/1725483.75067*100)</f>
        <v>1.6281931365097528E-2</v>
      </c>
      <c r="F30" s="15">
        <f>IF(OR(1104691.54098="",387.21906="",754.24544=""),"-",(754.24544-387.21906)/1104691.54098*100)</f>
        <v>3.3224331533705923E-2</v>
      </c>
      <c r="G30" s="15">
        <f>IF(OR(1874954.38713="",280.94208="",754.24544=""),"-",(280.94208-754.24544)/1874954.38713*100)</f>
        <v>-2.5243459960884028E-2</v>
      </c>
    </row>
    <row r="31" spans="1:7" s="2" customFormat="1" x14ac:dyDescent="0.3">
      <c r="A31" s="26" t="s">
        <v>47</v>
      </c>
      <c r="B31" s="10">
        <v>160.73860999999999</v>
      </c>
      <c r="C31" s="15" t="s">
        <v>309</v>
      </c>
      <c r="D31" s="15">
        <f>IF(54.82823="","-",54.82823/1874954.38713*100)</f>
        <v>2.9242434043382668E-3</v>
      </c>
      <c r="E31" s="15">
        <f>IF(160.73861="","-",160.73861/1725483.75067*100)</f>
        <v>9.3155678769843934E-3</v>
      </c>
      <c r="F31" s="15">
        <f>IF(OR(1104691.54098="",773.00838="",54.82823=""),"-",(54.82823-773.00838)/1104691.54098*100)</f>
        <v>-6.5011826682666918E-2</v>
      </c>
      <c r="G31" s="15">
        <f>IF(OR(1874954.38713="",160.73861="",54.82823=""),"-",(160.73861-54.82823)/1874954.38713*100)</f>
        <v>5.6486910149380985E-3</v>
      </c>
    </row>
    <row r="32" spans="1:7" s="2" customFormat="1" x14ac:dyDescent="0.3">
      <c r="A32" s="26" t="s">
        <v>50</v>
      </c>
      <c r="B32" s="10">
        <v>60.82882</v>
      </c>
      <c r="C32" s="15" t="s">
        <v>99</v>
      </c>
      <c r="D32" s="15">
        <f>IF(35.97381="","-",35.97381/1874954.38713*100)</f>
        <v>1.9186498747345664E-3</v>
      </c>
      <c r="E32" s="15">
        <f>IF(60.82882="","-",60.82882/1725483.75067*100)</f>
        <v>3.5253197821411156E-3</v>
      </c>
      <c r="F32" s="15">
        <f>IF(OR(1104691.54098="",119.12312="",35.97381=""),"-",(35.97381-119.12312)/1104691.54098*100)</f>
        <v>-7.5269255638760598E-3</v>
      </c>
      <c r="G32" s="15">
        <f>IF(OR(1874954.38713="",60.82882="",35.97381=""),"-",(60.82882-35.97381)/1874954.38713*100)</f>
        <v>1.3256327818217308E-3</v>
      </c>
    </row>
    <row r="33" spans="1:7" s="2" customFormat="1" x14ac:dyDescent="0.3">
      <c r="A33" s="26" t="s">
        <v>52</v>
      </c>
      <c r="B33" s="10">
        <v>4.3075700000000001</v>
      </c>
      <c r="C33" s="15" t="str">
        <f>IF(OR(""="",4.30757=""),"-",4.30757/""*100)</f>
        <v>-</v>
      </c>
      <c r="D33" s="15" t="str">
        <f>IF(""="","-",""/1874954.38713*100)</f>
        <v>-</v>
      </c>
      <c r="E33" s="15">
        <f>IF(4.30757="","-",4.30757/1725483.75067*100)</f>
        <v>2.4964419388634544E-4</v>
      </c>
      <c r="F33" s="15" t="str">
        <f>IF(OR(1104691.54098="",3.64614="",""=""),"-",(""-3.64614)/1104691.54098*100)</f>
        <v>-</v>
      </c>
      <c r="G33" s="15" t="str">
        <f>IF(OR(1874954.38713="",4.30757="",""=""),"-",(4.30757-"")/1874954.38713*100)</f>
        <v>-</v>
      </c>
    </row>
    <row r="34" spans="1:7" s="6" customFormat="1" ht="14.25" customHeight="1" x14ac:dyDescent="0.25">
      <c r="A34" s="26" t="s">
        <v>53</v>
      </c>
      <c r="B34" s="10">
        <v>1.7176199999999999</v>
      </c>
      <c r="C34" s="15">
        <f>IF(OR(2.60334="",1.71762=""),"-",1.71762/2.60334*100)</f>
        <v>65.977551914079598</v>
      </c>
      <c r="D34" s="15">
        <f>IF(2.60334="","-",2.60334/1874954.38713*100)</f>
        <v>1.3884817774073655E-4</v>
      </c>
      <c r="E34" s="15">
        <f>IF(1.71762="","-",1.71762/1725483.75067*100)</f>
        <v>9.9544258201971096E-5</v>
      </c>
      <c r="F34" s="15" t="str">
        <f>IF(OR(1104691.54098="",""="",2.60334=""),"-",(2.60334-"")/1104691.54098*100)</f>
        <v>-</v>
      </c>
      <c r="G34" s="15">
        <f>IF(OR(1874954.38713="",1.71762="",2.60334=""),"-",(1.71762-2.60334)/1874954.38713*100)</f>
        <v>-4.7239549190088587E-5</v>
      </c>
    </row>
    <row r="35" spans="1:7" s="6" customFormat="1" ht="14.25" customHeight="1" x14ac:dyDescent="0.25">
      <c r="A35" s="25" t="s">
        <v>131</v>
      </c>
      <c r="B35" s="9">
        <v>435199.89240999997</v>
      </c>
      <c r="C35" s="16">
        <f>IF(284949.64873="","-",435199.89241/284949.64873*100)</f>
        <v>152.72869938589307</v>
      </c>
      <c r="D35" s="16">
        <f>IF(284949.64873="","-",284949.64873/1874954.38713*100)</f>
        <v>15.197684310932683</v>
      </c>
      <c r="E35" s="16">
        <f>IF(435199.89241="","-",435199.89241/1725483.75067*100)</f>
        <v>25.221906160577472</v>
      </c>
      <c r="F35" s="16">
        <f>IF(1104691.54098="","-",(284949.64873-173373.62458)/1104691.54098*100)</f>
        <v>10.100197205368122</v>
      </c>
      <c r="G35" s="16">
        <f>IF(1874954.38713="","-",(435199.89241-284949.64873)/1874954.38713*100)</f>
        <v>8.0135412739287268</v>
      </c>
    </row>
    <row r="36" spans="1:7" s="6" customFormat="1" ht="14.25" customHeight="1" x14ac:dyDescent="0.25">
      <c r="A36" s="26" t="s">
        <v>10</v>
      </c>
      <c r="B36" s="10">
        <v>298227.07672000001</v>
      </c>
      <c r="C36" s="15" t="s">
        <v>101</v>
      </c>
      <c r="D36" s="15">
        <f>IF(157783.47812="","-",157783.47812/1874954.38713*100)</f>
        <v>8.4153235514982221</v>
      </c>
      <c r="E36" s="15">
        <f>IF(298227.07672="","-",298227.07672/1725483.75067*100)</f>
        <v>17.283679235124605</v>
      </c>
      <c r="F36" s="15">
        <f>IF(OR(1104691.54098="",31234.98473="",157783.47812=""),"-",(157783.47812-31234.98473)/1104691.54098*100)</f>
        <v>11.455550141873596</v>
      </c>
      <c r="G36" s="15">
        <f>IF(OR(1874954.38713="",298227.07672="",157783.47812=""),"-",(298227.07672-157783.47812)/1874954.38713*100)</f>
        <v>7.4905074792234041</v>
      </c>
    </row>
    <row r="37" spans="1:7" s="4" customFormat="1" ht="14.25" customHeight="1" x14ac:dyDescent="0.25">
      <c r="A37" s="26" t="s">
        <v>290</v>
      </c>
      <c r="B37" s="10">
        <v>66615.195550000004</v>
      </c>
      <c r="C37" s="15">
        <f>IF(OR(92149.38154="",66615.19555=""),"-",66615.19555/92149.38154*100)</f>
        <v>72.290442362962395</v>
      </c>
      <c r="D37" s="15">
        <f>IF(92149.38154="","-",92149.38154/1874954.38713*100)</f>
        <v>4.9147532426670617</v>
      </c>
      <c r="E37" s="15">
        <f>IF(66615.19555="","-",66615.19555/1725483.75067*100)</f>
        <v>3.8606677996320471</v>
      </c>
      <c r="F37" s="15">
        <f>IF(OR(1104691.54098="",104571.01105="",92149.38154=""),"-",(92149.38154-104571.01105)/1104691.54098*100)</f>
        <v>-1.1244432539947264</v>
      </c>
      <c r="G37" s="15">
        <f>IF(OR(1874954.38713="",66615.19555="",92149.38154=""),"-",(66615.19555-92149.38154)/1874954.38713*100)</f>
        <v>-1.3618563824950045</v>
      </c>
    </row>
    <row r="38" spans="1:7" s="6" customFormat="1" ht="14.25" customHeight="1" x14ac:dyDescent="0.25">
      <c r="A38" s="26" t="s">
        <v>9</v>
      </c>
      <c r="B38" s="10">
        <v>39655.516810000001</v>
      </c>
      <c r="C38" s="15">
        <f>IF(OR(24830.59257="",39655.51681=""),"-",39655.51681/24830.59257*100)</f>
        <v>159.70427084334381</v>
      </c>
      <c r="D38" s="15">
        <f>IF(24830.59257="","-",24830.59257/1874954.38713*100)</f>
        <v>1.3243304872076536</v>
      </c>
      <c r="E38" s="15">
        <f>IF(39655.51681="","-",39655.51681/1725483.75067*100)</f>
        <v>2.2982260362986255</v>
      </c>
      <c r="F38" s="15">
        <f>IF(OR(1104691.54098="",26894.69034="",24830.59257=""),"-",(24830.59257-26894.69034)/1104691.54098*100)</f>
        <v>-0.18684833670120138</v>
      </c>
      <c r="G38" s="15">
        <f>IF(OR(1874954.38713="",39655.51681="",24830.59257=""),"-",(39655.51681-24830.59257)/1874954.38713*100)</f>
        <v>0.79068186094343185</v>
      </c>
    </row>
    <row r="39" spans="1:7" s="4" customFormat="1" ht="14.25" customHeight="1" x14ac:dyDescent="0.25">
      <c r="A39" s="26" t="s">
        <v>11</v>
      </c>
      <c r="B39" s="10">
        <v>18399.6427</v>
      </c>
      <c r="C39" s="15" t="s">
        <v>317</v>
      </c>
      <c r="D39" s="15">
        <f>IF(4397.61939="","-",4397.61939/1874954.38713*100)</f>
        <v>0.23454540655420708</v>
      </c>
      <c r="E39" s="15">
        <f>IF(18399.6427="","-",18399.6427/1725483.75067*100)</f>
        <v>1.0663469124444362</v>
      </c>
      <c r="F39" s="15">
        <f>IF(OR(1104691.54098="",5132.71609="",4397.61939=""),"-",(4397.61939-5132.71609)/1104691.54098*100)</f>
        <v>-6.6543163655247775E-2</v>
      </c>
      <c r="G39" s="15">
        <f>IF(OR(1874954.38713="",18399.6427="",4397.61939=""),"-",(18399.6427-4397.61939)/1874954.38713*100)</f>
        <v>0.74679274365884463</v>
      </c>
    </row>
    <row r="40" spans="1:7" s="4" customFormat="1" ht="14.25" customHeight="1" x14ac:dyDescent="0.25">
      <c r="A40" s="26" t="s">
        <v>13</v>
      </c>
      <c r="B40" s="10">
        <v>3832.08844</v>
      </c>
      <c r="C40" s="15">
        <f>IF(OR(2917.80078="",3832.08844=""),"-",3832.08844/2917.80078*100)</f>
        <v>131.33482128961523</v>
      </c>
      <c r="D40" s="15">
        <f>IF(2917.80078="","-",2917.80078/1874954.38713*100)</f>
        <v>0.15561982734237548</v>
      </c>
      <c r="E40" s="15">
        <f>IF(3832.08844="","-",3832.08844/1725483.75067*100)</f>
        <v>0.22208777327007642</v>
      </c>
      <c r="F40" s="15">
        <f>IF(OR(1104691.54098="",2873.23959="",2917.80078=""),"-",(2917.80078-2873.23959)/1104691.54098*100)</f>
        <v>4.033812910386598E-3</v>
      </c>
      <c r="G40" s="15">
        <f>IF(OR(1874954.38713="",3832.08844="",2917.80078=""),"-",(3832.08844-2917.80078)/1874954.38713*100)</f>
        <v>4.8763194788941172E-2</v>
      </c>
    </row>
    <row r="41" spans="1:7" s="4" customFormat="1" ht="14.25" customHeight="1" x14ac:dyDescent="0.25">
      <c r="A41" s="26" t="s">
        <v>296</v>
      </c>
      <c r="B41" s="10">
        <v>3778.1880000000001</v>
      </c>
      <c r="C41" s="15" t="s">
        <v>378</v>
      </c>
      <c r="D41" s="15">
        <f>IF(390.45522="","-",390.45522/1874954.38713*100)</f>
        <v>2.0824785001712566E-2</v>
      </c>
      <c r="E41" s="15">
        <f>IF(3778.188="","-",3778.188/1725483.75067*100)</f>
        <v>0.21896398610145945</v>
      </c>
      <c r="F41" s="15">
        <f>IF(OR(1104691.54098="",600.26146="",390.45522=""),"-",(390.45522-600.26146)/1104691.54098*100)</f>
        <v>-1.8992291713746227E-2</v>
      </c>
      <c r="G41" s="15">
        <f>IF(OR(1874954.38713="",3778.188="",390.45522=""),"-",(3778.188-390.45522)/1874954.38713*100)</f>
        <v>0.18068347706237356</v>
      </c>
    </row>
    <row r="42" spans="1:7" s="4" customFormat="1" ht="13.2" x14ac:dyDescent="0.25">
      <c r="A42" s="26" t="s">
        <v>12</v>
      </c>
      <c r="B42" s="10">
        <v>2347.7381599999999</v>
      </c>
      <c r="C42" s="15" t="s">
        <v>18</v>
      </c>
      <c r="D42" s="15">
        <f>IF(1195.11515="","-",1195.11515/1874954.38713*100)</f>
        <v>6.3741025285920017E-2</v>
      </c>
      <c r="E42" s="15">
        <f>IF(2347.73816="","-",2347.73816/1725483.75067*100)</f>
        <v>0.13606260615832402</v>
      </c>
      <c r="F42" s="15">
        <f>IF(OR(1104691.54098="",1081.66952="",1195.11515=""),"-",(1195.11515-1081.66952)/1104691.54098*100)</f>
        <v>1.0269439548650807E-2</v>
      </c>
      <c r="G42" s="15">
        <f>IF(OR(1874954.38713="",2347.73816="",1195.11515=""),"-",(2347.73816-1195.11515)/1874954.38713*100)</f>
        <v>6.1474722687218243E-2</v>
      </c>
    </row>
    <row r="43" spans="1:7" s="2" customFormat="1" x14ac:dyDescent="0.3">
      <c r="A43" s="26" t="s">
        <v>15</v>
      </c>
      <c r="B43" s="10">
        <v>1587.71207</v>
      </c>
      <c r="C43" s="15" t="s">
        <v>306</v>
      </c>
      <c r="D43" s="15">
        <f>IF(588.1166="","-",588.1166/1874954.38713*100)</f>
        <v>3.1366981726965226E-2</v>
      </c>
      <c r="E43" s="15">
        <f>IF(1587.71207="","-",1587.71207/1725483.75067*100)</f>
        <v>9.2015475044809683E-2</v>
      </c>
      <c r="F43" s="15">
        <f>IF(OR(1104691.54098="",416.59547="",588.1166=""),"-",(588.1166-416.59547)/1104691.54098*100)</f>
        <v>1.5526608436581239E-2</v>
      </c>
      <c r="G43" s="15">
        <f>IF(OR(1874954.38713="",1587.71207="",588.1166=""),"-",(1587.71207-588.1166)/1874954.38713*100)</f>
        <v>5.3313055339446677E-2</v>
      </c>
    </row>
    <row r="44" spans="1:7" s="2" customFormat="1" x14ac:dyDescent="0.3">
      <c r="A44" s="26" t="s">
        <v>14</v>
      </c>
      <c r="B44" s="10">
        <v>669.40494000000001</v>
      </c>
      <c r="C44" s="15">
        <f>IF(OR(653.82758="",669.40494=""),"-",669.40494/653.82758*100)</f>
        <v>102.38248744416684</v>
      </c>
      <c r="D44" s="15">
        <f>IF(653.82758="","-",653.82758/1874954.38713*100)</f>
        <v>3.4871652584616553E-2</v>
      </c>
      <c r="E44" s="15">
        <f>IF(669.40494="","-",669.40494/1725483.75067*100)</f>
        <v>3.8795203938609808E-2</v>
      </c>
      <c r="F44" s="15">
        <f>IF(OR(1104691.54098="",432.11059="",653.82758=""),"-",(653.82758-432.11059)/1104691.54098*100)</f>
        <v>2.0070488618325912E-2</v>
      </c>
      <c r="G44" s="15">
        <f>IF(OR(1874954.38713="",669.40494="",653.82758=""),"-",(669.40494-653.82758)/1874954.38713*100)</f>
        <v>8.3081274440197582E-4</v>
      </c>
    </row>
    <row r="45" spans="1:7" s="5" customFormat="1" x14ac:dyDescent="0.3">
      <c r="A45" s="26" t="s">
        <v>16</v>
      </c>
      <c r="B45" s="10">
        <v>87.32902</v>
      </c>
      <c r="C45" s="15" t="s">
        <v>18</v>
      </c>
      <c r="D45" s="15">
        <f>IF(43.26178="","-",43.26178/1874954.38713*100)</f>
        <v>2.3073510639488666E-3</v>
      </c>
      <c r="E45" s="15">
        <f>IF(87.32902="","-",87.32902/1725483.75067*100)</f>
        <v>5.0611325644817238E-3</v>
      </c>
      <c r="F45" s="15">
        <f>IF(OR(1104691.54098="",136.34574="",43.26178=""),"-",(43.26178-136.34574)/1104691.54098*100)</f>
        <v>-8.4262399544965151E-3</v>
      </c>
      <c r="G45" s="15">
        <f>IF(OR(1874954.38713="",87.32902="",43.26178=""),"-",(87.32902-43.26178)/1874954.38713*100)</f>
        <v>2.350309975671136E-3</v>
      </c>
    </row>
    <row r="46" spans="1:7" s="2" customFormat="1" x14ac:dyDescent="0.3">
      <c r="A46" s="25" t="s">
        <v>132</v>
      </c>
      <c r="B46" s="9">
        <v>233383.07905999999</v>
      </c>
      <c r="C46" s="16">
        <f>IF(381438.92044="","-",233383.07906/381438.92044*100)</f>
        <v>61.18491495067844</v>
      </c>
      <c r="D46" s="16">
        <f>IF(381438.92044="","-",381438.92044/1874954.38713*100)</f>
        <v>20.343903993519014</v>
      </c>
      <c r="E46" s="16">
        <f>IF(233383.07906="","-",233383.07906/1725483.75067*100)</f>
        <v>13.525660787554683</v>
      </c>
      <c r="F46" s="16">
        <f>IF(1104691.54098="","-",(381438.92044-210410.72438)/1104691.54098*100)</f>
        <v>15.481986574123354</v>
      </c>
      <c r="G46" s="16">
        <f>IF(1874954.38713="","-",(233383.07906-381438.92044)/1874954.38713*100)</f>
        <v>-7.8965036374367319</v>
      </c>
    </row>
    <row r="47" spans="1:7" s="7" customFormat="1" x14ac:dyDescent="0.3">
      <c r="A47" s="69" t="s">
        <v>54</v>
      </c>
      <c r="B47" s="61">
        <v>69188.738849999994</v>
      </c>
      <c r="C47" s="15">
        <f>IF(OR(172689.51568="",69188.73885=""),"-",69188.73885/172689.51568*100)</f>
        <v>40.065396314046794</v>
      </c>
      <c r="D47" s="15">
        <f>IF(172689.51568="","-",172689.51568/1874954.38713*100)</f>
        <v>9.2103315614166235</v>
      </c>
      <c r="E47" s="15">
        <f>IF(69188.73885="","-",69188.73885/1725483.75067*100)</f>
        <v>4.0098168889237131</v>
      </c>
      <c r="F47" s="15">
        <f>IF(OR(1104691.54098="",100339.70326="",172689.51568=""),"-",(172689.51568-100339.70326)/1104691.54098*100)</f>
        <v>6.5493225697932518</v>
      </c>
      <c r="G47" s="15">
        <f>IF(OR(1874954.38713="",69188.73885="",172689.51568=""),"-",(69188.73885-172689.51568)/1874954.38713*100)</f>
        <v>-5.5201757194973187</v>
      </c>
    </row>
    <row r="48" spans="1:7" s="5" customFormat="1" x14ac:dyDescent="0.3">
      <c r="A48" s="26" t="s">
        <v>17</v>
      </c>
      <c r="B48" s="10">
        <v>24901.204229999999</v>
      </c>
      <c r="C48" s="15">
        <f>IF(OR(17777.18235="",24901.20423=""),"-",24901.20423/17777.18235*100)</f>
        <v>140.07396526480477</v>
      </c>
      <c r="D48" s="15">
        <f>IF(17777.18235="","-",17777.18235/1874954.38713*100)</f>
        <v>0.94813945725962978</v>
      </c>
      <c r="E48" s="15">
        <f>IF(24901.20423="","-",24901.20423/1725483.75067*100)</f>
        <v>1.4431433631485049</v>
      </c>
      <c r="F48" s="15">
        <f>IF(OR(1104691.54098="",9533.15032="",17777.18235=""),"-",(17777.18235-9533.15032)/1104691.54098*100)</f>
        <v>0.74627456843622686</v>
      </c>
      <c r="G48" s="15">
        <f>IF(OR(1874954.38713="",24901.20423="",17777.18235=""),"-",(24901.20423-17777.18235)/1874954.38713*100)</f>
        <v>0.37995707676413226</v>
      </c>
    </row>
    <row r="49" spans="1:7" s="2" customFormat="1" x14ac:dyDescent="0.3">
      <c r="A49" s="26" t="s">
        <v>58</v>
      </c>
      <c r="B49" s="10">
        <v>21224.572120000001</v>
      </c>
      <c r="C49" s="15">
        <f>IF(OR(15196.77165="",21224.57212=""),"-",21224.57212/15196.77165*100)</f>
        <v>139.66500654762422</v>
      </c>
      <c r="D49" s="15">
        <f>IF(15196.77165="","-",15196.77165/1874954.38713*100)</f>
        <v>0.81051420526884166</v>
      </c>
      <c r="E49" s="15">
        <f>IF(21224.57212="","-",21224.57212/1725483.75067*100)</f>
        <v>1.2300650244755167</v>
      </c>
      <c r="F49" s="15">
        <f>IF(OR(1104691.54098="",9783.94954="",15196.77165=""),"-",(15196.77165-9783.94954)/1104691.54098*100)</f>
        <v>0.48998493327813014</v>
      </c>
      <c r="G49" s="15">
        <f>IF(OR(1874954.38713="",21224.57212="",15196.77165=""),"-",(21224.57212-15196.77165)/1874954.38713*100)</f>
        <v>0.32149051258931044</v>
      </c>
    </row>
    <row r="50" spans="1:7" s="7" customFormat="1" ht="26.4" x14ac:dyDescent="0.3">
      <c r="A50" s="26" t="s">
        <v>292</v>
      </c>
      <c r="B50" s="10">
        <v>17710.534759999999</v>
      </c>
      <c r="C50" s="15">
        <f>IF(OR(32614.51877="",17710.53476=""),"-",17710.53476/32614.51877*100)</f>
        <v>54.302609475540628</v>
      </c>
      <c r="D50" s="15">
        <f>IF(32614.51877="","-",32614.51877/1874954.38713*100)</f>
        <v>1.7394833172407556</v>
      </c>
      <c r="E50" s="15">
        <f>IF(17710.53476="","-",17710.53476/1725483.75067*100)</f>
        <v>1.0264098258313388</v>
      </c>
      <c r="F50" s="15">
        <f>IF(OR(1104691.54098="",19967.01137="",32614.51877=""),"-",(32614.51877-19967.01137)/1104691.54098*100)</f>
        <v>1.1448903997925133</v>
      </c>
      <c r="G50" s="15">
        <f>IF(OR(1874954.38713="",17710.53476="",32614.51877=""),"-",(17710.53476-32614.51877)/1874954.38713*100)</f>
        <v>-0.79489848458732837</v>
      </c>
    </row>
    <row r="51" spans="1:7" s="2" customFormat="1" x14ac:dyDescent="0.3">
      <c r="A51" s="26" t="s">
        <v>291</v>
      </c>
      <c r="B51" s="10">
        <v>15177.628350000001</v>
      </c>
      <c r="C51" s="15">
        <f>IF(OR(53213.17595="",15177.62835=""),"-",15177.62835/53213.17595*100)</f>
        <v>28.522312526997368</v>
      </c>
      <c r="D51" s="15">
        <f>IF(53213.17595="","-",53213.17595/1874954.38713*100)</f>
        <v>2.8381050928632785</v>
      </c>
      <c r="E51" s="15">
        <f>IF(15177.62835="","-",15177.62835/1725483.75067*100)</f>
        <v>0.87961583782557062</v>
      </c>
      <c r="F51" s="15">
        <f>IF(OR(1104691.54098="",14274.4816="",53213.17595=""),"-",(53213.17595-14274.4816)/1104691.54098*100)</f>
        <v>3.5248476977977479</v>
      </c>
      <c r="G51" s="15">
        <f>IF(OR(1874954.38713="",15177.62835="",53213.17595=""),"-",(15177.62835-53213.17595)/1874954.38713*100)</f>
        <v>-2.0286118884321853</v>
      </c>
    </row>
    <row r="52" spans="1:7" s="5" customFormat="1" x14ac:dyDescent="0.3">
      <c r="A52" s="26" t="s">
        <v>61</v>
      </c>
      <c r="B52" s="10">
        <v>11978.80091</v>
      </c>
      <c r="C52" s="15" t="s">
        <v>308</v>
      </c>
      <c r="D52" s="15">
        <f>IF(5160.05058="","-",5160.05058/1874954.38713*100)</f>
        <v>0.27520939258146487</v>
      </c>
      <c r="E52" s="15">
        <f>IF(11978.80091="","-",11978.80091/1725483.75067*100)</f>
        <v>0.69422855505586012</v>
      </c>
      <c r="F52" s="15">
        <f>IF(OR(1104691.54098="",1940.0952="",5160.05058=""),"-",(5160.05058-1940.0952)/1104691.54098*100)</f>
        <v>0.29148004312076981</v>
      </c>
      <c r="G52" s="15">
        <f>IF(OR(1874954.38713="",11978.80091="",5160.05058=""),"-",(11978.80091-5160.05058)/1874954.38713*100)</f>
        <v>0.36367553135185798</v>
      </c>
    </row>
    <row r="53" spans="1:7" s="2" customFormat="1" x14ac:dyDescent="0.3">
      <c r="A53" s="26" t="s">
        <v>56</v>
      </c>
      <c r="B53" s="10">
        <v>7727.1188300000003</v>
      </c>
      <c r="C53" s="15">
        <f>IF(OR(5314.17522="",7727.11883=""),"-",7727.11883/5314.17522*100)</f>
        <v>145.4057969507449</v>
      </c>
      <c r="D53" s="15">
        <f>IF(5314.17522="","-",5314.17522/1874954.38713*100)</f>
        <v>0.28342957335268454</v>
      </c>
      <c r="E53" s="15">
        <f>IF(7727.11883="","-",7727.11883/1725483.75067*100)</f>
        <v>0.44782333226839044</v>
      </c>
      <c r="F53" s="15">
        <f>IF(OR(1104691.54098="",8176.35398="",5314.17522=""),"-",(5314.17522-8176.35398)/1104691.54098*100)</f>
        <v>-0.2590930276754802</v>
      </c>
      <c r="G53" s="15">
        <f>IF(OR(1874954.38713="",7727.11883="",5314.17522=""),"-",(7727.11883-5314.17522)/1874954.38713*100)</f>
        <v>0.12869345657488249</v>
      </c>
    </row>
    <row r="54" spans="1:7" s="5" customFormat="1" x14ac:dyDescent="0.3">
      <c r="A54" s="26" t="s">
        <v>72</v>
      </c>
      <c r="B54" s="10">
        <v>7240.5901100000001</v>
      </c>
      <c r="C54" s="15" t="s">
        <v>343</v>
      </c>
      <c r="D54" s="15">
        <f>IF(1309.03765="","-",1309.03765/1874954.38713*100)</f>
        <v>6.9817039762964522E-2</v>
      </c>
      <c r="E54" s="15">
        <f>IF(7240.59011="","-",7240.59011/1725483.75067*100)</f>
        <v>0.41962667612421739</v>
      </c>
      <c r="F54" s="15">
        <f>IF(OR(1104691.54098="",475.3101="",1309.03765=""),"-",(1309.03765-475.3101)/1104691.54098*100)</f>
        <v>7.5471524771555609E-2</v>
      </c>
      <c r="G54" s="15">
        <f>IF(OR(1874954.38713="",7240.59011="",1309.03765=""),"-",(7240.59011-1309.03765)/1874954.38713*100)</f>
        <v>0.31635716051095247</v>
      </c>
    </row>
    <row r="55" spans="1:7" s="2" customFormat="1" x14ac:dyDescent="0.3">
      <c r="A55" s="26" t="s">
        <v>64</v>
      </c>
      <c r="B55" s="10">
        <v>6742.9223700000002</v>
      </c>
      <c r="C55" s="15">
        <f>IF(OR(6851.0538="",6742.92237=""),"-",6742.92237/6851.0538*100)</f>
        <v>98.421681785654641</v>
      </c>
      <c r="D55" s="15">
        <f>IF(6851.0538="","-",6851.0538/1874954.38713*100)</f>
        <v>0.36539842499779074</v>
      </c>
      <c r="E55" s="15">
        <f>IF(6742.92237="","-",6742.92237/1725483.75067*100)</f>
        <v>0.39078446072770867</v>
      </c>
      <c r="F55" s="15">
        <f>IF(OR(1104691.54098="",3801.14765="",6851.0538=""),"-",(6851.0538-3801.14765)/1104691.54098*100)</f>
        <v>0.27608667549806259</v>
      </c>
      <c r="G55" s="15">
        <f>IF(OR(1874954.38713="",6742.92237="",6851.0538=""),"-",(6742.92237-6851.0538)/1874954.38713*100)</f>
        <v>-5.7671498966711749E-3</v>
      </c>
    </row>
    <row r="56" spans="1:7" s="5" customFormat="1" x14ac:dyDescent="0.3">
      <c r="A56" s="26" t="s">
        <v>66</v>
      </c>
      <c r="B56" s="10">
        <v>5444.0197600000001</v>
      </c>
      <c r="C56" s="15">
        <f>IF(OR(6083.58516="",5444.01976=""),"-",5444.01976/6083.58516*100)</f>
        <v>89.48703136096151</v>
      </c>
      <c r="D56" s="15">
        <f>IF(6083.58516="","-",6083.58516/1874954.38713*100)</f>
        <v>0.32446576843462138</v>
      </c>
      <c r="E56" s="15">
        <f>IF(5444.01976="","-",5444.01976/1725483.75067*100)</f>
        <v>0.31550686918298154</v>
      </c>
      <c r="F56" s="15">
        <f>IF(OR(1104691.54098="",3936.18946="",6083.58516=""),"-",(6083.58516-3936.18946)/1104691.54098*100)</f>
        <v>0.19438871579436465</v>
      </c>
      <c r="G56" s="15">
        <f>IF(OR(1874954.38713="",5444.01976="",6083.58516=""),"-",(5444.01976-6083.58516)/1874954.38713*100)</f>
        <v>-3.4110984479946989E-2</v>
      </c>
    </row>
    <row r="57" spans="1:7" s="2" customFormat="1" x14ac:dyDescent="0.3">
      <c r="A57" s="26" t="s">
        <v>35</v>
      </c>
      <c r="B57" s="10">
        <v>4489.4147800000001</v>
      </c>
      <c r="C57" s="15">
        <f>IF(OR(3528.94212="",4489.41478=""),"-",4489.41478/3528.94212*100)</f>
        <v>127.21701369247734</v>
      </c>
      <c r="D57" s="15">
        <f>IF(3528.94212="","-",3528.94212/1874954.38713*100)</f>
        <v>0.18821482507645243</v>
      </c>
      <c r="E57" s="15">
        <f>IF(4489.41478="","-",4489.41478/1725483.75067*100)</f>
        <v>0.26018296482112768</v>
      </c>
      <c r="F57" s="15">
        <f>IF(OR(1104691.54098="",1393.98285="",3528.94212=""),"-",(3528.94212-1393.98285)/1104691.54098*100)</f>
        <v>0.1932629327555114</v>
      </c>
      <c r="G57" s="15">
        <f>IF(OR(1874954.38713="",4489.41478="",3528.94212=""),"-",(4489.41478-3528.94212)/1874954.38713*100)</f>
        <v>5.1226454712330317E-2</v>
      </c>
    </row>
    <row r="58" spans="1:7" s="2" customFormat="1" x14ac:dyDescent="0.3">
      <c r="A58" s="26" t="s">
        <v>60</v>
      </c>
      <c r="B58" s="10">
        <v>3756.38429</v>
      </c>
      <c r="C58" s="15">
        <f>IF(OR(3391.72305="",3756.38429=""),"-",3756.38429/3391.72305*100)</f>
        <v>110.75150401799463</v>
      </c>
      <c r="D58" s="15">
        <f>IF(3391.72305="","-",3391.72305/1874954.38713*100)</f>
        <v>0.18089629663960646</v>
      </c>
      <c r="E58" s="15">
        <f>IF(3756.38429="","-",3756.38429/1725483.75067*100)</f>
        <v>0.21770035727901857</v>
      </c>
      <c r="F58" s="15">
        <f>IF(OR(1104691.54098="",3783.79943="",3391.72305=""),"-",(3391.72305-3783.79943)/1104691.54098*100)</f>
        <v>-3.549193285685695E-2</v>
      </c>
      <c r="G58" s="15">
        <f>IF(OR(1874954.38713="",3756.38429="",3391.72305=""),"-",(3756.38429-3391.72305)/1874954.38713*100)</f>
        <v>1.9449072601610769E-2</v>
      </c>
    </row>
    <row r="59" spans="1:7" s="5" customFormat="1" x14ac:dyDescent="0.3">
      <c r="A59" s="69" t="s">
        <v>319</v>
      </c>
      <c r="B59" s="61">
        <v>3000</v>
      </c>
      <c r="C59" s="15" t="str">
        <f>IF(OR(""="",3000=""),"-",3000/""*100)</f>
        <v>-</v>
      </c>
      <c r="D59" s="15" t="str">
        <f>IF(""="","-",""/1874954.38713*100)</f>
        <v>-</v>
      </c>
      <c r="E59" s="15">
        <f>IF(3000="","-",3000/1725483.75067*100)</f>
        <v>0.17386428581753433</v>
      </c>
      <c r="F59" s="15" t="str">
        <f>IF(OR(1104691.54098="",""="",""=""),"-",(""-"")/1104691.54098*100)</f>
        <v>-</v>
      </c>
      <c r="G59" s="15" t="str">
        <f>IF(OR(1874954.38713="",3000="",""=""),"-",(3000-"")/1874954.38713*100)</f>
        <v>-</v>
      </c>
    </row>
    <row r="60" spans="1:7" s="7" customFormat="1" x14ac:dyDescent="0.3">
      <c r="A60" s="26" t="s">
        <v>57</v>
      </c>
      <c r="B60" s="10">
        <v>2522.92479</v>
      </c>
      <c r="C60" s="15">
        <f>IF(OR(3026.66792="",2522.92479=""),"-",2522.92479/3026.66792*100)</f>
        <v>83.356511407435804</v>
      </c>
      <c r="D60" s="15">
        <f>IF(3026.66792="","-",3026.66792/1874954.38713*100)</f>
        <v>0.1614262160602708</v>
      </c>
      <c r="E60" s="15">
        <f>IF(2522.92479="","-",2522.92479/1725483.75067*100)</f>
        <v>0.14621550559490093</v>
      </c>
      <c r="F60" s="15">
        <f>IF(OR(1104691.54098="",5320.07769="",3026.66792=""),"-",(3026.66792-5320.07769)/1104691.54098*100)</f>
        <v>-0.20760634846225559</v>
      </c>
      <c r="G60" s="15">
        <f>IF(OR(1874954.38713="",2522.92479="",3026.66792=""),"-",(2522.92479-3026.66792)/1874954.38713*100)</f>
        <v>-2.6866953855399195E-2</v>
      </c>
    </row>
    <row r="61" spans="1:7" s="2" customFormat="1" x14ac:dyDescent="0.3">
      <c r="A61" s="26" t="s">
        <v>55</v>
      </c>
      <c r="B61" s="10">
        <v>2474.4499300000002</v>
      </c>
      <c r="C61" s="15">
        <f>IF(OR(4189.15579="",2474.44993=""),"-",2474.44993/4189.15579*100)</f>
        <v>59.067985389963276</v>
      </c>
      <c r="D61" s="15">
        <f>IF(4189.15579="","-",4189.15579/1874954.38713*100)</f>
        <v>0.22342707741345949</v>
      </c>
      <c r="E61" s="15">
        <f>IF(2474.44993="","-",2474.44993/1725483.75067*100)</f>
        <v>0.14340615662356593</v>
      </c>
      <c r="F61" s="15">
        <f>IF(OR(1104691.54098="",2689.44956="",4189.15579=""),"-",(4189.15579-2689.44956)/1104691.54098*100)</f>
        <v>0.1357579174245846</v>
      </c>
      <c r="G61" s="15">
        <f>IF(OR(1874954.38713="",2474.44993="",4189.15579=""),"-",(2474.44993-4189.15579)/1874954.38713*100)</f>
        <v>-9.1453203969655311E-2</v>
      </c>
    </row>
    <row r="62" spans="1:7" s="2" customFormat="1" x14ac:dyDescent="0.3">
      <c r="A62" s="26" t="s">
        <v>63</v>
      </c>
      <c r="B62" s="10">
        <v>1825.5622599999999</v>
      </c>
      <c r="C62" s="15" t="s">
        <v>347</v>
      </c>
      <c r="D62" s="15">
        <f>IF(252.86862="","-",252.86862/1874954.38713*100)</f>
        <v>1.3486654488009545E-2</v>
      </c>
      <c r="E62" s="15">
        <f>IF(1825.56226="","-",1825.56226/1725483.75067*100)</f>
        <v>0.10580002618344796</v>
      </c>
      <c r="F62" s="15">
        <f>IF(OR(1104691.54098="",567.93065="",252.86862=""),"-",(252.86862-567.93065)/1104691.54098*100)</f>
        <v>-2.8520362319467071E-2</v>
      </c>
      <c r="G62" s="15">
        <f>IF(OR(1874954.38713="",1825.56226="",252.86862=""),"-",(1825.56226-252.86862)/1874954.38713*100)</f>
        <v>8.3879034647201645E-2</v>
      </c>
    </row>
    <row r="63" spans="1:7" s="2" customFormat="1" x14ac:dyDescent="0.3">
      <c r="A63" s="26" t="s">
        <v>82</v>
      </c>
      <c r="B63" s="10">
        <v>1806.9651799999999</v>
      </c>
      <c r="C63" s="15" t="s">
        <v>336</v>
      </c>
      <c r="D63" s="15">
        <f>IF(244.76551="","-",244.76551/1874954.38713*100)</f>
        <v>1.3054478107846854E-2</v>
      </c>
      <c r="E63" s="15">
        <f>IF(1806.96518="","-",1806.96518/1725483.75067*100)</f>
        <v>0.10472223683928412</v>
      </c>
      <c r="F63" s="15">
        <f>IF(OR(1104691.54098="",85.82009="",244.76551=""),"-",(244.76551-85.82009)/1104691.54098*100)</f>
        <v>1.4388217353325208E-2</v>
      </c>
      <c r="G63" s="15">
        <f>IF(OR(1874954.38713="",1806.96518="",244.76551=""),"-",(1806.96518-244.76551)/1874954.38713*100)</f>
        <v>8.3319342631650112E-2</v>
      </c>
    </row>
    <row r="64" spans="1:7" s="2" customFormat="1" x14ac:dyDescent="0.3">
      <c r="A64" s="26" t="s">
        <v>119</v>
      </c>
      <c r="B64" s="10">
        <v>1494.85421</v>
      </c>
      <c r="C64" s="15">
        <f>IF(OR(1501.60572="",1494.85421=""),"-",1494.85421/1501.60572*100)</f>
        <v>99.550380641863825</v>
      </c>
      <c r="D64" s="15">
        <f>IF(1501.60572="","-",1501.60572/1874954.38713*100)</f>
        <v>8.0087586679829251E-2</v>
      </c>
      <c r="E64" s="15">
        <f>IF(1494.85421="","-",1494.85421/1725483.75067*100)</f>
        <v>8.6633919874328155E-2</v>
      </c>
      <c r="F64" s="15">
        <f>IF(OR(1104691.54098="",1103.36451="",1501.60572=""),"-",(1501.60572-1103.36451)/1104691.54098*100)</f>
        <v>3.6049991805559588E-2</v>
      </c>
      <c r="G64" s="15">
        <f>IF(OR(1874954.38713="",1494.85421="",1501.60572=""),"-",(1494.85421-1501.60572)/1874954.38713*100)</f>
        <v>-3.6008929317659911E-4</v>
      </c>
    </row>
    <row r="65" spans="1:7" s="2" customFormat="1" x14ac:dyDescent="0.3">
      <c r="A65" s="26" t="s">
        <v>36</v>
      </c>
      <c r="B65" s="10">
        <v>1326.6491100000001</v>
      </c>
      <c r="C65" s="15" t="s">
        <v>324</v>
      </c>
      <c r="D65" s="15">
        <f>IF(350.92267="","-",350.92267/1874954.38713*100)</f>
        <v>1.8716331042973194E-2</v>
      </c>
      <c r="E65" s="15">
        <f>IF(1326.64911="","-",1326.64911/1725483.75067*100)</f>
        <v>7.6885633346872512E-2</v>
      </c>
      <c r="F65" s="15">
        <f>IF(OR(1104691.54098="",388.11069="",350.92267=""),"-",(350.92267-388.11069)/1104691.54098*100)</f>
        <v>-3.3663713915116572E-3</v>
      </c>
      <c r="G65" s="15">
        <f>IF(OR(1874954.38713="",1326.64911="",350.92267=""),"-",(1326.64911-350.92267)/1874954.38713*100)</f>
        <v>5.2040009436898807E-2</v>
      </c>
    </row>
    <row r="66" spans="1:7" s="2" customFormat="1" x14ac:dyDescent="0.3">
      <c r="A66" s="26" t="s">
        <v>73</v>
      </c>
      <c r="B66" s="10">
        <v>1177.69291</v>
      </c>
      <c r="C66" s="15">
        <f>IF(OR(1350.99732="",1177.69291=""),"-",1177.69291/1350.99732*100)</f>
        <v>87.172112969106408</v>
      </c>
      <c r="D66" s="15">
        <f>IF(1350.99732="","-",1350.99732/1874954.38713*100)</f>
        <v>7.2054943270805472E-2</v>
      </c>
      <c r="E66" s="15">
        <f>IF(1177.69291="","-",1177.69291/1725483.75067*100)</f>
        <v>6.8252912236507909E-2</v>
      </c>
      <c r="F66" s="15">
        <f>IF(OR(1104691.54098="",979.29631="",1350.99732=""),"-",(1350.99732-979.29631)/1104691.54098*100)</f>
        <v>3.3647493097507974E-2</v>
      </c>
      <c r="G66" s="15">
        <f>IF(OR(1874954.38713="",1177.69291="",1350.99732=""),"-",(1177.69291-1350.99732)/1874954.38713*100)</f>
        <v>-9.2431267229533889E-3</v>
      </c>
    </row>
    <row r="67" spans="1:7" s="2" customFormat="1" x14ac:dyDescent="0.3">
      <c r="A67" s="26" t="s">
        <v>334</v>
      </c>
      <c r="B67" s="10">
        <v>1141.60709</v>
      </c>
      <c r="C67" s="15" t="s">
        <v>379</v>
      </c>
      <c r="D67" s="15">
        <f>IF(48.74235="","-",48.74235/1874954.38713*100)</f>
        <v>2.5996552414595062E-3</v>
      </c>
      <c r="E67" s="15">
        <f>IF(1141.60709="","-",1141.60709/1725483.75067*100)</f>
        <v>6.6161567129027876E-2</v>
      </c>
      <c r="F67" s="15">
        <f>IF(OR(1104691.54098="",2085.50385="",48.74235=""),"-",(48.74235-2085.50385)/1104691.54098*100)</f>
        <v>-0.18437377534303712</v>
      </c>
      <c r="G67" s="15">
        <f>IF(OR(1874954.38713="",1141.60709="",48.74235=""),"-",(1141.60709-48.74235)/1874954.38713*100)</f>
        <v>5.8287537419662375E-2</v>
      </c>
    </row>
    <row r="68" spans="1:7" s="2" customFormat="1" x14ac:dyDescent="0.3">
      <c r="A68" s="26" t="s">
        <v>293</v>
      </c>
      <c r="B68" s="10">
        <v>1124.1890800000001</v>
      </c>
      <c r="C68" s="15">
        <f>IF(OR(793.45667="",1124.18908=""),"-",1124.18908/793.45667*100)</f>
        <v>141.68247901930172</v>
      </c>
      <c r="D68" s="15">
        <f>IF(793.45667="","-",793.45667/1874954.38713*100)</f>
        <v>4.2318718548377453E-2</v>
      </c>
      <c r="E68" s="15">
        <f>IF(1124.18908="","-",1124.18908/1725483.75067*100)</f>
        <v>6.5152110506023667E-2</v>
      </c>
      <c r="F68" s="15">
        <f>IF(OR(1104691.54098="",708.76852="",793.45667=""),"-",(793.45667-708.76852)/1104691.54098*100)</f>
        <v>7.6662259878328603E-3</v>
      </c>
      <c r="G68" s="15">
        <f>IF(OR(1874954.38713="",1124.18908="",793.45667=""),"-",(1124.18908-793.45667)/1874954.38713*100)</f>
        <v>1.7639490980164776E-2</v>
      </c>
    </row>
    <row r="69" spans="1:7" s="2" customFormat="1" x14ac:dyDescent="0.3">
      <c r="A69" s="26" t="s">
        <v>59</v>
      </c>
      <c r="B69" s="10">
        <v>804.29674</v>
      </c>
      <c r="C69" s="15" t="s">
        <v>380</v>
      </c>
      <c r="D69" s="15">
        <f>IF(138.61159="","-",138.61159/1874954.38713*100)</f>
        <v>7.392797976924298E-3</v>
      </c>
      <c r="E69" s="15">
        <f>IF(804.29674="","-",804.29674/1725483.75067*100)</f>
        <v>4.6612826095157031E-2</v>
      </c>
      <c r="F69" s="15">
        <f>IF(OR(1104691.54098="",35.76929="",138.61159=""),"-",(138.61159-35.76929)/1104691.54098*100)</f>
        <v>9.3095942337682765E-3</v>
      </c>
      <c r="G69" s="15">
        <f>IF(OR(1874954.38713="",804.29674="",138.61159=""),"-",(804.29674-138.61159)/1874954.38713*100)</f>
        <v>3.5504071702723759E-2</v>
      </c>
    </row>
    <row r="70" spans="1:7" x14ac:dyDescent="0.3">
      <c r="A70" s="26" t="s">
        <v>75</v>
      </c>
      <c r="B70" s="10">
        <v>764.55264</v>
      </c>
      <c r="C70" s="15">
        <f>IF(OR(865.63872="",764.55264=""),"-",764.55264/865.63872*100)</f>
        <v>88.322370792286193</v>
      </c>
      <c r="D70" s="15">
        <f>IF(865.63872="","-",865.63872/1874954.38713*100)</f>
        <v>4.6168521535344474E-2</v>
      </c>
      <c r="E70" s="15">
        <f>IF(764.55264="","-",764.55264/1725483.75067*100)</f>
        <v>4.4309466241170138E-2</v>
      </c>
      <c r="F70" s="15">
        <f>IF(OR(1104691.54098="",66.02272="",865.63872=""),"-",(865.63872-66.02272)/1104691.54098*100)</f>
        <v>7.2383644695119168E-2</v>
      </c>
      <c r="G70" s="15">
        <f>IF(OR(1874954.38713="",764.55264="",865.63872=""),"-",(764.55264-865.63872)/1874954.38713*100)</f>
        <v>-5.3913887555810305E-3</v>
      </c>
    </row>
    <row r="71" spans="1:7" x14ac:dyDescent="0.3">
      <c r="A71" s="26" t="s">
        <v>83</v>
      </c>
      <c r="B71" s="10">
        <v>730.45658000000003</v>
      </c>
      <c r="C71" s="15" t="s">
        <v>347</v>
      </c>
      <c r="D71" s="15">
        <f>IF(101.2317="","-",101.2317/1874954.38713*100)</f>
        <v>5.3991553445177816E-3</v>
      </c>
      <c r="E71" s="15">
        <f>IF(730.45658="","-",730.45658/1725483.75067*100)</f>
        <v>4.2333437200806207E-2</v>
      </c>
      <c r="F71" s="15">
        <f>IF(OR(1104691.54098="",72.63788="",101.2317=""),"-",(101.2317-72.63788)/1104691.54098*100)</f>
        <v>2.5883985655066844E-3</v>
      </c>
      <c r="G71" s="15">
        <f>IF(OR(1874954.38713="",730.45658="",101.2317=""),"-",(730.45658-101.2317)/1874954.38713*100)</f>
        <v>3.3559476663491371E-2</v>
      </c>
    </row>
    <row r="72" spans="1:7" x14ac:dyDescent="0.3">
      <c r="A72" s="69" t="s">
        <v>69</v>
      </c>
      <c r="B72" s="61">
        <v>679.77909</v>
      </c>
      <c r="C72" s="15">
        <f>IF(OR(619.152="",679.77909=""),"-",679.77909/619.152*100)</f>
        <v>109.79195577176523</v>
      </c>
      <c r="D72" s="15">
        <f>IF(619.152="","-",619.152/1874954.38713*100)</f>
        <v>3.3022243327622408E-2</v>
      </c>
      <c r="E72" s="15">
        <f>IF(679.77909="","-",679.77909/1725483.75067*100)</f>
        <v>3.939643533218113E-2</v>
      </c>
      <c r="F72" s="15">
        <f>IF(OR(1104691.54098="",414.86789="",619.152=""),"-",(619.152-414.86789)/1104691.54098*100)</f>
        <v>1.8492411901586066E-2</v>
      </c>
      <c r="G72" s="15">
        <f>IF(OR(1874954.38713="",679.77909="",619.152=""),"-",(679.77909-619.152)/1874954.38713*100)</f>
        <v>3.233523461485486E-3</v>
      </c>
    </row>
    <row r="73" spans="1:7" x14ac:dyDescent="0.3">
      <c r="A73" s="26" t="s">
        <v>74</v>
      </c>
      <c r="B73" s="10">
        <v>639.02193999999997</v>
      </c>
      <c r="C73" s="15">
        <f>IF(OR(871.50134="",639.02194=""),"-",639.02194/871.50134*100)</f>
        <v>73.324263620753584</v>
      </c>
      <c r="D73" s="15">
        <f>IF(871.50134="","-",871.50134/1874954.38713*100)</f>
        <v>4.6481202208551356E-2</v>
      </c>
      <c r="E73" s="15">
        <f>IF(639.02194="","-",639.02194/1725483.75067*100)</f>
        <v>3.7034364406611751E-2</v>
      </c>
      <c r="F73" s="15">
        <f>IF(OR(1104691.54098="",1175.38769="",871.50134=""),"-",(871.50134-1175.38769)/1104691.54098*100)</f>
        <v>-2.7508706161578342E-2</v>
      </c>
      <c r="G73" s="15">
        <f>IF(OR(1874954.38713="",639.02194="",871.50134=""),"-",(639.02194-871.50134)/1874954.38713*100)</f>
        <v>-1.2399202967057626E-2</v>
      </c>
    </row>
    <row r="74" spans="1:7" x14ac:dyDescent="0.3">
      <c r="A74" s="26" t="s">
        <v>133</v>
      </c>
      <c r="B74" s="10">
        <v>622.57764999999995</v>
      </c>
      <c r="C74" s="15" t="s">
        <v>91</v>
      </c>
      <c r="D74" s="15">
        <f>IF(290.4104="","-",290.4104/1874954.38713*100)</f>
        <v>1.548893146379589E-2</v>
      </c>
      <c r="E74" s="15">
        <f>IF(622.57765="","-",622.57765/1725483.75067*100)</f>
        <v>3.6081339494402946E-2</v>
      </c>
      <c r="F74" s="15">
        <f>IF(OR(1104691.54098="",299.4="",290.4104=""),"-",(290.4104-299.4)/1104691.54098*100)</f>
        <v>-8.1376562293806402E-4</v>
      </c>
      <c r="G74" s="15">
        <f>IF(OR(1874954.38713="",622.57765="",290.4104=""),"-",(622.57765-290.4104)/1874954.38713*100)</f>
        <v>1.771601764181846E-2</v>
      </c>
    </row>
    <row r="75" spans="1:7" x14ac:dyDescent="0.3">
      <c r="A75" s="26" t="s">
        <v>120</v>
      </c>
      <c r="B75" s="10">
        <v>438.40147000000002</v>
      </c>
      <c r="C75" s="15">
        <f>IF(OR(295.30431="",438.40147=""),"-",438.40147/295.30431*100)</f>
        <v>148.45752505271597</v>
      </c>
      <c r="D75" s="15">
        <f>IF(295.30431="","-",295.30431/1874954.38713*100)</f>
        <v>1.5749946346802785E-2</v>
      </c>
      <c r="E75" s="15">
        <f>IF(438.40147="","-",438.40147/1725483.75067*100)</f>
        <v>2.5407452827635735E-2</v>
      </c>
      <c r="F75" s="15">
        <f>IF(OR(1104691.54098="",305.84127="",295.30431=""),"-",(295.30431-305.84127)/1104691.54098*100)</f>
        <v>-9.5383730291375411E-4</v>
      </c>
      <c r="G75" s="15">
        <f>IF(OR(1874954.38713="",438.40147="",295.30431=""),"-",(438.40147-295.30431)/1874954.38713*100)</f>
        <v>7.632034196791284E-3</v>
      </c>
    </row>
    <row r="76" spans="1:7" x14ac:dyDescent="0.3">
      <c r="A76" s="26" t="s">
        <v>135</v>
      </c>
      <c r="B76" s="10">
        <v>435.17144000000002</v>
      </c>
      <c r="C76" s="15">
        <f>IF(OR(364.62896="",435.17144=""),"-",435.17144/364.62896*100)</f>
        <v>119.34637336540686</v>
      </c>
      <c r="D76" s="15">
        <f>IF(364.62896="","-",364.62896/1874954.38713*100)</f>
        <v>1.9447350959728625E-2</v>
      </c>
      <c r="E76" s="15">
        <f>IF(435.17144="","-",435.17144/1725483.75067*100)</f>
        <v>2.5220257207929333E-2</v>
      </c>
      <c r="F76" s="15">
        <f>IF(OR(1104691.54098="",412.26926="",364.62896=""),"-",(364.62896-412.26926)/1104691.54098*100)</f>
        <v>-4.3125432062000807E-3</v>
      </c>
      <c r="G76" s="15">
        <f>IF(OR(1874954.38713="",435.17144="",364.62896=""),"-",(435.17144-364.62896)/1874954.38713*100)</f>
        <v>3.7623571263501331E-3</v>
      </c>
    </row>
    <row r="77" spans="1:7" x14ac:dyDescent="0.3">
      <c r="A77" s="26" t="s">
        <v>89</v>
      </c>
      <c r="B77" s="10">
        <v>420.12583999999998</v>
      </c>
      <c r="C77" s="15" t="s">
        <v>193</v>
      </c>
      <c r="D77" s="15">
        <f>IF(188.49813="","-",188.49813/1874954.38713*100)</f>
        <v>1.0053478169596159E-2</v>
      </c>
      <c r="E77" s="15">
        <f>IF(420.12584="","-",420.12584/1725483.75067*100)</f>
        <v>2.4348293041697229E-2</v>
      </c>
      <c r="F77" s="15">
        <f>IF(OR(1104691.54098="",175.39789="",188.49813=""),"-",(188.49813-175.39789)/1104691.54098*100)</f>
        <v>1.1858731160717005E-3</v>
      </c>
      <c r="G77" s="15">
        <f>IF(OR(1874954.38713="",420.12584="",188.49813=""),"-",(420.12584-188.49813)/1874954.38713*100)</f>
        <v>1.2353778395353576E-2</v>
      </c>
    </row>
    <row r="78" spans="1:7" x14ac:dyDescent="0.3">
      <c r="A78" s="26" t="s">
        <v>68</v>
      </c>
      <c r="B78" s="10">
        <v>400.20361000000003</v>
      </c>
      <c r="C78" s="15" t="s">
        <v>350</v>
      </c>
      <c r="D78" s="15">
        <f>IF(39.67116="","-",39.67116/1874954.38713*100)</f>
        <v>2.1158466719142328E-3</v>
      </c>
      <c r="E78" s="15">
        <f>IF(400.20361="","-",400.20361/1725483.75067*100)</f>
        <v>2.319370494474968E-2</v>
      </c>
      <c r="F78" s="15" t="str">
        <f>IF(OR(1104691.54098="",""="",39.67116=""),"-",(39.67116-"")/1104691.54098*100)</f>
        <v>-</v>
      </c>
      <c r="G78" s="15">
        <f>IF(OR(1874954.38713="",400.20361="",39.67116=""),"-",(400.20361-39.67116)/1874954.38713*100)</f>
        <v>1.9228865111319774E-2</v>
      </c>
    </row>
    <row r="79" spans="1:7" x14ac:dyDescent="0.3">
      <c r="A79" s="26" t="s">
        <v>84</v>
      </c>
      <c r="B79" s="10">
        <v>305.79358999999999</v>
      </c>
      <c r="C79" s="15">
        <f>IF(OR(328.45526="",305.79359=""),"-",305.79359/328.45526*100)</f>
        <v>93.100530647613922</v>
      </c>
      <c r="D79" s="15">
        <f>IF(328.45526="","-",328.45526/1874954.38713*100)</f>
        <v>1.7518040025643916E-2</v>
      </c>
      <c r="E79" s="15">
        <f>IF(305.79359="","-",305.79359/1725483.75067*100)</f>
        <v>1.7722194710976635E-2</v>
      </c>
      <c r="F79" s="15">
        <f>IF(OR(1104691.54098="",27.5959="",328.45526=""),"-",(328.45526-27.5959)/1104691.54098*100)</f>
        <v>2.7234693924885135E-2</v>
      </c>
      <c r="G79" s="15">
        <f>IF(OR(1874954.38713="",305.79359="",328.45526=""),"-",(305.79359-328.45526)/1874954.38713*100)</f>
        <v>-1.2086518027080286E-3</v>
      </c>
    </row>
    <row r="80" spans="1:7" x14ac:dyDescent="0.3">
      <c r="A80" s="26" t="s">
        <v>37</v>
      </c>
      <c r="B80" s="10">
        <v>277.53980999999999</v>
      </c>
      <c r="C80" s="15">
        <f>IF(OR(985.23411="",277.53981=""),"-",277.53981/985.23411*100)</f>
        <v>28.169935163937836</v>
      </c>
      <c r="D80" s="15">
        <f>IF(985.23411="","-",985.23411/1874954.38713*100)</f>
        <v>5.2547097506094625E-2</v>
      </c>
      <c r="E80" s="15">
        <f>IF(277.53981="","-",277.53981/1725483.75067*100)</f>
        <v>1.6084753617194723E-2</v>
      </c>
      <c r="F80" s="15">
        <f>IF(OR(1104691.54098="",468.24047="",985.23411=""),"-",(985.23411-468.24047)/1104691.54098*100)</f>
        <v>4.6799818847292132E-2</v>
      </c>
      <c r="G80" s="15">
        <f>IF(OR(1874954.38713="",277.53981="",985.23411=""),"-",(277.53981-985.23411)/1874954.38713*100)</f>
        <v>-3.774461420809657E-2</v>
      </c>
    </row>
    <row r="81" spans="1:7" x14ac:dyDescent="0.3">
      <c r="A81" s="26" t="s">
        <v>320</v>
      </c>
      <c r="B81" s="10">
        <v>259.70627999999999</v>
      </c>
      <c r="C81" s="15" t="s">
        <v>381</v>
      </c>
      <c r="D81" s="15">
        <f>IF(20.2905="","-",20.2905/1874954.38713*100)</f>
        <v>1.0821863261995803E-3</v>
      </c>
      <c r="E81" s="15">
        <f>IF(259.70628="","-",259.70628/1725483.75067*100)</f>
        <v>1.505121563150953E-2</v>
      </c>
      <c r="F81" s="15" t="str">
        <f>IF(OR(1104691.54098="",""="",20.2905=""),"-",(20.2905-"")/1104691.54098*100)</f>
        <v>-</v>
      </c>
      <c r="G81" s="15">
        <f>IF(OR(1874954.38713="",259.70628="",20.2905=""),"-",(259.70628-20.2905)/1874954.38713*100)</f>
        <v>1.2769152233429778E-2</v>
      </c>
    </row>
    <row r="82" spans="1:7" x14ac:dyDescent="0.3">
      <c r="A82" s="69" t="s">
        <v>312</v>
      </c>
      <c r="B82" s="61">
        <v>257.25425999999999</v>
      </c>
      <c r="C82" s="15" t="str">
        <f>IF(OR(""="",257.25426=""),"-",257.25426/""*100)</f>
        <v>-</v>
      </c>
      <c r="D82" s="15" t="str">
        <f>IF(""="","-",""/1874954.38713*100)</f>
        <v>-</v>
      </c>
      <c r="E82" s="15">
        <f>IF(257.25426="","-",257.25426/1725483.75067*100)</f>
        <v>1.4909109396139429E-2</v>
      </c>
      <c r="F82" s="15" t="str">
        <f>IF(OR(1104691.54098="",""="",""=""),"-",(""-"")/1104691.54098*100)</f>
        <v>-</v>
      </c>
      <c r="G82" s="15" t="str">
        <f>IF(OR(1874954.38713="",257.25426="",""=""),"-",(257.25426-"")/1874954.38713*100)</f>
        <v>-</v>
      </c>
    </row>
    <row r="83" spans="1:7" x14ac:dyDescent="0.3">
      <c r="A83" s="26" t="s">
        <v>88</v>
      </c>
      <c r="B83" s="10">
        <v>242.75219000000001</v>
      </c>
      <c r="C83" s="15" t="s">
        <v>344</v>
      </c>
      <c r="D83" s="15">
        <f>IF(4.61762="","-",4.61762/1874954.38713*100)</f>
        <v>2.4627905786381337E-4</v>
      </c>
      <c r="E83" s="15">
        <f>IF(242.75219="","-",242.75219/1725483.75067*100)</f>
        <v>1.4068645381664134E-2</v>
      </c>
      <c r="F83" s="15">
        <f>IF(OR(1104691.54098="",0.73254="",4.61762=""),"-",(4.61762-0.73254)/1104691.54098*100)</f>
        <v>3.5168912369451527E-4</v>
      </c>
      <c r="G83" s="15">
        <f>IF(OR(1874954.38713="",242.75219="",4.61762=""),"-",(242.75219-4.61762)/1874954.38713*100)</f>
        <v>1.2700819371105532E-2</v>
      </c>
    </row>
    <row r="84" spans="1:7" x14ac:dyDescent="0.3">
      <c r="A84" s="26" t="s">
        <v>34</v>
      </c>
      <c r="B84" s="10">
        <v>240.9314</v>
      </c>
      <c r="C84" s="15">
        <f>IF(OR(1651.50868="",240.9314=""),"-",240.9314/1651.50868*100)</f>
        <v>14.588563954747121</v>
      </c>
      <c r="D84" s="15">
        <f>IF(1651.50868="","-",1651.50868/1874954.38713*100)</f>
        <v>8.8082605706903128E-2</v>
      </c>
      <c r="E84" s="15">
        <f>IF(240.9314="","-",240.9314/1725483.75067*100)</f>
        <v>1.3963121930672895E-2</v>
      </c>
      <c r="F84" s="15">
        <f>IF(OR(1104691.54098="",439.63517="",1651.50868=""),"-",(1651.50868-439.63517)/1104691.54098*100)</f>
        <v>0.10970243412246246</v>
      </c>
      <c r="G84" s="15">
        <f>IF(OR(1874954.38713="",240.9314="",1651.50868=""),"-",(240.9314-1651.50868)/1874954.38713*100)</f>
        <v>-7.5232618440343832E-2</v>
      </c>
    </row>
    <row r="85" spans="1:7" x14ac:dyDescent="0.3">
      <c r="A85" s="26" t="s">
        <v>98</v>
      </c>
      <c r="B85" s="10">
        <v>238.78465</v>
      </c>
      <c r="C85" s="15">
        <f>IF(OR(1363.28006="",238.78465=""),"-",238.78465/1363.28006*100)</f>
        <v>17.515450933830866</v>
      </c>
      <c r="D85" s="15">
        <f>IF(1363.28006="","-",1363.28006/1874954.38713*100)</f>
        <v>7.2710038673888922E-2</v>
      </c>
      <c r="E85" s="15">
        <f>IF(238.78465="","-",238.78465/1725483.75067*100)</f>
        <v>1.3838707545479965E-2</v>
      </c>
      <c r="F85" s="15">
        <f>IF(OR(1104691.54098="",231.94087="",1363.28006=""),"-",(1363.28006-231.94087)/1104691.54098*100)</f>
        <v>0.10241222531643179</v>
      </c>
      <c r="G85" s="15">
        <f>IF(OR(1874954.38713="",238.78465="",1363.28006=""),"-",(238.78465-1363.28006)/1874954.38713*100)</f>
        <v>-5.9974547525994459E-2</v>
      </c>
    </row>
    <row r="86" spans="1:7" x14ac:dyDescent="0.3">
      <c r="A86" s="26" t="s">
        <v>325</v>
      </c>
      <c r="B86" s="10">
        <v>215.64302000000001</v>
      </c>
      <c r="C86" s="15">
        <f>IF(OR(176.90536="",215.64302=""),"-",215.64302/176.90536*100)</f>
        <v>121.89739191622007</v>
      </c>
      <c r="D86" s="15">
        <f>IF(176.90536="","-",176.90536/1874954.38713*100)</f>
        <v>9.4351820617241643E-3</v>
      </c>
      <c r="E86" s="15">
        <f>IF(215.64302="","-",215.64302/1725483.75067*100)</f>
        <v>1.2497539887945424E-2</v>
      </c>
      <c r="F86" s="15">
        <f>IF(OR(1104691.54098="",211.45377="",176.90536=""),"-",(176.90536-211.45377)/1104691.54098*100)</f>
        <v>-3.1274259572360999E-3</v>
      </c>
      <c r="G86" s="15">
        <f>IF(OR(1874954.38713="",215.64302="",176.90536=""),"-",(215.64302-176.90536)/1874954.38713*100)</f>
        <v>2.066058794064633E-3</v>
      </c>
    </row>
    <row r="87" spans="1:7" x14ac:dyDescent="0.3">
      <c r="A87" s="26" t="s">
        <v>92</v>
      </c>
      <c r="B87" s="10">
        <v>207.12123</v>
      </c>
      <c r="C87" s="15">
        <f>IF(OR(637.52829="",207.12123=""),"-",207.12123/637.52829*100)</f>
        <v>32.488162995872699</v>
      </c>
      <c r="D87" s="15">
        <f>IF(637.52829="","-",637.52829/1874954.38713*100)</f>
        <v>3.4002335970202829E-2</v>
      </c>
      <c r="E87" s="15">
        <f>IF(207.12123="","-",207.12123/1725483.75067*100)</f>
        <v>1.2003661577199756E-2</v>
      </c>
      <c r="F87" s="15">
        <f>IF(OR(1104691.54098="",231.46488="",637.52829=""),"-",(637.52829-231.46488)/1104691.54098*100)</f>
        <v>3.6758080870228332E-2</v>
      </c>
      <c r="G87" s="15">
        <f>IF(OR(1874954.38713="",207.12123="",637.52829=""),"-",(207.12123-637.52829)/1874954.38713*100)</f>
        <v>-2.2955601637799083E-2</v>
      </c>
    </row>
    <row r="88" spans="1:7" x14ac:dyDescent="0.3">
      <c r="A88" s="26" t="s">
        <v>97</v>
      </c>
      <c r="B88" s="10">
        <v>203.54060000000001</v>
      </c>
      <c r="C88" s="15" t="s">
        <v>348</v>
      </c>
      <c r="D88" s="15">
        <f>IF(52.0432="","-",52.0432/1874954.38713*100)</f>
        <v>2.7757048575279067E-3</v>
      </c>
      <c r="E88" s="15">
        <f>IF(203.5406="","-",203.5406/1725483.75067*100)</f>
        <v>1.1796147017957476E-2</v>
      </c>
      <c r="F88" s="15">
        <f>IF(OR(1104691.54098="",275.38569="",52.0432=""),"-",(52.0432-275.38569)/1104691.54098*100)</f>
        <v>-2.0217633766061716E-2</v>
      </c>
      <c r="G88" s="15">
        <f>IF(OR(1874954.38713="",203.5406="",52.0432=""),"-",(203.5406-52.0432)/1874954.38713*100)</f>
        <v>8.0800578958028797E-3</v>
      </c>
    </row>
    <row r="89" spans="1:7" x14ac:dyDescent="0.3">
      <c r="A89" s="26" t="s">
        <v>199</v>
      </c>
      <c r="B89" s="10">
        <v>199.05004</v>
      </c>
      <c r="C89" s="15">
        <f>IF(OR(303.23279="",199.05004=""),"-",199.05004/303.23279*100)</f>
        <v>65.642650321556573</v>
      </c>
      <c r="D89" s="15">
        <f>IF(303.23279="","-",303.23279/1874954.38713*100)</f>
        <v>1.6172808900389284E-2</v>
      </c>
      <c r="E89" s="15">
        <f>IF(199.05004="","-",199.05004/1725483.75067*100)</f>
        <v>1.1535897682183879E-2</v>
      </c>
      <c r="F89" s="15">
        <f>IF(OR(1104691.54098="",195.88926="",303.23279=""),"-",(303.23279-195.88926)/1104691.54098*100)</f>
        <v>9.7170591081717547E-3</v>
      </c>
      <c r="G89" s="15">
        <f>IF(OR(1874954.38713="",199.05004="",303.23279=""),"-",(199.05004-303.23279)/1874954.38713*100)</f>
        <v>-5.5565485067331681E-3</v>
      </c>
    </row>
    <row r="90" spans="1:7" x14ac:dyDescent="0.3">
      <c r="A90" s="26" t="s">
        <v>67</v>
      </c>
      <c r="B90" s="10">
        <v>195.48748000000001</v>
      </c>
      <c r="C90" s="15" t="s">
        <v>382</v>
      </c>
      <c r="D90" s="15">
        <f>IF(15.38301="","-",15.38301/1874954.38713*100)</f>
        <v>8.2044715890645394E-4</v>
      </c>
      <c r="E90" s="15">
        <f>IF(195.48748="","-",195.48748/1725483.75067*100)</f>
        <v>1.1329430365489841E-2</v>
      </c>
      <c r="F90" s="15">
        <f>IF(OR(1104691.54098="",181.19476="",15.38301=""),"-",(15.38301-181.19476)/1104691.54098*100)</f>
        <v>-1.5009778191376767E-2</v>
      </c>
      <c r="G90" s="15">
        <f>IF(OR(1874954.38713="",195.48748="",15.38301=""),"-",(195.48748-15.38301)/1874954.38713*100)</f>
        <v>9.6058054124552126E-3</v>
      </c>
    </row>
    <row r="91" spans="1:7" x14ac:dyDescent="0.3">
      <c r="A91" s="26" t="s">
        <v>80</v>
      </c>
      <c r="B91" s="10">
        <v>177.91264000000001</v>
      </c>
      <c r="C91" s="15">
        <f>IF(OR(168.45391="",177.91264=""),"-",177.91264/168.45391*100)</f>
        <v>105.61502549866609</v>
      </c>
      <c r="D91" s="15">
        <f>IF(168.45391="","-",168.45391/1874954.38713*100)</f>
        <v>8.9844270962694227E-3</v>
      </c>
      <c r="E91" s="15">
        <f>IF(177.91264="","-",177.91264/1725483.75067*100)</f>
        <v>1.0310884697170697E-2</v>
      </c>
      <c r="F91" s="15">
        <f>IF(OR(1104691.54098="",303.34928="",168.45391=""),"-",(168.45391-303.34928)/1104691.54098*100)</f>
        <v>-1.2211134510936047E-2</v>
      </c>
      <c r="G91" s="15">
        <f>IF(OR(1874954.38713="",177.91264="",168.45391=""),"-",(177.91264-168.45391)/1874954.38713*100)</f>
        <v>5.0447787236459216E-4</v>
      </c>
    </row>
    <row r="92" spans="1:7" x14ac:dyDescent="0.3">
      <c r="A92" s="26" t="s">
        <v>315</v>
      </c>
      <c r="B92" s="10">
        <v>175.10164</v>
      </c>
      <c r="C92" s="15" t="str">
        <f>IF(OR(""="",175.10164=""),"-",175.10164/""*100)</f>
        <v>-</v>
      </c>
      <c r="D92" s="15" t="str">
        <f>IF(""="","-",""/1874954.38713*100)</f>
        <v>-</v>
      </c>
      <c r="E92" s="15">
        <f>IF(175.10164="","-",175.10164/1725483.75067*100)</f>
        <v>1.0147973861359667E-2</v>
      </c>
      <c r="F92" s="15" t="str">
        <f>IF(OR(1104691.54098="",""="",""=""),"-",(""-"")/1104691.54098*100)</f>
        <v>-</v>
      </c>
      <c r="G92" s="15" t="str">
        <f>IF(OR(1874954.38713="",175.10164="",""=""),"-",(175.10164-"")/1874954.38713*100)</f>
        <v>-</v>
      </c>
    </row>
    <row r="93" spans="1:7" x14ac:dyDescent="0.3">
      <c r="A93" s="26" t="s">
        <v>116</v>
      </c>
      <c r="B93" s="10">
        <v>173.48614000000001</v>
      </c>
      <c r="C93" s="15">
        <f>IF(OR(147.06372="",173.48614=""),"-",173.48614/147.06372*100)</f>
        <v>117.96664738250877</v>
      </c>
      <c r="D93" s="15">
        <f>IF(147.06372="","-",147.06372/1874954.38713*100)</f>
        <v>7.843589209927981E-3</v>
      </c>
      <c r="E93" s="15">
        <f>IF(173.48614="","-",173.48614/1725483.75067*100)</f>
        <v>1.0054347943446925E-2</v>
      </c>
      <c r="F93" s="15">
        <f>IF(OR(1104691.54098="",207.61055="",147.06372=""),"-",(147.06372-207.61055)/1104691.54098*100)</f>
        <v>-5.4808811106028168E-3</v>
      </c>
      <c r="G93" s="15">
        <f>IF(OR(1874954.38713="",173.48614="",147.06372=""),"-",(173.48614-147.06372)/1874954.38713*100)</f>
        <v>1.4092300154802655E-3</v>
      </c>
    </row>
    <row r="94" spans="1:7" x14ac:dyDescent="0.3">
      <c r="A94" s="26" t="s">
        <v>102</v>
      </c>
      <c r="B94" s="10">
        <v>167.82140999999999</v>
      </c>
      <c r="C94" s="15">
        <f>IF(OR(356.17903="",167.82141=""),"-",167.82141/356.17903*100)</f>
        <v>47.117150608220811</v>
      </c>
      <c r="D94" s="15">
        <f>IF(356.17903="","-",356.17903/1874954.38713*100)</f>
        <v>1.8996677062912696E-2</v>
      </c>
      <c r="E94" s="15">
        <f>IF(167.82141="","-",167.82141/1725483.75067*100)</f>
        <v>9.726049864847203E-3</v>
      </c>
      <c r="F94" s="15">
        <f>IF(OR(1104691.54098="",82.16402="",356.17903=""),"-",(356.17903-82.16402)/1104691.54098*100)</f>
        <v>2.4804662644281165E-2</v>
      </c>
      <c r="G94" s="15">
        <f>IF(OR(1874954.38713="",167.82141="",356.17903=""),"-",(167.82141-356.17903)/1874954.38713*100)</f>
        <v>-1.0045984120622783E-2</v>
      </c>
    </row>
    <row r="95" spans="1:7" x14ac:dyDescent="0.3">
      <c r="A95" s="26" t="s">
        <v>340</v>
      </c>
      <c r="B95" s="10">
        <v>164.60524000000001</v>
      </c>
      <c r="C95" s="15" t="s">
        <v>317</v>
      </c>
      <c r="D95" s="15">
        <f>IF(39.53341="","-",39.53341/1874954.38713*100)</f>
        <v>2.1084998265218577E-3</v>
      </c>
      <c r="E95" s="15">
        <f>IF(164.60524="","-",164.60524/1725483.75067*100)</f>
        <v>9.5396574981412782E-3</v>
      </c>
      <c r="F95" s="15" t="str">
        <f>IF(OR(1104691.54098="",""="",39.53341=""),"-",(39.53341-"")/1104691.54098*100)</f>
        <v>-</v>
      </c>
      <c r="G95" s="15">
        <f>IF(OR(1874954.38713="",164.60524="",39.53341=""),"-",(164.60524-39.53341)/1874954.38713*100)</f>
        <v>6.6706598762356004E-3</v>
      </c>
    </row>
    <row r="96" spans="1:7" x14ac:dyDescent="0.3">
      <c r="A96" s="26" t="s">
        <v>299</v>
      </c>
      <c r="B96" s="10">
        <v>157.10034999999999</v>
      </c>
      <c r="C96" s="15">
        <f>IF(OR(239.17649="",157.10035=""),"-",157.10035/239.17649*100)</f>
        <v>65.683859646907607</v>
      </c>
      <c r="D96" s="15">
        <f>IF(239.17649="","-",239.17649/1874954.38713*100)</f>
        <v>1.2756389789626212E-2</v>
      </c>
      <c r="E96" s="15">
        <f>IF(157.10035="","-",157.10035/1725483.75067*100)</f>
        <v>9.104713384811558E-3</v>
      </c>
      <c r="F96" s="15">
        <f>IF(OR(1104691.54098="",260.5982="",239.17649=""),"-",(239.17649-260.5982)/1104691.54098*100)</f>
        <v>-1.9391576024015062E-3</v>
      </c>
      <c r="G96" s="15">
        <f>IF(OR(1874954.38713="",157.10035="",239.17649=""),"-",(157.10035-239.17649)/1874954.38713*100)</f>
        <v>-4.377500624195679E-3</v>
      </c>
    </row>
    <row r="97" spans="1:7" x14ac:dyDescent="0.3">
      <c r="A97" s="26" t="s">
        <v>65</v>
      </c>
      <c r="B97" s="10">
        <v>134.79057</v>
      </c>
      <c r="C97" s="15">
        <f>IF(OR(3296.0846="",134.79057=""),"-",134.79057/3296.0846*100)</f>
        <v>4.0894147559197966</v>
      </c>
      <c r="D97" s="15">
        <f>IF(3296.0846="","-",3296.0846/1874954.38713*100)</f>
        <v>0.17579545521879761</v>
      </c>
      <c r="E97" s="15">
        <f>IF(134.79057="","-",134.79057/1725483.75067*100)</f>
        <v>7.8117553959961223E-3</v>
      </c>
      <c r="F97" s="15">
        <f>IF(OR(1104691.54098="",320.5908="",3296.0846=""),"-",(3296.0846-320.5908)/1104691.54098*100)</f>
        <v>0.26935064582465829</v>
      </c>
      <c r="G97" s="15">
        <f>IF(OR(1874954.38713="",134.79057="",3296.0846=""),"-",(134.79057-3296.0846)/1874954.38713*100)</f>
        <v>-0.16860644993284371</v>
      </c>
    </row>
    <row r="98" spans="1:7" x14ac:dyDescent="0.3">
      <c r="A98" s="26" t="s">
        <v>94</v>
      </c>
      <c r="B98" s="10">
        <v>132.38359</v>
      </c>
      <c r="C98" s="15">
        <f>IF(OR(117.22409="",132.38359=""),"-",132.38359/117.22409*100)</f>
        <v>112.93206882646732</v>
      </c>
      <c r="D98" s="15">
        <f>IF(117.22409="","-",117.22409/1874954.38713*100)</f>
        <v>6.2521035607397031E-3</v>
      </c>
      <c r="E98" s="15">
        <f>IF(132.38359="","-",132.38359/1725483.75067*100)</f>
        <v>7.6722594431037601E-3</v>
      </c>
      <c r="F98" s="15">
        <f>IF(OR(1104691.54098="",29.25017="",117.22409=""),"-",(117.22409-29.25017)/1104691.54098*100)</f>
        <v>7.9636637682548098E-3</v>
      </c>
      <c r="G98" s="15">
        <f>IF(OR(1874954.38713="",132.38359="",117.22409=""),"-",(132.38359-117.22409)/1874954.38713*100)</f>
        <v>8.0852633557687245E-4</v>
      </c>
    </row>
    <row r="99" spans="1:7" x14ac:dyDescent="0.3">
      <c r="A99" s="26" t="s">
        <v>128</v>
      </c>
      <c r="B99" s="10">
        <v>125.59036999999999</v>
      </c>
      <c r="C99" s="15">
        <f>IF(OR(161.5486="",125.59037=""),"-",125.59037/161.5486*100)</f>
        <v>77.741540316660135</v>
      </c>
      <c r="D99" s="15">
        <f>IF(161.5486="","-",161.5486/1874954.38713*100)</f>
        <v>8.6161349368761471E-3</v>
      </c>
      <c r="E99" s="15">
        <f>IF(125.59037="","-",125.59037/1725483.75067*100)</f>
        <v>7.2785599952032961E-3</v>
      </c>
      <c r="F99" s="15">
        <f>IF(OR(1104691.54098="",216.35356="",161.5486=""),"-",(161.5486-216.35356)/1104691.54098*100)</f>
        <v>-4.9611097729037662E-3</v>
      </c>
      <c r="G99" s="15">
        <f>IF(OR(1874954.38713="",125.59037="",161.5486=""),"-",(125.59037-161.5486)/1874954.38713*100)</f>
        <v>-1.917818921186739E-3</v>
      </c>
    </row>
    <row r="100" spans="1:7" x14ac:dyDescent="0.3">
      <c r="A100" s="69" t="s">
        <v>297</v>
      </c>
      <c r="B100" s="61">
        <v>122.07859000000001</v>
      </c>
      <c r="C100" s="15">
        <f>IF(OR(159.51682="",122.07859=""),"-",122.07859/159.51682*100)</f>
        <v>76.530230479770097</v>
      </c>
      <c r="D100" s="15">
        <f>IF(159.51682="","-",159.51682/1874954.38713*100)</f>
        <v>8.507770700714113E-3</v>
      </c>
      <c r="E100" s="15">
        <f>IF(122.07859="","-",122.07859/1725483.75067*100)</f>
        <v>7.0750356213205292E-3</v>
      </c>
      <c r="F100" s="15">
        <f>IF(OR(1104691.54098="",128.04953="",159.51682=""),"-",(159.51682-128.04953)/1104691.54098*100)</f>
        <v>2.8485137101787305E-3</v>
      </c>
      <c r="G100" s="15">
        <f>IF(OR(1874954.38713="",122.07859="",159.51682=""),"-",(122.07859-159.51682)/1874954.38713*100)</f>
        <v>-1.9967541747672505E-3</v>
      </c>
    </row>
    <row r="101" spans="1:7" x14ac:dyDescent="0.3">
      <c r="A101" s="69" t="s">
        <v>328</v>
      </c>
      <c r="B101" s="61">
        <v>116.59757</v>
      </c>
      <c r="C101" s="15" t="s">
        <v>342</v>
      </c>
      <c r="D101" s="15">
        <f>IF(23.92485="","-",23.92485/1874954.38713*100)</f>
        <v>1.2760230416389948E-3</v>
      </c>
      <c r="E101" s="15">
        <f>IF(116.59757="","-",116.59757/1725483.75067*100)</f>
        <v>6.7573844120366556E-3</v>
      </c>
      <c r="F101" s="15">
        <f>IF(OR(1104691.54098="",15.87327="",23.92485=""),"-",(23.92485-15.87327)/1104691.54098*100)</f>
        <v>7.2885323199426669E-4</v>
      </c>
      <c r="G101" s="15">
        <f>IF(OR(1874954.38713="",116.59757="",23.92485=""),"-",(116.59757-23.92485)/1874954.38713*100)</f>
        <v>4.9426653062133686E-3</v>
      </c>
    </row>
    <row r="102" spans="1:7" x14ac:dyDescent="0.3">
      <c r="A102" s="26" t="s">
        <v>327</v>
      </c>
      <c r="B102" s="10">
        <v>88.354900000000001</v>
      </c>
      <c r="C102" s="15">
        <f>IF(OR(117.96092="",88.3549=""),"-",88.3549/117.96092*100)</f>
        <v>74.901840372218189</v>
      </c>
      <c r="D102" s="15">
        <f>IF(117.96092="","-",117.96092/1874954.38713*100)</f>
        <v>6.2914021167503296E-3</v>
      </c>
      <c r="E102" s="15">
        <f>IF(88.3549="","-",88.3549/1725483.75067*100)</f>
        <v>5.1205871956598878E-3</v>
      </c>
      <c r="F102" s="15">
        <f>IF(OR(1104691.54098="",1.47513="",117.96092=""),"-",(117.96092-1.47513)/1104691.54098*100)</f>
        <v>1.0544643973345038E-2</v>
      </c>
      <c r="G102" s="15">
        <f>IF(OR(1874954.38713="",88.3549="",117.96092=""),"-",(88.3549-117.96092)/1874954.38713*100)</f>
        <v>-1.5790261460876416E-3</v>
      </c>
    </row>
    <row r="103" spans="1:7" x14ac:dyDescent="0.3">
      <c r="A103" s="26" t="s">
        <v>326</v>
      </c>
      <c r="B103" s="10">
        <v>79.2239</v>
      </c>
      <c r="C103" s="15" t="str">
        <f>IF(OR(""="",79.2239=""),"-",79.2239/""*100)</f>
        <v>-</v>
      </c>
      <c r="D103" s="15" t="str">
        <f>IF(""="","-",""/1874954.38713*100)</f>
        <v>-</v>
      </c>
      <c r="E103" s="15">
        <f>IF(79.2239="","-",79.2239/1725483.75067*100)</f>
        <v>4.5914022643932526E-3</v>
      </c>
      <c r="F103" s="15" t="str">
        <f>IF(OR(1104691.54098="",""="",""=""),"-",(""-"")/1104691.54098*100)</f>
        <v>-</v>
      </c>
      <c r="G103" s="15" t="str">
        <f>IF(OR(1874954.38713="",79.2239="",""=""),"-",(79.2239-"")/1874954.38713*100)</f>
        <v>-</v>
      </c>
    </row>
    <row r="104" spans="1:7" x14ac:dyDescent="0.3">
      <c r="A104" s="26" t="s">
        <v>311</v>
      </c>
      <c r="B104" s="10">
        <v>76.393810000000002</v>
      </c>
      <c r="C104" s="15" t="s">
        <v>99</v>
      </c>
      <c r="D104" s="15">
        <f>IF(44.76309="","-",44.76309/1874954.38713*100)</f>
        <v>2.3874228785116759E-3</v>
      </c>
      <c r="E104" s="15">
        <f>IF(76.39381="","-",76.39381/1725483.75067*100)</f>
        <v>4.4273850721768034E-3</v>
      </c>
      <c r="F104" s="15">
        <f>IF(OR(1104691.54098="",79.64748="",44.76309=""),"-",(44.76309-79.64748)/1104691.54098*100)</f>
        <v>-3.157839877098468E-3</v>
      </c>
      <c r="G104" s="15">
        <f>IF(OR(1874954.38713="",76.39381="",44.76309=""),"-",(76.39381-44.76309)/1874954.38713*100)</f>
        <v>1.6870127730636301E-3</v>
      </c>
    </row>
    <row r="105" spans="1:7" x14ac:dyDescent="0.3">
      <c r="A105" s="26" t="s">
        <v>341</v>
      </c>
      <c r="B105" s="10">
        <v>73.260019999999997</v>
      </c>
      <c r="C105" s="15" t="str">
        <f>IF(OR(""="",73.26002=""),"-",73.26002/""*100)</f>
        <v>-</v>
      </c>
      <c r="D105" s="15" t="str">
        <f>IF(""="","-",""/1874954.38713*100)</f>
        <v>-</v>
      </c>
      <c r="E105" s="15">
        <f>IF(73.26002="","-",73.26002/1725483.75067*100)</f>
        <v>4.2457670187594264E-3</v>
      </c>
      <c r="F105" s="15" t="str">
        <f>IF(OR(1104691.54098="",6.25438="",""=""),"-",(""-6.25438)/1104691.54098*100)</f>
        <v>-</v>
      </c>
      <c r="G105" s="15" t="str">
        <f>IF(OR(1874954.38713="",73.26002="",""=""),"-",(73.26002-"")/1874954.38713*100)</f>
        <v>-</v>
      </c>
    </row>
    <row r="106" spans="1:7" x14ac:dyDescent="0.3">
      <c r="A106" s="69" t="s">
        <v>87</v>
      </c>
      <c r="B106" s="61">
        <v>51.875329999999998</v>
      </c>
      <c r="C106" s="15">
        <f>IF(OR(1587.54588="",51.87533=""),"-",51.87533/1587.54588*100)</f>
        <v>3.267642885382311</v>
      </c>
      <c r="D106" s="15">
        <f>IF(1587.54588="","-",1587.54588/1874954.38713*100)</f>
        <v>8.4671173384119641E-2</v>
      </c>
      <c r="E106" s="15">
        <f>IF(51.87533="","-",51.87533/1725483.75067*100)</f>
        <v>3.0064224006663039E-3</v>
      </c>
      <c r="F106" s="15">
        <f>IF(OR(1104691.54098="",231.57831="",1587.54588=""),"-",(1587.54588-231.57831)/1104691.54098*100)</f>
        <v>0.12274626171185184</v>
      </c>
      <c r="G106" s="15">
        <f>IF(OR(1874954.38713="",51.87533="",1587.54588=""),"-",(51.87533-1587.54588)/1874954.38713*100)</f>
        <v>-8.1904421811063721E-2</v>
      </c>
    </row>
    <row r="107" spans="1:7" x14ac:dyDescent="0.3">
      <c r="A107" s="27" t="s">
        <v>329</v>
      </c>
      <c r="B107" s="62">
        <v>50.55</v>
      </c>
      <c r="C107" s="18" t="str">
        <f>IF(OR(""="",50.55=""),"-",50.55/""*100)</f>
        <v>-</v>
      </c>
      <c r="D107" s="18" t="str">
        <f>IF(""="","-",""/1874954.38713*100)</f>
        <v>-</v>
      </c>
      <c r="E107" s="18">
        <f>IF(50.55="","-",50.55/1725483.75067*100)</f>
        <v>2.9296132160254529E-3</v>
      </c>
      <c r="F107" s="18" t="str">
        <f>IF(OR(1104691.54098="",""="",""=""),"-",(""-"")/1104691.54098*100)</f>
        <v>-</v>
      </c>
      <c r="G107" s="18" t="str">
        <f>IF(OR(1874954.38713="",50.55="",""=""),"-",(50.55-"")/1874954.38713*100)</f>
        <v>-</v>
      </c>
    </row>
    <row r="108" spans="1:7" x14ac:dyDescent="0.3">
      <c r="A108" s="19" t="s">
        <v>276</v>
      </c>
      <c r="B108" s="20"/>
      <c r="C108" s="35"/>
      <c r="D108" s="20"/>
      <c r="E108" s="20"/>
    </row>
    <row r="109" spans="1:7" x14ac:dyDescent="0.3">
      <c r="A109" s="72" t="s">
        <v>318</v>
      </c>
      <c r="B109" s="72"/>
      <c r="C109" s="72"/>
      <c r="D109" s="72"/>
      <c r="E109" s="72"/>
    </row>
  </sheetData>
  <mergeCells count="7">
    <mergeCell ref="A109:E109"/>
    <mergeCell ref="A1:G1"/>
    <mergeCell ref="A3:A4"/>
    <mergeCell ref="B3:C3"/>
    <mergeCell ref="D3:E3"/>
    <mergeCell ref="F3:G3"/>
    <mergeCell ref="A2:G2"/>
  </mergeCells>
  <phoneticPr fontId="6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124"/>
  <sheetViews>
    <sheetView zoomScaleNormal="100" workbookViewId="0">
      <selection sqref="A1:G1"/>
    </sheetView>
  </sheetViews>
  <sheetFormatPr defaultRowHeight="15.6" x14ac:dyDescent="0.3"/>
  <cols>
    <col min="1" max="1" width="30.5" customWidth="1"/>
    <col min="2" max="2" width="11.69921875" customWidth="1"/>
    <col min="3" max="3" width="10.19921875" customWidth="1"/>
    <col min="4" max="5" width="8.8984375" customWidth="1"/>
    <col min="6" max="6" width="9.59765625" customWidth="1"/>
    <col min="7" max="7" width="10.09765625" customWidth="1"/>
    <col min="9" max="9" width="10.19921875" bestFit="1" customWidth="1"/>
  </cols>
  <sheetData>
    <row r="1" spans="1:14" ht="16.2" x14ac:dyDescent="0.35">
      <c r="A1" s="83" t="s">
        <v>286</v>
      </c>
      <c r="B1" s="83"/>
      <c r="C1" s="83"/>
      <c r="D1" s="83"/>
      <c r="E1" s="83"/>
      <c r="F1" s="83"/>
      <c r="G1" s="83"/>
    </row>
    <row r="2" spans="1:14" ht="16.2" x14ac:dyDescent="0.35">
      <c r="A2" s="84"/>
      <c r="B2" s="84"/>
      <c r="C2" s="84"/>
      <c r="D2" s="84"/>
      <c r="E2" s="84"/>
      <c r="F2" s="84"/>
      <c r="G2" s="84"/>
    </row>
    <row r="3" spans="1:14" ht="54" customHeight="1" x14ac:dyDescent="0.3">
      <c r="A3" s="74"/>
      <c r="B3" s="76" t="s">
        <v>355</v>
      </c>
      <c r="C3" s="77"/>
      <c r="D3" s="78" t="s">
        <v>103</v>
      </c>
      <c r="E3" s="79"/>
      <c r="F3" s="80" t="s">
        <v>111</v>
      </c>
      <c r="G3" s="81"/>
    </row>
    <row r="4" spans="1:14" ht="50.25" customHeight="1" x14ac:dyDescent="0.3">
      <c r="A4" s="75"/>
      <c r="B4" s="39" t="s">
        <v>95</v>
      </c>
      <c r="C4" s="38" t="s">
        <v>356</v>
      </c>
      <c r="D4" s="39" t="s">
        <v>357</v>
      </c>
      <c r="E4" s="39" t="s">
        <v>358</v>
      </c>
      <c r="F4" s="39" t="s">
        <v>361</v>
      </c>
      <c r="G4" s="37" t="s">
        <v>362</v>
      </c>
    </row>
    <row r="5" spans="1:14" s="34" customFormat="1" ht="13.8" x14ac:dyDescent="0.25">
      <c r="A5" s="46" t="s">
        <v>114</v>
      </c>
      <c r="B5" s="52">
        <v>3706619.3768099998</v>
      </c>
      <c r="C5" s="48">
        <f>IF(3582158.92973="","-",3706619.37681/3582158.92973*100)</f>
        <v>103.4744535215075</v>
      </c>
      <c r="D5" s="48">
        <v>100</v>
      </c>
      <c r="E5" s="48">
        <v>100</v>
      </c>
      <c r="F5" s="48">
        <f>IF(2676462.27457="","-",(3582158.92973-2676462.27457)/2676462.27457*100)</f>
        <v>33.83932079915116</v>
      </c>
      <c r="G5" s="48">
        <f>IF(3582158.92973="","-",(3706619.37681-3582158.92973)/3582158.92973*100)</f>
        <v>3.4744535215075132</v>
      </c>
      <c r="I5" s="58"/>
      <c r="J5" s="58"/>
      <c r="K5" s="58"/>
      <c r="L5" s="58"/>
      <c r="M5" s="58"/>
      <c r="N5" s="58"/>
    </row>
    <row r="6" spans="1:14" s="1" customFormat="1" ht="13.8" x14ac:dyDescent="0.25">
      <c r="A6" s="17" t="s">
        <v>117</v>
      </c>
      <c r="B6" s="70"/>
      <c r="C6" s="63"/>
      <c r="D6" s="63"/>
      <c r="E6" s="63"/>
      <c r="F6" s="63"/>
      <c r="G6" s="63"/>
    </row>
    <row r="7" spans="1:14" ht="16.5" customHeight="1" x14ac:dyDescent="0.3">
      <c r="A7" s="25" t="s">
        <v>129</v>
      </c>
      <c r="B7" s="9">
        <v>1791378.8461800001</v>
      </c>
      <c r="C7" s="16">
        <f>IF(1609262.2043="","-",1791378.84618/1609262.2043*100)</f>
        <v>111.31677866996309</v>
      </c>
      <c r="D7" s="16">
        <f>IF(1609262.2043="","-",1609262.2043/3582158.92973*100)</f>
        <v>44.924366446837013</v>
      </c>
      <c r="E7" s="16">
        <f>IF(1791378.84618="","-",1791378.84618/3706619.37681*100)</f>
        <v>48.329182580427265</v>
      </c>
      <c r="F7" s="16">
        <f>IF(2676462.27457="","-",(1609262.2043-1266992.31339)/2676462.27457*100)</f>
        <v>12.788145536816472</v>
      </c>
      <c r="G7" s="16">
        <f>IF(3582158.92973="","-",(1791378.84618-1609262.2043)/3582158.92973*100)</f>
        <v>5.0839911196717003</v>
      </c>
    </row>
    <row r="8" spans="1:14" x14ac:dyDescent="0.3">
      <c r="A8" s="26" t="s">
        <v>2</v>
      </c>
      <c r="B8" s="61">
        <v>579065.53272000002</v>
      </c>
      <c r="C8" s="15">
        <f>IF(OR(534978.72153="",579065.53272=""),"-",579065.53272/534978.72153*100)</f>
        <v>108.24085321822052</v>
      </c>
      <c r="D8" s="15">
        <f>IF(534978.72153="","-",534978.72153/3582158.92973*100)</f>
        <v>14.934533392417718</v>
      </c>
      <c r="E8" s="15">
        <f>IF(579065.53272="","-",579065.53272/3706619.37681*100)</f>
        <v>15.622470878527508</v>
      </c>
      <c r="F8" s="15">
        <f>IF(OR(2676462.27457="",334215.40048="",534978.72153=""),"-",(534978.72153-334215.40048)/2676462.27457*100)</f>
        <v>7.5010704599695721</v>
      </c>
      <c r="G8" s="15">
        <f>IF(OR(3582158.92973="",579065.53272="",534978.72153=""),"-",(579065.53272-534978.72153)/3582158.92973*100)</f>
        <v>1.2307329756952747</v>
      </c>
    </row>
    <row r="9" spans="1:14" s="2" customFormat="1" x14ac:dyDescent="0.3">
      <c r="A9" s="26" t="s">
        <v>4</v>
      </c>
      <c r="B9" s="61">
        <v>257236.03271</v>
      </c>
      <c r="C9" s="15">
        <f>IF(OR(239260.27108="",257236.03271=""),"-",257236.03271/239260.27108*100)</f>
        <v>107.51305745365036</v>
      </c>
      <c r="D9" s="15">
        <f>IF(239260.27108="","-",239260.27108/3582158.92973*100)</f>
        <v>6.6792198719679341</v>
      </c>
      <c r="E9" s="15">
        <f>IF(257236.03271="","-",257236.03271/3706619.37681*100)</f>
        <v>6.9399095660958618</v>
      </c>
      <c r="F9" s="15">
        <f>IF(OR(2676462.27457="",226949.67124="",239260.27108=""),"-",(239260.27108-226949.67124)/2676462.27457*100)</f>
        <v>0.45995790626183325</v>
      </c>
      <c r="G9" s="15">
        <f>IF(OR(3582158.92973="",257236.03271="",239260.27108=""),"-",(257236.03271-239260.27108)/3582158.92973*100)</f>
        <v>0.50181362643658278</v>
      </c>
    </row>
    <row r="10" spans="1:14" s="2" customFormat="1" x14ac:dyDescent="0.3">
      <c r="A10" s="26" t="s">
        <v>3</v>
      </c>
      <c r="B10" s="10">
        <v>190414.36295000001</v>
      </c>
      <c r="C10" s="15">
        <f>IF(OR(189836.46701="",190414.36295=""),"-",190414.36295/189836.46701*100)</f>
        <v>100.30441777025358</v>
      </c>
      <c r="D10" s="15">
        <f>IF(189836.46701="","-",189836.46701/3582158.92973*100)</f>
        <v>5.2994987306246806</v>
      </c>
      <c r="E10" s="15">
        <f>IF(190414.36295="","-",190414.36295/3706619.37681*100)</f>
        <v>5.1371436771011245</v>
      </c>
      <c r="F10" s="15">
        <f>IF(OR(2676462.27457="",178261.71393="",189836.46701=""),"-",(189836.46701-178261.71393)/2676462.27457*100)</f>
        <v>0.43246464521378669</v>
      </c>
      <c r="G10" s="15">
        <f>IF(OR(3582158.92973="",190414.36295="",189836.46701=""),"-",(190414.36295-189836.46701)/3582158.92973*100)</f>
        <v>1.6132615870384476E-2</v>
      </c>
    </row>
    <row r="11" spans="1:14" s="2" customFormat="1" x14ac:dyDescent="0.3">
      <c r="A11" s="26" t="s">
        <v>5</v>
      </c>
      <c r="B11" s="10">
        <v>121025.04199</v>
      </c>
      <c r="C11" s="15">
        <f>IF(OR(116322.6114="",121025.04199=""),"-",121025.04199/116322.6114*100)</f>
        <v>104.04257653211523</v>
      </c>
      <c r="D11" s="15">
        <f>IF(116322.6114="","-",116322.6114/3582158.92973*100)</f>
        <v>3.2472766753754176</v>
      </c>
      <c r="E11" s="15">
        <f>IF(121025.04199="","-",121025.04199/3706619.37681*100)</f>
        <v>3.2651057388621565</v>
      </c>
      <c r="F11" s="15">
        <f>IF(OR(2676462.27457="",103738.8945="",116322.6114=""),"-",(116322.6114-103738.8945)/2676462.27457*100)</f>
        <v>0.47016231162913352</v>
      </c>
      <c r="G11" s="15">
        <f>IF(OR(3582158.92973="",121025.04199="",116322.6114=""),"-",(121025.04199-116322.6114)/3582158.92973*100)</f>
        <v>0.13127364481157855</v>
      </c>
    </row>
    <row r="12" spans="1:14" s="2" customFormat="1" x14ac:dyDescent="0.3">
      <c r="A12" s="26" t="s">
        <v>288</v>
      </c>
      <c r="B12" s="10">
        <v>98713.293120000002</v>
      </c>
      <c r="C12" s="15">
        <f>IF(OR(90363.05372="",98713.29312=""),"-",98713.29312/90363.05372*100)</f>
        <v>109.24076716782298</v>
      </c>
      <c r="D12" s="15">
        <f>IF(90363.05372="","-",90363.05372/3582158.92973*100)</f>
        <v>2.5225863925253305</v>
      </c>
      <c r="E12" s="15">
        <f>IF(98713.29312="","-",98713.29312/3706619.37681*100)</f>
        <v>2.6631623882826321</v>
      </c>
      <c r="F12" s="15">
        <f>IF(OR(2676462.27457="",74469.83759="",90363.05372=""),"-",(90363.05372-74469.83759)/2676462.27457*100)</f>
        <v>0.59381431529997564</v>
      </c>
      <c r="G12" s="15">
        <f>IF(OR(3582158.92973="",98713.29312="",90363.05372=""),"-",(98713.29312-90363.05372)/3582158.92973*100)</f>
        <v>0.23310633514045101</v>
      </c>
    </row>
    <row r="13" spans="1:14" s="2" customFormat="1" x14ac:dyDescent="0.3">
      <c r="A13" s="69" t="s">
        <v>40</v>
      </c>
      <c r="B13" s="61">
        <v>82086.630149999997</v>
      </c>
      <c r="C13" s="15">
        <f>IF(OR(78926.35585="",82086.63015=""),"-",82086.63015/78926.35585*100)</f>
        <v>104.00407983615271</v>
      </c>
      <c r="D13" s="15">
        <f>IF(78926.35585="","-",78926.35585/3582158.92973*100)</f>
        <v>2.2033180938722046</v>
      </c>
      <c r="E13" s="15">
        <f>IF(82086.63015="","-",82086.63015/3706619.37681*100)</f>
        <v>2.2145956140941991</v>
      </c>
      <c r="F13" s="15">
        <f>IF(OR(2676462.27457="",53570.7336="",78926.35585=""),"-",(78926.35585-53570.7336)/2676462.27457*100)</f>
        <v>0.94735586191192023</v>
      </c>
      <c r="G13" s="15">
        <f>IF(OR(3582158.92973="",82086.63015="",78926.35585=""),"-",(82086.63015-78926.35585)/3582158.92973*100)</f>
        <v>8.8222615523041337E-2</v>
      </c>
    </row>
    <row r="14" spans="1:14" s="2" customFormat="1" x14ac:dyDescent="0.3">
      <c r="A14" s="26" t="s">
        <v>8</v>
      </c>
      <c r="B14" s="61">
        <v>68105.525670000003</v>
      </c>
      <c r="C14" s="15" t="s">
        <v>352</v>
      </c>
      <c r="D14" s="15">
        <f>IF(15612.71018="","-",15612.71018/3582158.92973*100)</f>
        <v>0.43584638443657181</v>
      </c>
      <c r="E14" s="15">
        <f>IF(68105.52567="","-",68105.52567/3706619.37681*100)</f>
        <v>1.8374027313431129</v>
      </c>
      <c r="F14" s="15">
        <f>IF(OR(2676462.27457="",11545.42157="",15612.71018=""),"-",(15612.71018-11545.42157)/2676462.27457*100)</f>
        <v>0.1519651014193148</v>
      </c>
      <c r="G14" s="15">
        <f>IF(OR(3582158.92973="",68105.52567="",15612.71018=""),"-",(68105.52567-15612.71018)/3582158.92973*100)</f>
        <v>1.465396050809967</v>
      </c>
    </row>
    <row r="15" spans="1:14" s="2" customFormat="1" x14ac:dyDescent="0.3">
      <c r="A15" s="26" t="s">
        <v>6</v>
      </c>
      <c r="B15" s="10">
        <v>63135.901360000003</v>
      </c>
      <c r="C15" s="15">
        <f>IF(OR(50007.88355="",63135.90136=""),"-",63135.90136/50007.88355*100)</f>
        <v>126.2518964572337</v>
      </c>
      <c r="D15" s="15">
        <f>IF(50007.88355="","-",50007.88355/3582158.92973*100)</f>
        <v>1.3960263776953434</v>
      </c>
      <c r="E15" s="15">
        <f>IF(63135.90136="","-",63135.90136/3706619.37681*100)</f>
        <v>1.703328422524359</v>
      </c>
      <c r="F15" s="15">
        <f>IF(OR(2676462.27457="",30084.01167="",50007.88355=""),"-",(50007.88355-30084.01167)/2676462.27457*100)</f>
        <v>0.74441071220407784</v>
      </c>
      <c r="G15" s="15">
        <f>IF(OR(3582158.92973="",63135.90136="",50007.88355=""),"-",(63135.90136-50007.88355)/3582158.92973*100)</f>
        <v>0.36648339918825179</v>
      </c>
    </row>
    <row r="16" spans="1:14" s="2" customFormat="1" x14ac:dyDescent="0.3">
      <c r="A16" s="26" t="s">
        <v>295</v>
      </c>
      <c r="B16" s="10">
        <v>60926.602619999998</v>
      </c>
      <c r="C16" s="15">
        <f>IF(OR(52919.55752="",60926.60262=""),"-",60926.60262/52919.55752*100)</f>
        <v>115.13059722197012</v>
      </c>
      <c r="D16" s="15">
        <f>IF(52919.55752="","-",52919.55752/3582158.92973*100)</f>
        <v>1.4773090350848486</v>
      </c>
      <c r="E16" s="15">
        <f>IF(60926.60262="","-",60926.60262/3706619.37681*100)</f>
        <v>1.6437242788180428</v>
      </c>
      <c r="F16" s="15">
        <f>IF(OR(2676462.27457="",46503.23923="",52919.55752=""),"-",(52919.55752-46503.23923)/2676462.27457*100)</f>
        <v>0.23973131812705439</v>
      </c>
      <c r="G16" s="15">
        <f>IF(OR(3582158.92973="",60926.60262="",52919.55752=""),"-",(60926.60262-52919.55752)/3582158.92973*100)</f>
        <v>0.22352567982246155</v>
      </c>
    </row>
    <row r="17" spans="1:7" s="2" customFormat="1" x14ac:dyDescent="0.3">
      <c r="A17" s="69" t="s">
        <v>38</v>
      </c>
      <c r="B17" s="61">
        <v>50499.64488</v>
      </c>
      <c r="C17" s="15">
        <f>IF(OR(46637.13026="",50499.64488=""),"-",50499.64488/46637.13026*100)</f>
        <v>108.28205894845297</v>
      </c>
      <c r="D17" s="15">
        <f>IF(46637.13026="","-",46637.13026/3582158.92973*100)</f>
        <v>1.3019280041691284</v>
      </c>
      <c r="E17" s="15">
        <f>IF(50499.64488="","-",50499.64488/3706619.37681*100)</f>
        <v>1.3624178731688692</v>
      </c>
      <c r="F17" s="15">
        <f>IF(OR(2676462.27457="",38615.56078="",46637.13026=""),"-",(46637.13026-38615.56078)/2676462.27457*100)</f>
        <v>0.29970792251457168</v>
      </c>
      <c r="G17" s="15">
        <f>IF(OR(3582158.92973="",50499.64488="",46637.13026=""),"-",(50499.64488-46637.13026)/3582158.92973*100)</f>
        <v>0.10782644477170457</v>
      </c>
    </row>
    <row r="18" spans="1:7" s="2" customFormat="1" x14ac:dyDescent="0.3">
      <c r="A18" s="26" t="s">
        <v>7</v>
      </c>
      <c r="B18" s="61">
        <v>38534.763659999997</v>
      </c>
      <c r="C18" s="15">
        <f>IF(OR(34940.69661="",38534.76366=""),"-",38534.76366/34940.69661*100)</f>
        <v>110.28619174401743</v>
      </c>
      <c r="D18" s="15">
        <f>IF(34940.69661="","-",34940.69661/3582158.92973*100)</f>
        <v>0.97540888875730591</v>
      </c>
      <c r="E18" s="15">
        <f>IF(38534.76366="","-",38534.76366/3706619.37681*100)</f>
        <v>1.0396201968048815</v>
      </c>
      <c r="F18" s="15">
        <f>IF(OR(2676462.27457="",39000.60102="",34940.69661=""),"-",(34940.69661-39000.60102)/2676462.27457*100)</f>
        <v>-0.15168920737551836</v>
      </c>
      <c r="G18" s="15">
        <f>IF(OR(3582158.92973="",38534.76366="",34940.69661=""),"-",(38534.76366-34940.69661)/3582158.92973*100)</f>
        <v>0.10033242858576616</v>
      </c>
    </row>
    <row r="19" spans="1:7" s="2" customFormat="1" ht="15.75" customHeight="1" x14ac:dyDescent="0.3">
      <c r="A19" s="26" t="s">
        <v>301</v>
      </c>
      <c r="B19" s="10">
        <v>36999.104579999999</v>
      </c>
      <c r="C19" s="15">
        <f>IF(OR(37111.63134="",36999.10458=""),"-",36999.10458/37111.63134*100)</f>
        <v>99.696788430104078</v>
      </c>
      <c r="D19" s="15">
        <f>IF(37111.63134="","-",37111.63134/3582158.92973*100)</f>
        <v>1.0360129761969337</v>
      </c>
      <c r="E19" s="15">
        <f>IF(36999.10458="","-",36999.10458/3706619.37681*100)</f>
        <v>0.9981900167975235</v>
      </c>
      <c r="F19" s="15">
        <f>IF(OR(2676462.27457="",28671.472="",37111.63134=""),"-",(37111.63134-28671.472)/2676462.27457*100)</f>
        <v>0.31534759223744308</v>
      </c>
      <c r="G19" s="15">
        <f>IF(OR(3582158.92973="",36999.10458="",37111.63134=""),"-",(36999.10458-37111.63134)/3582158.92973*100)</f>
        <v>-3.1413112094521782E-3</v>
      </c>
    </row>
    <row r="20" spans="1:7" s="2" customFormat="1" x14ac:dyDescent="0.3">
      <c r="A20" s="26" t="s">
        <v>42</v>
      </c>
      <c r="B20" s="10">
        <v>35051.304790000002</v>
      </c>
      <c r="C20" s="15" t="s">
        <v>99</v>
      </c>
      <c r="D20" s="15">
        <f>IF(20704.17097="","-",20704.17097/3582158.92973*100)</f>
        <v>0.57798024532542303</v>
      </c>
      <c r="E20" s="15">
        <f>IF(35051.30479="","-",35051.30479/3706619.37681*100)</f>
        <v>0.94564079088600528</v>
      </c>
      <c r="F20" s="15">
        <f>IF(OR(2676462.27457="",14328.41212="",20704.17097=""),"-",(20704.17097-14328.41212)/2676462.27457*100)</f>
        <v>0.23821590577152171</v>
      </c>
      <c r="G20" s="15">
        <f>IF(OR(3582158.92973="",35051.30479="",20704.17097=""),"-",(35051.30479-20704.17097)/3582158.92973*100)</f>
        <v>0.40051639532033262</v>
      </c>
    </row>
    <row r="21" spans="1:7" s="2" customFormat="1" x14ac:dyDescent="0.3">
      <c r="A21" s="26" t="s">
        <v>39</v>
      </c>
      <c r="B21" s="10">
        <v>25658.715080000002</v>
      </c>
      <c r="C21" s="15">
        <f>IF(OR(20786.35404="",25658.71508=""),"-",25658.71508/20786.35404*100)</f>
        <v>123.44019076469075</v>
      </c>
      <c r="D21" s="15">
        <f>IF(20786.35404="","-",20786.35404/3582158.92973*100)</f>
        <v>0.58027447826182132</v>
      </c>
      <c r="E21" s="15">
        <f>IF(25658.71508="","-",25658.71508/3706619.37681*100)</f>
        <v>0.69224035358285074</v>
      </c>
      <c r="F21" s="15">
        <f>IF(OR(2676462.27457="",19203.94431="",20786.35404=""),"-",(20786.35404-19203.94431)/2676462.27457*100)</f>
        <v>5.9123184549807604E-2</v>
      </c>
      <c r="G21" s="15">
        <f>IF(OR(3582158.92973="",25658.71508="",20786.35404=""),"-",(25658.71508-20786.35404)/3582158.92973*100)</f>
        <v>0.13601744466338492</v>
      </c>
    </row>
    <row r="22" spans="1:7" s="2" customFormat="1" x14ac:dyDescent="0.3">
      <c r="A22" s="26" t="s">
        <v>48</v>
      </c>
      <c r="B22" s="10">
        <v>16972.359810000002</v>
      </c>
      <c r="C22" s="15">
        <f>IF(OR(14009.04619="",16972.35981=""),"-",16972.35981/14009.04619*100)</f>
        <v>121.15285780209139</v>
      </c>
      <c r="D22" s="15">
        <f>IF(14009.04619="","-",14009.04619/3582158.92973*100)</f>
        <v>0.39107829844545483</v>
      </c>
      <c r="E22" s="15">
        <f>IF(16972.35981="","-",16972.35981/3706619.37681*100)</f>
        <v>0.45789324677320381</v>
      </c>
      <c r="F22" s="15">
        <f>IF(OR(2676462.27457="",10780.86677="",14009.04619=""),"-",(14009.04619-10780.86677)/2676462.27457*100)</f>
        <v>0.12061367166173256</v>
      </c>
      <c r="G22" s="15">
        <f>IF(OR(3582158.92973="",16972.35981="",14009.04619=""),"-",(16972.35981-14009.04619)/3582158.92973*100)</f>
        <v>8.2724236365005671E-2</v>
      </c>
    </row>
    <row r="23" spans="1:7" s="2" customFormat="1" x14ac:dyDescent="0.3">
      <c r="A23" s="26" t="s">
        <v>49</v>
      </c>
      <c r="B23" s="10">
        <v>14557.38515</v>
      </c>
      <c r="C23" s="15">
        <f>IF(OR(12099.91332="",14557.38515=""),"-",14557.38515/12099.91332*100)</f>
        <v>120.30983003769155</v>
      </c>
      <c r="D23" s="15">
        <f>IF(12099.91332="","-",12099.91332/3582158.92973*100)</f>
        <v>0.33778270471410976</v>
      </c>
      <c r="E23" s="15">
        <f>IF(14557.38515="","-",14557.38515/3706619.37681*100)</f>
        <v>0.39274022148258492</v>
      </c>
      <c r="F23" s="15">
        <f>IF(OR(2676462.27457="",11691.51655="",12099.91332=""),"-",(12099.91332-11691.51655)/2676462.27457*100)</f>
        <v>1.5258827814623779E-2</v>
      </c>
      <c r="G23" s="15">
        <f>IF(OR(3582158.92973="",14557.38515="",12099.91332=""),"-",(14557.38515-12099.91332)/3582158.92973*100)</f>
        <v>6.86030932241532E-2</v>
      </c>
    </row>
    <row r="24" spans="1:7" s="2" customFormat="1" x14ac:dyDescent="0.3">
      <c r="A24" s="26" t="s">
        <v>50</v>
      </c>
      <c r="B24" s="10">
        <v>12468.66475</v>
      </c>
      <c r="C24" s="15">
        <f>IF(OR(11844.19777="",12468.66475=""),"-",12468.66475/11844.19777*100)</f>
        <v>105.27234509357572</v>
      </c>
      <c r="D24" s="15">
        <f>IF(11844.19777="","-",11844.19777/3582158.92973*100)</f>
        <v>0.33064411720260384</v>
      </c>
      <c r="E24" s="15">
        <f>IF(12468.66475="","-",12468.66475/3706619.37681*100)</f>
        <v>0.33638913204869753</v>
      </c>
      <c r="F24" s="15">
        <f>IF(OR(2676462.27457="",12582.78871="",11844.19777=""),"-",(11844.19777-12582.78871)/2676462.27457*100)</f>
        <v>-2.7595791168723349E-2</v>
      </c>
      <c r="G24" s="15">
        <f>IF(OR(3582158.92973="",12468.66475="",11844.19777=""),"-",(12468.66475-11844.19777)/3582158.92973*100)</f>
        <v>1.7432698890528221E-2</v>
      </c>
    </row>
    <row r="25" spans="1:7" s="2" customFormat="1" x14ac:dyDescent="0.3">
      <c r="A25" s="26" t="s">
        <v>43</v>
      </c>
      <c r="B25" s="10">
        <v>8223.6306100000002</v>
      </c>
      <c r="C25" s="15">
        <f>IF(OR(7620.27239="",8223.63061=""),"-",8223.63061/7620.27239*100)</f>
        <v>107.91780384113014</v>
      </c>
      <c r="D25" s="15">
        <f>IF(7620.27239="","-",7620.27239/3582158.92973*100)</f>
        <v>0.21272848412045098</v>
      </c>
      <c r="E25" s="15">
        <f>IF(8223.63061="","-",8223.63061/3706619.37681*100)</f>
        <v>0.22186336858459532</v>
      </c>
      <c r="F25" s="15">
        <f>IF(OR(2676462.27457="",6446.26514="",7620.27239=""),"-",(7620.27239-6446.26514)/2676462.27457*100)</f>
        <v>4.3864143393861792E-2</v>
      </c>
      <c r="G25" s="15">
        <f>IF(OR(3582158.92973="",8223.63061="",7620.27239=""),"-",(8223.63061-7620.27239)/3582158.92973*100)</f>
        <v>1.6843424086867002E-2</v>
      </c>
    </row>
    <row r="26" spans="1:7" s="2" customFormat="1" x14ac:dyDescent="0.3">
      <c r="A26" s="26" t="s">
        <v>46</v>
      </c>
      <c r="B26" s="10">
        <v>8075.9492200000004</v>
      </c>
      <c r="C26" s="15">
        <f>IF(OR(9339.70958="",8075.94922=""),"-",8075.94922/9339.70958*100)</f>
        <v>86.468954423313022</v>
      </c>
      <c r="D26" s="15">
        <f>IF(9339.70958="","-",9339.70958/3582158.92973*100)</f>
        <v>0.26072850934908037</v>
      </c>
      <c r="E26" s="15">
        <f>IF(8075.94922="","-",8075.94922/3706619.37681*100)</f>
        <v>0.21787910759130452</v>
      </c>
      <c r="F26" s="15">
        <f>IF(OR(2676462.27457="",6817.33967="",9339.70958=""),"-",(9339.70958-6817.33967)/2676462.27457*100)</f>
        <v>9.4242684978821309E-2</v>
      </c>
      <c r="G26" s="15">
        <f>IF(OR(3582158.92973="",8075.94922="",9339.70958=""),"-",(8075.94922-9339.70958)/3582158.92973*100)</f>
        <v>-3.5279293431440636E-2</v>
      </c>
    </row>
    <row r="27" spans="1:7" s="2" customFormat="1" x14ac:dyDescent="0.3">
      <c r="A27" s="26" t="s">
        <v>47</v>
      </c>
      <c r="B27" s="10">
        <v>7787.9670500000002</v>
      </c>
      <c r="C27" s="15">
        <f>IF(OR(7690.36844="",7787.96705=""),"-",7787.96705/7690.36844*100)</f>
        <v>101.26910187413596</v>
      </c>
      <c r="D27" s="15">
        <f>IF(7690.36844="","-",7690.36844/3582158.92973*100)</f>
        <v>0.21468529428368077</v>
      </c>
      <c r="E27" s="15">
        <f>IF(7787.96705="","-",7787.96705/3706619.37681*100)</f>
        <v>0.21010970532136217</v>
      </c>
      <c r="F27" s="15">
        <f>IF(OR(2676462.27457="",5120.02657="",7690.36844=""),"-",(7690.36844-5120.02657)/2676462.27457*100)</f>
        <v>9.6035049491327171E-2</v>
      </c>
      <c r="G27" s="15">
        <f>IF(OR(3582158.92973="",7787.96705="",7690.36844=""),"-",(7787.96705-7690.36844)/3582158.92973*100)</f>
        <v>2.7245750932484826E-3</v>
      </c>
    </row>
    <row r="28" spans="1:7" s="2" customFormat="1" x14ac:dyDescent="0.3">
      <c r="A28" s="26" t="s">
        <v>41</v>
      </c>
      <c r="B28" s="10">
        <v>6114.8252400000001</v>
      </c>
      <c r="C28" s="15">
        <f>IF(OR(7109.50986="",6114.82524=""),"-",6114.82524/7109.50986*100)</f>
        <v>86.009097116576754</v>
      </c>
      <c r="D28" s="15">
        <f>IF(7109.50986="","-",7109.50986/3582158.92973*100)</f>
        <v>0.19846997298179256</v>
      </c>
      <c r="E28" s="15">
        <f>IF(6114.82524="","-",6114.82524/3706619.37681*100)</f>
        <v>0.1649704115360924</v>
      </c>
      <c r="F28" s="15">
        <f>IF(OR(2676462.27457="",4221.39175="",7109.50986=""),"-",(7109.50986-4221.39175)/2676462.27457*100)</f>
        <v>0.10790804478886239</v>
      </c>
      <c r="G28" s="15">
        <f>IF(OR(3582158.92973="",6114.82524="",7109.50986=""),"-",(6114.82524-7109.50986)/3582158.92973*100)</f>
        <v>-2.776774117263895E-2</v>
      </c>
    </row>
    <row r="29" spans="1:7" s="2" customFormat="1" x14ac:dyDescent="0.3">
      <c r="A29" s="26" t="s">
        <v>51</v>
      </c>
      <c r="B29" s="10">
        <v>3099.4681500000002</v>
      </c>
      <c r="C29" s="15">
        <f>IF(OR(4131.8861="",3099.46815=""),"-",3099.46815/4131.8861*100)</f>
        <v>75.013397634557265</v>
      </c>
      <c r="D29" s="15">
        <f>IF(4131.8861="","-",4131.8861/3582158.92973*100)</f>
        <v>0.11534625294560659</v>
      </c>
      <c r="E29" s="15">
        <f>IF(3099.46815="","-",3099.46815/3706619.37681*100)</f>
        <v>8.3619811880103867E-2</v>
      </c>
      <c r="F29" s="15">
        <f>IF(OR(2676462.27457="",2893.5479="",4131.8861=""),"-",(4131.8861-2893.5479)/2676462.27457*100)</f>
        <v>4.6267724815921459E-2</v>
      </c>
      <c r="G29" s="15">
        <f>IF(OR(3582158.92973="",3099.46815="",4131.8861=""),"-",(3099.46815-4131.8861)/3582158.92973*100)</f>
        <v>-2.88211095669565E-2</v>
      </c>
    </row>
    <row r="30" spans="1:7" s="2" customFormat="1" x14ac:dyDescent="0.3">
      <c r="A30" s="26" t="s">
        <v>44</v>
      </c>
      <c r="B30" s="10">
        <v>2735.5129000000002</v>
      </c>
      <c r="C30" s="15">
        <f>IF(OR(1774.32832="",2735.5129=""),"-",2735.5129/1774.32832*100)</f>
        <v>154.1717431416526</v>
      </c>
      <c r="D30" s="15">
        <f>IF(1774.32832="","-",1774.32832/3582158.92973*100)</f>
        <v>4.9532372929465121E-2</v>
      </c>
      <c r="E30" s="15">
        <f>IF(2735.5129="","-",2735.5129/3706619.37681*100)</f>
        <v>7.3800750007254431E-2</v>
      </c>
      <c r="F30" s="15">
        <f>IF(OR(2676462.27457="",2476.05094="",1774.32832=""),"-",(1774.32832-2476.05094)/2676462.27457*100)</f>
        <v>-2.6218289219590761E-2</v>
      </c>
      <c r="G30" s="15">
        <f>IF(OR(3582158.92973="",2735.5129="",1774.32832=""),"-",(2735.5129-1774.32832)/3582158.92973*100)</f>
        <v>2.6832549835315321E-2</v>
      </c>
    </row>
    <row r="31" spans="1:7" s="2" customFormat="1" x14ac:dyDescent="0.3">
      <c r="A31" s="26" t="s">
        <v>289</v>
      </c>
      <c r="B31" s="10">
        <v>2642.8631</v>
      </c>
      <c r="C31" s="15">
        <f>IF(OR(3593.21054="",2642.8631=""),"-",2642.8631/3593.21054*100)</f>
        <v>73.551579307122921</v>
      </c>
      <c r="D31" s="15">
        <f>IF(3593.21054="","-",3593.21054/3582158.92973*100)</f>
        <v>0.10030851814469419</v>
      </c>
      <c r="E31" s="15">
        <f>IF(2642.8631="","-",2642.8631/3706619.37681*100)</f>
        <v>7.1301173153487038E-2</v>
      </c>
      <c r="F31" s="15">
        <f>IF(OR(2676462.27457="",3177.74="",3593.21054=""),"-",(3593.21054-3177.74)/2676462.27457*100)</f>
        <v>1.5523123338876491E-2</v>
      </c>
      <c r="G31" s="15">
        <f>IF(OR(3582158.92973="",2642.8631="",3593.21054=""),"-",(2642.8631-3593.21054)/3582158.92973*100)</f>
        <v>-2.6530018869699652E-2</v>
      </c>
    </row>
    <row r="32" spans="1:7" s="2" customFormat="1" x14ac:dyDescent="0.3">
      <c r="A32" s="26" t="s">
        <v>52</v>
      </c>
      <c r="B32" s="10">
        <v>812.05047999999999</v>
      </c>
      <c r="C32" s="15">
        <f>IF(OR(1178.50234="",812.05048=""),"-",812.05048/1178.50234*100)</f>
        <v>68.905292118469617</v>
      </c>
      <c r="D32" s="15">
        <f>IF(1178.50234="","-",1178.50234/3582158.92973*100)</f>
        <v>3.2899219803428095E-2</v>
      </c>
      <c r="E32" s="15">
        <f>IF(812.05048="","-",812.05048/3706619.37681*100)</f>
        <v>2.1908116195595701E-2</v>
      </c>
      <c r="F32" s="15">
        <f>IF(OR(2676462.27457="",1208.58816="",1178.50234=""),"-",(1178.50234-1208.58816)/2676462.27457*100)</f>
        <v>-1.1240890740682528E-3</v>
      </c>
      <c r="G32" s="15">
        <f>IF(OR(3582158.92973="",812.05048="",1178.50234=""),"-",(812.05048-1178.50234)/3582158.92973*100)</f>
        <v>-1.022991629317856E-2</v>
      </c>
    </row>
    <row r="33" spans="1:7" s="2" customFormat="1" x14ac:dyDescent="0.3">
      <c r="A33" s="26" t="s">
        <v>45</v>
      </c>
      <c r="B33" s="10">
        <v>425.88927000000001</v>
      </c>
      <c r="C33" s="15">
        <f>IF(OR(360.7923="",425.88927=""),"-",425.88927/360.7923*100)</f>
        <v>118.04278250949369</v>
      </c>
      <c r="D33" s="15">
        <f>IF(360.7923="","-",360.7923/3582158.92973*100)</f>
        <v>1.0071923303168299E-2</v>
      </c>
      <c r="E33" s="15">
        <f>IF(425.88927="","-",425.88927/3706619.37681*100)</f>
        <v>1.1489965024855881E-2</v>
      </c>
      <c r="F33" s="15">
        <f>IF(OR(2676462.27457="",337.56725="",360.7923=""),"-",(360.7923-337.56725)/2676462.27457*100)</f>
        <v>8.6775181629381807E-4</v>
      </c>
      <c r="G33" s="15">
        <f>IF(OR(3582158.92973="",425.88927="",360.7923=""),"-",(425.88927-360.7923)/3582158.92973*100)</f>
        <v>1.8172552161136689E-3</v>
      </c>
    </row>
    <row r="34" spans="1:7" s="2" customFormat="1" x14ac:dyDescent="0.3">
      <c r="A34" s="26" t="s">
        <v>53</v>
      </c>
      <c r="B34" s="10">
        <v>7.0510799999999998</v>
      </c>
      <c r="C34" s="15">
        <f>IF(OR(27.26755="",7.05108=""),"-",7.05108/27.26755*100)</f>
        <v>25.858868875274823</v>
      </c>
      <c r="D34" s="15">
        <f>IF(27.26755="","-",27.26755/3582158.92973*100)</f>
        <v>7.6120436124969067E-4</v>
      </c>
      <c r="E34" s="15">
        <f>IF(7.05108="","-",7.05108/3706619.37681*100)</f>
        <v>1.9022940537445521E-4</v>
      </c>
      <c r="F34" s="15">
        <f>IF(OR(2676462.27457="",62.88042="",27.26755=""),"-",(27.26755-62.88042)/2676462.27457*100)</f>
        <v>-1.3305948803527059E-3</v>
      </c>
      <c r="G34" s="15">
        <f>IF(OR(3582158.92973="",7.05108="",27.26755=""),"-",(7.05108-27.26755)/3582158.92973*100)</f>
        <v>-5.6436552360125984E-4</v>
      </c>
    </row>
    <row r="35" spans="1:7" s="2" customFormat="1" ht="26.4" x14ac:dyDescent="0.3">
      <c r="A35" s="26" t="s">
        <v>369</v>
      </c>
      <c r="B35" s="10">
        <v>2.7730899999999998</v>
      </c>
      <c r="C35" s="15">
        <f>IF(OR(75.58454="",2.77309=""),"-",2.77309/75.58454*100)</f>
        <v>3.6688587375143111</v>
      </c>
      <c r="D35" s="15">
        <f>IF(75.58454="","-",75.58454/3582158.92973*100)</f>
        <v>2.1100275415668695E-3</v>
      </c>
      <c r="E35" s="15">
        <f>IF(2.77309="","-",2.77309/3706619.37681*100)</f>
        <v>7.4814533624614662E-5</v>
      </c>
      <c r="F35" s="15">
        <f>IF(OR(2676462.27457="",16.82952="",75.58454=""),"-",(75.58454-16.82952)/2676462.27457*100)</f>
        <v>2.1952493243880887E-3</v>
      </c>
      <c r="G35" s="15">
        <f>IF(OR(3582158.92973="",2.77309="",75.58454=""),"-",(2.77309-75.58454)/3582158.92973*100)</f>
        <v>-2.0326136117441353E-3</v>
      </c>
    </row>
    <row r="36" spans="1:7" s="2" customFormat="1" x14ac:dyDescent="0.3">
      <c r="A36" s="25" t="s">
        <v>195</v>
      </c>
      <c r="B36" s="9">
        <v>779585.96551000001</v>
      </c>
      <c r="C36" s="16">
        <f>IF(1003996.09292="","-",779585.96551/1003996.09292*100)</f>
        <v>77.648306702336811</v>
      </c>
      <c r="D36" s="16">
        <f>IF(1003996.09292="","-",1003996.09292/3582158.92973*100)</f>
        <v>28.027681423829918</v>
      </c>
      <c r="E36" s="16">
        <f>IF(779585.96551="","-",779585.96551/3706619.37681*100)</f>
        <v>21.032263803167435</v>
      </c>
      <c r="F36" s="16">
        <f>IF(2676462.27457="","-",(1003996.09292-612204.20412)/2676462.27457*100)</f>
        <v>14.638423732796502</v>
      </c>
      <c r="G36" s="16">
        <f>IF(3582158.92973="","-",(779585.96551-1003996.09292)/3582158.92973*100)</f>
        <v>-6.2646613903005841</v>
      </c>
    </row>
    <row r="37" spans="1:7" s="2" customFormat="1" x14ac:dyDescent="0.3">
      <c r="A37" s="26" t="s">
        <v>10</v>
      </c>
      <c r="B37" s="10">
        <v>493387.21513999999</v>
      </c>
      <c r="C37" s="15">
        <f>IF(OR(311121.05215="",493387.21514=""),"-",493387.21514/311121.05215*100)</f>
        <v>158.58368044542496</v>
      </c>
      <c r="D37" s="15">
        <f>IF(311121.05215="","-",311121.05215/3582158.92973*100)</f>
        <v>8.6852944900870241</v>
      </c>
      <c r="E37" s="15">
        <f>IF(493387.21514="","-",493387.21514/3706619.37681*100)</f>
        <v>13.310975986010739</v>
      </c>
      <c r="F37" s="15">
        <f>IF(OR(2676462.27457="",235097.97632="",311121.05215=""),"-",(311121.05215-235097.97632)/2676462.27457*100)</f>
        <v>2.8404314363898098</v>
      </c>
      <c r="G37" s="15">
        <f>IF(OR(3582158.92973="",493387.21514="",311121.05215=""),"-",(493387.21514-311121.05215)/3582158.92973*100)</f>
        <v>5.0881651698166843</v>
      </c>
    </row>
    <row r="38" spans="1:7" s="2" customFormat="1" x14ac:dyDescent="0.3">
      <c r="A38" s="26" t="s">
        <v>290</v>
      </c>
      <c r="B38" s="10">
        <v>176685.35349000001</v>
      </c>
      <c r="C38" s="15">
        <f>IF(OR(613789.94869="",176685.35349=""),"-",176685.35349/613789.94869*100)</f>
        <v>28.785963971403593</v>
      </c>
      <c r="D38" s="15">
        <f>IF(613789.94869="","-",613789.94869/3582158.92973*100)</f>
        <v>17.13463753927477</v>
      </c>
      <c r="E38" s="15">
        <f>IF(176685.35349="","-",176685.35349/3706619.37681*100)</f>
        <v>4.7667520057605532</v>
      </c>
      <c r="F38" s="15">
        <f>IF(OR(2676462.27457="",317211.62606="",613789.94869=""),"-",(613789.94869-317211.62606)/2676462.27457*100)</f>
        <v>11.08098273784368</v>
      </c>
      <c r="G38" s="15">
        <f>IF(OR(3582158.92973="",176685.35349="",613789.94869=""),"-",(176685.35349-613789.94869)/3582158.92973*100)</f>
        <v>-12.202266950588541</v>
      </c>
    </row>
    <row r="39" spans="1:7" s="2" customFormat="1" x14ac:dyDescent="0.3">
      <c r="A39" s="26" t="s">
        <v>11</v>
      </c>
      <c r="B39" s="10">
        <v>44857.51053</v>
      </c>
      <c r="C39" s="15" t="s">
        <v>339</v>
      </c>
      <c r="D39" s="15">
        <f>IF(7452.05722="","-",7452.05722/3582158.92973*100)</f>
        <v>0.20803256824123345</v>
      </c>
      <c r="E39" s="15">
        <f>IF(44857.51053="","-",44857.51053/3706619.37681*100)</f>
        <v>1.210200076399681</v>
      </c>
      <c r="F39" s="15">
        <f>IF(OR(2676462.27457="",5729.55539="",7452.05722=""),"-",(7452.05722-5729.55539)/2676462.27457*100)</f>
        <v>6.4357411138056708E-2</v>
      </c>
      <c r="G39" s="15">
        <f>IF(OR(3582158.92973="",44857.51053="",7452.05722=""),"-",(44857.51053-7452.05722)/3582158.92973*100)</f>
        <v>1.0442153473302029</v>
      </c>
    </row>
    <row r="40" spans="1:7" s="2" customFormat="1" x14ac:dyDescent="0.3">
      <c r="A40" s="26" t="s">
        <v>9</v>
      </c>
      <c r="B40" s="10">
        <v>35355.141020000003</v>
      </c>
      <c r="C40" s="15">
        <f>IF(OR(47105.61448="",35355.14102=""),"-",35355.14102/47105.61448*100)</f>
        <v>75.055046856486754</v>
      </c>
      <c r="D40" s="15">
        <f>IF(47105.61448="","-",47105.61448/3582158.92973*100)</f>
        <v>1.3150062686791653</v>
      </c>
      <c r="E40" s="15">
        <f>IF(35355.14102="","-",35355.14102/3706619.37681*100)</f>
        <v>0.95383791605890311</v>
      </c>
      <c r="F40" s="15">
        <f>IF(OR(2676462.27457="",47482.49501="",47105.61448=""),"-",(47105.61448-47482.49501)/2676462.27457*100)</f>
        <v>-1.4081294310810033E-2</v>
      </c>
      <c r="G40" s="15">
        <f>IF(OR(3582158.92973="",35355.14102="",47105.61448=""),"-",(35355.14102-47105.61448)/3582158.92973*100)</f>
        <v>-0.32802769755627981</v>
      </c>
    </row>
    <row r="41" spans="1:7" s="2" customFormat="1" x14ac:dyDescent="0.3">
      <c r="A41" s="26" t="s">
        <v>12</v>
      </c>
      <c r="B41" s="10">
        <v>13473.828869999999</v>
      </c>
      <c r="C41" s="15" t="s">
        <v>99</v>
      </c>
      <c r="D41" s="15">
        <f>IF(7780.50177="","-",7780.50177/3582158.92973*100)</f>
        <v>0.21720146767989557</v>
      </c>
      <c r="E41" s="15">
        <f>IF(13473.82887="","-",13473.82887/3706619.37681*100)</f>
        <v>0.36350721507304806</v>
      </c>
      <c r="F41" s="15">
        <f>IF(OR(2676462.27457="",703.62481="",7780.50177=""),"-",(7780.50177-703.62481)/2676462.27457*100)</f>
        <v>0.26441160883304321</v>
      </c>
      <c r="G41" s="15">
        <f>IF(OR(3582158.92973="",13473.82887="",7780.50177=""),"-",(13473.82887-7780.50177)/3582158.92973*100)</f>
        <v>0.15893563662819188</v>
      </c>
    </row>
    <row r="42" spans="1:7" s="2" customFormat="1" x14ac:dyDescent="0.3">
      <c r="A42" s="26" t="s">
        <v>14</v>
      </c>
      <c r="B42" s="10">
        <v>8866.1376099999998</v>
      </c>
      <c r="C42" s="15" t="s">
        <v>194</v>
      </c>
      <c r="D42" s="15">
        <f>IF(4794.27983="","-",4794.27983/3582158.92973*100)</f>
        <v>0.1338377197675415</v>
      </c>
      <c r="E42" s="15">
        <f>IF(8866.13761="","-",8866.13761/3706619.37681*100)</f>
        <v>0.23919741167571398</v>
      </c>
      <c r="F42" s="15">
        <f>IF(OR(2676462.27457="",675.42695="",4794.27983=""),"-",(4794.27983-675.42695)/2676462.27457*100)</f>
        <v>0.15389168452455526</v>
      </c>
      <c r="G42" s="15">
        <f>IF(OR(3582158.92973="",8866.13761="",4794.27983=""),"-",(8866.13761-4794.27983)/3582158.92973*100)</f>
        <v>0.11367049480149419</v>
      </c>
    </row>
    <row r="43" spans="1:7" s="2" customFormat="1" x14ac:dyDescent="0.3">
      <c r="A43" s="26" t="s">
        <v>13</v>
      </c>
      <c r="B43" s="10">
        <v>4241.2483599999996</v>
      </c>
      <c r="C43" s="15">
        <f>IF(OR(8424.61493999999="",4241.24836=""),"-",4241.24836/8424.61493999999*100)</f>
        <v>50.34352774822495</v>
      </c>
      <c r="D43" s="15">
        <f>IF(8424.61493999999="","-",8424.61493999999/3582158.92973*100)</f>
        <v>0.23518261208569502</v>
      </c>
      <c r="E43" s="15">
        <f>IF(4241.24836="","-",4241.24836/3706619.37681*100)</f>
        <v>0.11442362780853192</v>
      </c>
      <c r="F43" s="15">
        <f>IF(OR(2676462.27457="",4851.46448="",8424.61493999999=""),"-",(8424.61493999999-4851.46448)/2676462.27457*100)</f>
        <v>0.13350273956594635</v>
      </c>
      <c r="G43" s="15">
        <f>IF(OR(3582158.92973="",4241.24836="",8424.61493999999=""),"-",(4241.24836-8424.61493999999)/3582158.92973*100)</f>
        <v>-0.11678338851133291</v>
      </c>
    </row>
    <row r="44" spans="1:7" s="2" customFormat="1" x14ac:dyDescent="0.3">
      <c r="A44" s="26" t="s">
        <v>15</v>
      </c>
      <c r="B44" s="10">
        <v>1723.4423999999999</v>
      </c>
      <c r="C44" s="15" t="s">
        <v>309</v>
      </c>
      <c r="D44" s="15">
        <f>IF(597.3389="","-",597.3389/3582158.92973*100)</f>
        <v>1.667538799137043E-2</v>
      </c>
      <c r="E44" s="15">
        <f>IF(1723.4424="","-",1723.4424/3706619.37681*100)</f>
        <v>4.6496341404313093E-2</v>
      </c>
      <c r="F44" s="15">
        <f>IF(OR(2676462.27457="",368.08961="",597.3389=""),"-",(597.3389-368.08961)/2676462.27457*100)</f>
        <v>8.5653846937495566E-3</v>
      </c>
      <c r="G44" s="15">
        <f>IF(OR(3582158.92973="",1723.4424="",597.3389=""),"-",(1723.4424-597.3389)/3582158.92973*100)</f>
        <v>3.1436447184236972E-2</v>
      </c>
    </row>
    <row r="45" spans="1:7" s="2" customFormat="1" x14ac:dyDescent="0.3">
      <c r="A45" s="26" t="s">
        <v>296</v>
      </c>
      <c r="B45" s="10">
        <v>996.08808999999997</v>
      </c>
      <c r="C45" s="15">
        <f>IF(OR(2929.07219="",996.08809=""),"-",996.08809/2929.07219*100)</f>
        <v>34.006949142485972</v>
      </c>
      <c r="D45" s="15">
        <f>IF(2929.07219="","-",2929.07219/3582158.92973*100)</f>
        <v>8.1768348291033938E-2</v>
      </c>
      <c r="E45" s="15">
        <f>IF(996.08809="","-",996.08809/3706619.37681*100)</f>
        <v>2.6873222975952168E-2</v>
      </c>
      <c r="F45" s="15">
        <f>IF(OR(2676462.27457="",69.94076="",2929.07219=""),"-",(2929.07219-69.94076)/2676462.27457*100)</f>
        <v>0.10682502261158705</v>
      </c>
      <c r="G45" s="15">
        <f>IF(OR(3582158.92973="",996.08809="",2929.07219=""),"-",(996.08809-2929.07219)/3582158.92973*100)</f>
        <v>-5.3961427673051232E-2</v>
      </c>
    </row>
    <row r="46" spans="1:7" s="2" customFormat="1" x14ac:dyDescent="0.3">
      <c r="A46" s="26" t="s">
        <v>16</v>
      </c>
      <c r="B46" s="10" t="s">
        <v>313</v>
      </c>
      <c r="C46" s="15" t="str">
        <f>IF(OR(1.61275="",""=""),"-",""/1.61275*100)</f>
        <v>-</v>
      </c>
      <c r="D46" s="15">
        <f>IF(1.61275="","-",1.61275/3582158.92973*100)</f>
        <v>4.5021732191027008E-5</v>
      </c>
      <c r="E46" s="15" t="str">
        <f>IF(""="","-",""/3706619.37681*100)</f>
        <v>-</v>
      </c>
      <c r="F46" s="15">
        <f>IF(OR(2676462.27457="",14.00473="",1.61275=""),"-",(1.61275-14.00473)/2676462.27457*100)</f>
        <v>-4.6299849311311116E-4</v>
      </c>
      <c r="G46" s="15" t="str">
        <f>IF(OR(3582158.92973="",""="",1.61275=""),"-",(""-1.61275)/3582158.92973*100)</f>
        <v>-</v>
      </c>
    </row>
    <row r="47" spans="1:7" s="2" customFormat="1" x14ac:dyDescent="0.3">
      <c r="A47" s="25" t="s">
        <v>130</v>
      </c>
      <c r="B47" s="9">
        <v>1135654.5651199999</v>
      </c>
      <c r="C47" s="16">
        <f>IF(968900.63251="","-",1135654.56512/968900.63251*100)</f>
        <v>117.21063306337338</v>
      </c>
      <c r="D47" s="16">
        <f>IF(968900.63251="","-",968900.63251/3582158.92973*100)</f>
        <v>27.047952129333062</v>
      </c>
      <c r="E47" s="16">
        <f>IF(1135654.56512="","-",1135654.56512/3706619.37681*100)</f>
        <v>30.638553616405307</v>
      </c>
      <c r="F47" s="16">
        <f>IF(2676462.27457="","-",(968900.63251-797265.75706)/2676462.27457*100)</f>
        <v>6.4127515295381814</v>
      </c>
      <c r="G47" s="16">
        <f>IF(3582158.92973="","-",(1135654.56512-968900.63251)/3582158.92973*100)</f>
        <v>4.6551237921364015</v>
      </c>
    </row>
    <row r="48" spans="1:7" s="2" customFormat="1" x14ac:dyDescent="0.3">
      <c r="A48" s="26" t="s">
        <v>57</v>
      </c>
      <c r="B48" s="10">
        <v>380958.10618</v>
      </c>
      <c r="C48" s="15">
        <f>IF(OR(332285.51665="",380958.10618=""),"-",380958.10618/332285.51665*100)</f>
        <v>114.64782155439757</v>
      </c>
      <c r="D48" s="15">
        <f>IF(332285.51665="","-",332285.51665/3582158.92973*100)</f>
        <v>9.276124347588496</v>
      </c>
      <c r="E48" s="15">
        <f>IF(380958.10618="","-",380958.10618/3706619.37681*100)</f>
        <v>10.277777873914347</v>
      </c>
      <c r="F48" s="15">
        <f>IF(OR(2676462.27457="",314710.73167="",332285.51665=""),"-",(332285.51665-314710.73167)/2676462.27457*100)</f>
        <v>0.65664235759958767</v>
      </c>
      <c r="G48" s="15">
        <f>IF(OR(3582158.92973="",380958.10618="",332285.51665=""),"-",(380958.10618-332285.51665)/3582158.92973*100)</f>
        <v>1.3587501415987877</v>
      </c>
    </row>
    <row r="49" spans="1:7" s="2" customFormat="1" x14ac:dyDescent="0.3">
      <c r="A49" s="26" t="s">
        <v>54</v>
      </c>
      <c r="B49" s="61">
        <v>313430.98995999998</v>
      </c>
      <c r="C49" s="15">
        <f>IF(OR(252050.26462="",313430.98996=""),"-",313430.98996/252050.26462*100)</f>
        <v>124.35257325856799</v>
      </c>
      <c r="D49" s="15">
        <f>IF(252050.26462="","-",252050.26462/3582158.92973*100)</f>
        <v>7.0362669430470506</v>
      </c>
      <c r="E49" s="15">
        <f>IF(313430.98996="","-",313430.98996/3706619.37681*100)</f>
        <v>8.4559799131505571</v>
      </c>
      <c r="F49" s="15">
        <f>IF(OR(2676462.27457="",191436.47854="",252050.26462=""),"-",(252050.26462-191436.47854)/2676462.27457*100)</f>
        <v>2.2646979430987195</v>
      </c>
      <c r="G49" s="15">
        <f>IF(OR(3582158.92973="",313430.98996="",252050.26462=""),"-",(313430.98996-252050.26462)/3582158.92973*100)</f>
        <v>1.7135120619739355</v>
      </c>
    </row>
    <row r="50" spans="1:7" s="2" customFormat="1" x14ac:dyDescent="0.3">
      <c r="A50" s="26" t="s">
        <v>67</v>
      </c>
      <c r="B50" s="61">
        <v>87345.014280000003</v>
      </c>
      <c r="C50" s="15">
        <f>IF(OR(78910.40928="",87345.01428=""),"-",87345.01428/78910.40928*100)</f>
        <v>110.68883696962115</v>
      </c>
      <c r="D50" s="15">
        <f>IF(78910.40928="","-",78910.40928/3582158.92973*100)</f>
        <v>2.2028729274149699</v>
      </c>
      <c r="E50" s="15">
        <f>IF(87345.01428="","-",87345.01428/3706619.37681*100)</f>
        <v>2.3564603052167468</v>
      </c>
      <c r="F50" s="15">
        <f>IF(OR(2676462.27457="",19010.77279="",78910.40928=""),"-",(78910.40928-19010.77279)/2676462.27457*100)</f>
        <v>2.2380153480632741</v>
      </c>
      <c r="G50" s="15">
        <f>IF(OR(3582158.92973="",87345.01428="",78910.40928=""),"-",(87345.01428-78910.40928)/3582158.92973*100)</f>
        <v>0.23546149585930687</v>
      </c>
    </row>
    <row r="51" spans="1:7" s="2" customFormat="1" x14ac:dyDescent="0.3">
      <c r="A51" s="26" t="s">
        <v>17</v>
      </c>
      <c r="B51" s="61">
        <v>49952.064890000001</v>
      </c>
      <c r="C51" s="15">
        <f>IF(OR(60249.07479="",49952.06489=""),"-",49952.06489/60249.07479*100)</f>
        <v>82.90926468847772</v>
      </c>
      <c r="D51" s="15">
        <f>IF(60249.07479="","-",60249.07479/3582158.92973*100)</f>
        <v>1.6819207626430239</v>
      </c>
      <c r="E51" s="15">
        <f>IF(49952.06489="","-",49952.06489/3706619.37681*100)</f>
        <v>1.3476448432369086</v>
      </c>
      <c r="F51" s="15">
        <f>IF(OR(2676462.27457="",39582.40195="",60249.07479=""),"-",(60249.07479-39582.40195)/2676462.27457*100)</f>
        <v>0.77216380131195028</v>
      </c>
      <c r="G51" s="15">
        <f>IF(OR(3582158.92973="",49952.06489="",60249.07479=""),"-",(49952.06489-60249.07479)/3582158.92973*100)</f>
        <v>-0.28745262569285612</v>
      </c>
    </row>
    <row r="52" spans="1:7" s="2" customFormat="1" x14ac:dyDescent="0.3">
      <c r="A52" s="26" t="s">
        <v>73</v>
      </c>
      <c r="B52" s="61">
        <v>36260.996980000004</v>
      </c>
      <c r="C52" s="15" t="s">
        <v>100</v>
      </c>
      <c r="D52" s="15">
        <f>IF(22325.36113="","-",22325.36113/3582158.92973*100)</f>
        <v>0.62323759408638923</v>
      </c>
      <c r="E52" s="15">
        <f>IF(36260.99698="","-",36260.99698/3706619.37681*100)</f>
        <v>0.97827678792331341</v>
      </c>
      <c r="F52" s="15">
        <f>IF(OR(2676462.27457="",25844.58881="",22325.36113=""),"-",(22325.36113-25844.58881)/2676462.27457*100)</f>
        <v>-0.13148803603313999</v>
      </c>
      <c r="G52" s="15">
        <f>IF(OR(3582158.92973="",36260.99698="",22325.36113=""),"-",(36260.99698-22325.36113)/3582158.92973*100)</f>
        <v>0.38902896614501636</v>
      </c>
    </row>
    <row r="53" spans="1:7" s="2" customFormat="1" ht="26.4" x14ac:dyDescent="0.3">
      <c r="A53" s="26" t="s">
        <v>374</v>
      </c>
      <c r="B53" s="61">
        <v>30432.69744</v>
      </c>
      <c r="C53" s="15">
        <f>IF(OR(29978.68618="",30432.69744=""),"-",30432.69744/29978.68618*100)</f>
        <v>101.51444682156514</v>
      </c>
      <c r="D53" s="15">
        <f>IF(29978.68618="","-",29978.68618/3582158.92973*100)</f>
        <v>0.83688878042771819</v>
      </c>
      <c r="E53" s="15">
        <f>IF(30432.69744="","-",30432.69744/3706619.37681*100)</f>
        <v>0.82103648490045567</v>
      </c>
      <c r="F53" s="15">
        <f>IF(OR(2676462.27457="",25924.73999="",29978.68618=""),"-",(29978.68618-25924.73999)/2676462.27457*100)</f>
        <v>0.15146659187084222</v>
      </c>
      <c r="G53" s="15">
        <f>IF(OR(3582158.92973="",30432.69744="",29978.68618=""),"-",(30432.69744-29978.68618)/3582158.92973*100)</f>
        <v>1.2674235535222882E-2</v>
      </c>
    </row>
    <row r="54" spans="1:7" s="2" customFormat="1" x14ac:dyDescent="0.3">
      <c r="A54" s="26" t="s">
        <v>60</v>
      </c>
      <c r="B54" s="61">
        <v>22891.21803</v>
      </c>
      <c r="C54" s="15" t="s">
        <v>307</v>
      </c>
      <c r="D54" s="15">
        <f>IF(9296.4894="","-",9296.4894/3582158.92973*100)</f>
        <v>0.25952196935887234</v>
      </c>
      <c r="E54" s="15">
        <f>IF(22891.21803="","-",22891.21803/3706619.37681*100)</f>
        <v>0.61757671082215881</v>
      </c>
      <c r="F54" s="15">
        <f>IF(OR(2676462.27457="",5082.27486="",9296.4894=""),"-",(9296.4894-5082.27486)/2676462.27457*100)</f>
        <v>0.15745465871276124</v>
      </c>
      <c r="G54" s="15">
        <f>IF(OR(3582158.92973="",22891.21803="",9296.4894=""),"-",(22891.21803-9296.4894)/3582158.92973*100)</f>
        <v>0.37951215724045728</v>
      </c>
    </row>
    <row r="55" spans="1:7" s="2" customFormat="1" x14ac:dyDescent="0.3">
      <c r="A55" s="26" t="s">
        <v>34</v>
      </c>
      <c r="B55" s="10">
        <v>22028.161039999999</v>
      </c>
      <c r="C55" s="15">
        <f>IF(OR(26346.10297="",22028.16104=""),"-",22028.16104/26346.10297*100)</f>
        <v>83.610699711768405</v>
      </c>
      <c r="D55" s="15">
        <f>IF(26346.10297="","-",26346.10297/3582158.92973*100)</f>
        <v>0.73548112986672531</v>
      </c>
      <c r="E55" s="15">
        <f>IF(22028.16104="","-",22028.16104/3706619.37681*100)</f>
        <v>0.59429250216022811</v>
      </c>
      <c r="F55" s="15">
        <f>IF(OR(2676462.27457="",18092.96697="",26346.10297=""),"-",(26346.10297-18092.96697)/2676462.27457*100)</f>
        <v>0.30835988530142638</v>
      </c>
      <c r="G55" s="15">
        <f>IF(OR(3582158.92973="",22028.16104="",26346.10297=""),"-",(22028.16104-26346.10297)/3582158.92973*100)</f>
        <v>-0.12054021093713616</v>
      </c>
    </row>
    <row r="56" spans="1:7" s="2" customFormat="1" x14ac:dyDescent="0.3">
      <c r="A56" s="69" t="s">
        <v>69</v>
      </c>
      <c r="B56" s="61">
        <v>20929.929270000001</v>
      </c>
      <c r="C56" s="15">
        <f>IF(OR(14959.21366="",20929.92927=""),"-",20929.92927/14959.21366*100)</f>
        <v>139.91329855769973</v>
      </c>
      <c r="D56" s="15">
        <f>IF(14959.21366="","-",14959.21366/3582158.92973*100)</f>
        <v>0.41760329324995998</v>
      </c>
      <c r="E56" s="15">
        <f>IF(20929.92927="","-",20929.92927/3706619.37681*100)</f>
        <v>0.56466356920663296</v>
      </c>
      <c r="F56" s="15">
        <f>IF(OR(2676462.27457="",20461.65793="",14959.21366=""),"-",(14959.21366-20461.65793)/2676462.27457*100)</f>
        <v>-0.20558646846176912</v>
      </c>
      <c r="G56" s="15">
        <f>IF(OR(3582158.92973="",20929.92927="",14959.21366=""),"-",(20929.92927-14959.21366)/3582158.92973*100)</f>
        <v>0.16667924922164284</v>
      </c>
    </row>
    <row r="57" spans="1:7" s="2" customFormat="1" x14ac:dyDescent="0.3">
      <c r="A57" s="26" t="s">
        <v>64</v>
      </c>
      <c r="B57" s="61">
        <v>16035.31689</v>
      </c>
      <c r="C57" s="15">
        <f>IF(OR(16487.32302="",16035.31689=""),"-",16035.31689/16487.32302*100)</f>
        <v>97.258462580907207</v>
      </c>
      <c r="D57" s="15">
        <f>IF(16487.32302="","-",16487.32302/3582158.92973*100)</f>
        <v>0.4602621866708384</v>
      </c>
      <c r="E57" s="15">
        <f>IF(16035.31689="","-",16035.31689/3706619.37681*100)</f>
        <v>0.43261298935420645</v>
      </c>
      <c r="F57" s="15">
        <f>IF(OR(2676462.27457="",11329.33903="",16487.32302=""),"-",(16487.32302-11329.33903)/2676462.27457*100)</f>
        <v>0.1927164839574913</v>
      </c>
      <c r="G57" s="15">
        <f>IF(OR(3582158.92973="",16035.31689="",16487.32302=""),"-",(16035.31689-16487.32302)/3582158.92973*100)</f>
        <v>-1.2618260073515752E-2</v>
      </c>
    </row>
    <row r="58" spans="1:7" s="2" customFormat="1" x14ac:dyDescent="0.3">
      <c r="A58" s="26" t="s">
        <v>76</v>
      </c>
      <c r="B58" s="10">
        <v>15687.402819999999</v>
      </c>
      <c r="C58" s="15">
        <f>IF(OR(9991.09359="",15687.40282=""),"-",15687.40282/9991.09359*100)</f>
        <v>157.01387119125164</v>
      </c>
      <c r="D58" s="15">
        <f>IF(9991.09359="","-",9991.09359/3582158.92973*100)</f>
        <v>0.27891262744037615</v>
      </c>
      <c r="E58" s="15">
        <f>IF(15687.40282="","-",15687.40282/3706619.37681*100)</f>
        <v>0.42322669865015744</v>
      </c>
      <c r="F58" s="15">
        <f>IF(OR(2676462.27457="",10651.91672="",9991.09359=""),"-",(9991.09359-10651.91672)/2676462.27457*100)</f>
        <v>-2.4690171659758092E-2</v>
      </c>
      <c r="G58" s="15">
        <f>IF(OR(3582158.92973="",15687.40282="",9991.09359=""),"-",(15687.40282-9991.09359)/3582158.92973*100)</f>
        <v>0.15901888614499163</v>
      </c>
    </row>
    <row r="59" spans="1:7" s="2" customFormat="1" x14ac:dyDescent="0.3">
      <c r="A59" s="26" t="s">
        <v>375</v>
      </c>
      <c r="B59" s="10">
        <v>14419.97704</v>
      </c>
      <c r="C59" s="15">
        <f>IF(OR(15960.18325="",14419.97704=""),"-",14419.97704/15960.18325*100)</f>
        <v>90.349695953522343</v>
      </c>
      <c r="D59" s="15">
        <f>IF(15960.18325="","-",15960.18325/3582158.92973*100)</f>
        <v>0.44554648643696487</v>
      </c>
      <c r="E59" s="15">
        <f>IF(14419.97704="","-",14419.97704/3706619.37681*100)</f>
        <v>0.38903312085985364</v>
      </c>
      <c r="F59" s="15">
        <f>IF(OR(2676462.27457="",14029.23106="",15960.18325=""),"-",(15960.18325-14029.23106)/2676462.27457*100)</f>
        <v>7.2145690538837376E-2</v>
      </c>
      <c r="G59" s="15">
        <f>IF(OR(3582158.92973="",14419.97704="",15960.18325=""),"-",(14419.97704-15960.18325)/3582158.92973*100)</f>
        <v>-4.2996590609565476E-2</v>
      </c>
    </row>
    <row r="60" spans="1:7" s="2" customFormat="1" x14ac:dyDescent="0.3">
      <c r="A60" s="26" t="s">
        <v>297</v>
      </c>
      <c r="B60" s="61">
        <v>9031.1805999999997</v>
      </c>
      <c r="C60" s="15">
        <f>IF(OR(8207.71025="",9031.1806=""),"-",9031.1806/8207.71025*100)</f>
        <v>110.03288767412324</v>
      </c>
      <c r="D60" s="15">
        <f>IF(8207.71025="","-",8207.71025/3582158.92973*100)</f>
        <v>0.22912747343174539</v>
      </c>
      <c r="E60" s="15">
        <f>IF(9031.1806="","-",9031.1806/3706619.37681*100)</f>
        <v>0.24365006713401574</v>
      </c>
      <c r="F60" s="15">
        <f>IF(OR(2676462.27457="",8182.45974="",8207.71025=""),"-",(8207.71025-8182.45974)/2676462.27457*100)</f>
        <v>9.4342857883384864E-4</v>
      </c>
      <c r="G60" s="15">
        <f>IF(OR(3582158.92973="",9031.1806="",8207.71025=""),"-",(9031.1806-8207.71025)/3582158.92973*100)</f>
        <v>2.2988102039963577E-2</v>
      </c>
    </row>
    <row r="61" spans="1:7" s="2" customFormat="1" x14ac:dyDescent="0.3">
      <c r="A61" s="26" t="s">
        <v>61</v>
      </c>
      <c r="B61" s="10">
        <v>8721.1670200000008</v>
      </c>
      <c r="C61" s="15" t="s">
        <v>294</v>
      </c>
      <c r="D61" s="15">
        <f>IF(3095.79855="","-",3095.79855/3582158.92973*100)</f>
        <v>8.6422702362715695E-2</v>
      </c>
      <c r="E61" s="15">
        <f>IF(8721.16702="","-",8721.16702/3706619.37681*100)</f>
        <v>0.23528628470899632</v>
      </c>
      <c r="F61" s="15">
        <f>IF(OR(2676462.27457="",3329.94432="",3095.79855=""),"-",(3095.79855-3329.94432)/2676462.27457*100)</f>
        <v>-8.7483306686105978E-3</v>
      </c>
      <c r="G61" s="15">
        <f>IF(OR(3582158.92973="",8721.16702="",3095.79855=""),"-",(8721.16702-3095.79855)/3582158.92973*100)</f>
        <v>0.15703849495097655</v>
      </c>
    </row>
    <row r="62" spans="1:7" s="2" customFormat="1" x14ac:dyDescent="0.3">
      <c r="A62" s="26" t="s">
        <v>56</v>
      </c>
      <c r="B62" s="10">
        <v>7203.8815000000004</v>
      </c>
      <c r="C62" s="15" t="s">
        <v>383</v>
      </c>
      <c r="D62" s="15">
        <f>IF(1111.08095="","-",1111.08095/3582158.92973*100)</f>
        <v>3.1017075785739805E-2</v>
      </c>
      <c r="E62" s="15">
        <f>IF(7203.8815="","-",7203.8815/3706619.37681*100)</f>
        <v>0.19435180059409884</v>
      </c>
      <c r="F62" s="15">
        <f>IF(OR(2676462.27457="",1633.17775="",1111.08095=""),"-",(1111.08095-1633.17775)/2676462.27457*100)</f>
        <v>-1.9506973999246079E-2</v>
      </c>
      <c r="G62" s="15">
        <f>IF(OR(3582158.92973="",7203.8815="",1111.08095=""),"-",(7203.8815-1111.08095)/3582158.92973*100)</f>
        <v>0.17008738778821397</v>
      </c>
    </row>
    <row r="63" spans="1:7" s="2" customFormat="1" x14ac:dyDescent="0.3">
      <c r="A63" s="26" t="s">
        <v>68</v>
      </c>
      <c r="B63" s="10">
        <v>6997.9009900000001</v>
      </c>
      <c r="C63" s="15">
        <f>IF(OR(5394.36921="",6997.90099=""),"-",6997.90099/5394.36921*100)</f>
        <v>129.72602944988262</v>
      </c>
      <c r="D63" s="15">
        <f>IF(5394.36921="","-",5394.36921/3582158.92973*100)</f>
        <v>0.150589890505126</v>
      </c>
      <c r="E63" s="15">
        <f>IF(6997.90099="","-",6997.90099/3706619.37681*100)</f>
        <v>0.18879470154884237</v>
      </c>
      <c r="F63" s="15">
        <f>IF(OR(2676462.27457="",5225.33438="",5394.36921=""),"-",(5394.36921-5225.33438)/2676462.27457*100)</f>
        <v>6.3156066725116346E-3</v>
      </c>
      <c r="G63" s="15">
        <f>IF(OR(3582158.92973="",6997.90099="",5394.36921=""),"-",(6997.90099-5394.36921)/3582158.92973*100)</f>
        <v>4.4764395200099734E-2</v>
      </c>
    </row>
    <row r="64" spans="1:7" s="2" customFormat="1" x14ac:dyDescent="0.3">
      <c r="A64" s="26" t="s">
        <v>75</v>
      </c>
      <c r="B64" s="61">
        <v>5671.1629899999998</v>
      </c>
      <c r="C64" s="15">
        <f>IF(OR(6636.33592="",5671.16299=""),"-",5671.16299/6636.33592*100)</f>
        <v>85.456237573941237</v>
      </c>
      <c r="D64" s="15">
        <f>IF(6636.33592="","-",6636.33592/3582158.92973*100)</f>
        <v>0.18526078965737583</v>
      </c>
      <c r="E64" s="15">
        <f>IF(5671.16299="","-",5671.16299/3706619.37681*100)</f>
        <v>0.15300095352333506</v>
      </c>
      <c r="F64" s="15">
        <f>IF(OR(2676462.27457="",5602.18432="",6636.33592=""),"-",(6636.33592-5602.18432)/2676462.27457*100)</f>
        <v>3.8638751228658619E-2</v>
      </c>
      <c r="G64" s="15">
        <f>IF(OR(3582158.92973="",5671.16299="",6636.33592=""),"-",(5671.16299-6636.33592)/3582158.92973*100)</f>
        <v>-2.6943889116409169E-2</v>
      </c>
    </row>
    <row r="65" spans="1:7" s="2" customFormat="1" x14ac:dyDescent="0.3">
      <c r="A65" s="26" t="s">
        <v>79</v>
      </c>
      <c r="B65" s="61">
        <v>5414.9531399999996</v>
      </c>
      <c r="C65" s="15">
        <f>IF(OR(5590.49305="",5414.95314=""),"-",5414.95314/5590.49305*100)</f>
        <v>96.860028115051492</v>
      </c>
      <c r="D65" s="15">
        <f>IF(5590.49305="","-",5590.49305/3582158.92973*100)</f>
        <v>0.1560649083322882</v>
      </c>
      <c r="E65" s="15">
        <f>IF(5414.95314="","-",5414.95314/3706619.37681*100)</f>
        <v>0.14608872909578943</v>
      </c>
      <c r="F65" s="15">
        <f>IF(OR(2676462.27457="",4802.80609="",5590.49305=""),"-",(5590.49305-4802.80609)/2676462.27457*100)</f>
        <v>2.9430153657837365E-2</v>
      </c>
      <c r="G65" s="15">
        <f>IF(OR(3582158.92973="",5414.95314="",5590.49305=""),"-",(5414.95314-5590.49305)/3582158.92973*100)</f>
        <v>-4.9003942439045127E-3</v>
      </c>
    </row>
    <row r="66" spans="1:7" s="2" customFormat="1" x14ac:dyDescent="0.3">
      <c r="A66" s="26" t="s">
        <v>81</v>
      </c>
      <c r="B66" s="61">
        <v>5244.4813299999996</v>
      </c>
      <c r="C66" s="15">
        <f>IF(OR(4132.46811="",5244.48133=""),"-",5244.48133/4132.46811*100)</f>
        <v>126.90917849575372</v>
      </c>
      <c r="D66" s="15">
        <f>IF(4132.46811="","-",4132.46811/3582158.92973*100)</f>
        <v>0.11536250041009428</v>
      </c>
      <c r="E66" s="15">
        <f>IF(5244.48133="","-",5244.48133/3706619.37681*100)</f>
        <v>0.14148961079768374</v>
      </c>
      <c r="F66" s="15">
        <f>IF(OR(2676462.27457="",2962.02902="",4132.46811=""),"-",(4132.46811-2962.02902)/2676462.27457*100)</f>
        <v>4.3730827111622281E-2</v>
      </c>
      <c r="G66" s="15">
        <f>IF(OR(3582158.92973="",5244.48133="",4132.46811=""),"-",(5244.48133-4132.46811)/3582158.92973*100)</f>
        <v>3.1043101152516874E-2</v>
      </c>
    </row>
    <row r="67" spans="1:7" s="2" customFormat="1" x14ac:dyDescent="0.3">
      <c r="A67" s="26" t="s">
        <v>80</v>
      </c>
      <c r="B67" s="10">
        <v>5143.0886300000002</v>
      </c>
      <c r="C67" s="15">
        <f>IF(OR(4573.83675="",5143.08863=""),"-",5143.08863/4573.83675*100)</f>
        <v>112.44582854864682</v>
      </c>
      <c r="D67" s="15">
        <f>IF(4573.83675="","-",4573.83675/3582158.92973*100)</f>
        <v>0.12768380297254836</v>
      </c>
      <c r="E67" s="15">
        <f>IF(5143.08863="","-",5143.08863/3706619.37681*100)</f>
        <v>0.13875416133032409</v>
      </c>
      <c r="F67" s="15">
        <f>IF(OR(2676462.27457="",3541.19748="",4573.83675=""),"-",(4573.83675-3541.19748)/2676462.27457*100)</f>
        <v>3.858224641578048E-2</v>
      </c>
      <c r="G67" s="15">
        <f>IF(OR(3582158.92973="",5143.08863="",4573.83675=""),"-",(5143.08863-4573.83675)/3582158.92973*100)</f>
        <v>1.5891307202355379E-2</v>
      </c>
    </row>
    <row r="68" spans="1:7" s="2" customFormat="1" x14ac:dyDescent="0.3">
      <c r="A68" s="26" t="s">
        <v>71</v>
      </c>
      <c r="B68" s="61">
        <v>5012.1362399999998</v>
      </c>
      <c r="C68" s="15">
        <f>IF(OR(7989.56258="",5012.13624=""),"-",5012.13624/7989.56258*100)</f>
        <v>62.733550051246986</v>
      </c>
      <c r="D68" s="15">
        <f>IF(7989.56258="","-",7989.56258/3582158.92973*100)</f>
        <v>0.22303763559151191</v>
      </c>
      <c r="E68" s="15">
        <f>IF(5012.13624="","-",5012.13624/3706619.37681*100)</f>
        <v>0.13522122803754286</v>
      </c>
      <c r="F68" s="15">
        <f>IF(OR(2676462.27457="",4648.29788="",7989.56258=""),"-",(7989.56258-4648.29788)/2676462.27457*100)</f>
        <v>0.12483884909369056</v>
      </c>
      <c r="G68" s="15">
        <f>IF(OR(3582158.92973="",5012.13624="",7989.56258=""),"-",(5012.13624-7989.56258)/3582158.92973*100)</f>
        <v>-8.3118208834592922E-2</v>
      </c>
    </row>
    <row r="69" spans="1:7" s="2" customFormat="1" x14ac:dyDescent="0.3">
      <c r="A69" s="26" t="s">
        <v>63</v>
      </c>
      <c r="B69" s="61">
        <v>4949.3572299999996</v>
      </c>
      <c r="C69" s="15">
        <f>IF(OR(3516.2428="",4949.35723=""),"-",4949.35723/3516.2428*100)</f>
        <v>140.75698157135224</v>
      </c>
      <c r="D69" s="15">
        <f>IF(3516.2428="","-",3516.2428/3582158.92973*100)</f>
        <v>9.8159877017657382E-2</v>
      </c>
      <c r="E69" s="15">
        <f>IF(4949.35723="","-",4949.35723/3706619.37681*100)</f>
        <v>0.13352752810188803</v>
      </c>
      <c r="F69" s="15">
        <f>IF(OR(2676462.27457="",3297.41459="",3516.2428=""),"-",(3516.2428-3297.41459)/2676462.27457*100)</f>
        <v>8.1760244513499458E-3</v>
      </c>
      <c r="G69" s="15">
        <f>IF(OR(3582158.92973="",4949.35723="",3516.2428=""),"-",(4949.35723-3516.2428)/3582158.92973*100)</f>
        <v>4.0007002986548634E-2</v>
      </c>
    </row>
    <row r="70" spans="1:7" s="2" customFormat="1" x14ac:dyDescent="0.3">
      <c r="A70" s="26" t="s">
        <v>119</v>
      </c>
      <c r="B70" s="61">
        <v>4665.5549300000002</v>
      </c>
      <c r="C70" s="15" t="s">
        <v>194</v>
      </c>
      <c r="D70" s="15">
        <f>IF(2620.94793="","-",2620.94793/3582158.92973*100)</f>
        <v>7.3166712628173369E-2</v>
      </c>
      <c r="E70" s="15">
        <f>IF(4665.55493="","-",4665.55493/3706619.37681*100)</f>
        <v>0.12587089354762079</v>
      </c>
      <c r="F70" s="15">
        <f>IF(OR(2676462.27457="",2845.83476="",2620.94793=""),"-",(2620.94793-2845.83476)/2676462.27457*100)</f>
        <v>-8.4023911764693447E-3</v>
      </c>
      <c r="G70" s="15">
        <f>IF(OR(3582158.92973="",4665.55493="",2620.94793=""),"-",(4665.55493-2620.94793)/3582158.92973*100)</f>
        <v>5.7077506612865717E-2</v>
      </c>
    </row>
    <row r="71" spans="1:7" s="2" customFormat="1" x14ac:dyDescent="0.3">
      <c r="A71" s="26" t="s">
        <v>59</v>
      </c>
      <c r="B71" s="61">
        <v>4295.0501599999998</v>
      </c>
      <c r="C71" s="15">
        <f>IF(OR(4482.6438="",4295.05016=""),"-",4295.05016/4482.6438*100)</f>
        <v>95.815111608912574</v>
      </c>
      <c r="D71" s="15">
        <f>IF(4482.6438="","-",4482.6438/3582158.92973*100)</f>
        <v>0.12513804909091159</v>
      </c>
      <c r="E71" s="15">
        <f>IF(4295.05016="","-",4295.05016/3706619.37681*100)</f>
        <v>0.11587513373699614</v>
      </c>
      <c r="F71" s="15">
        <f>IF(OR(2676462.27457="",6084.88649="",4482.6438=""),"-",(4482.6438-6084.88649)/2676462.27457*100)</f>
        <v>-5.9864198543856412E-2</v>
      </c>
      <c r="G71" s="15">
        <f>IF(OR(3582158.92973="",4295.05016="",4482.6438=""),"-",(4295.05016-4482.6438)/3582158.92973*100)</f>
        <v>-5.236887689238837E-3</v>
      </c>
    </row>
    <row r="72" spans="1:7" s="2" customFormat="1" x14ac:dyDescent="0.3">
      <c r="A72" s="26" t="s">
        <v>82</v>
      </c>
      <c r="B72" s="61">
        <v>3687.5589199999999</v>
      </c>
      <c r="C72" s="15" t="s">
        <v>18</v>
      </c>
      <c r="D72" s="15">
        <f>IF(1873.09937="","-",1873.09937/3582158.92973*100)</f>
        <v>5.228967800546979E-2</v>
      </c>
      <c r="E72" s="15">
        <f>IF(3687.55892="","-",3687.55892/3706619.37681*100)</f>
        <v>9.9485772482352811E-2</v>
      </c>
      <c r="F72" s="15">
        <f>IF(OR(2676462.27457="",3144.56215="",1873.09937=""),"-",(1873.09937-3144.56215)/2676462.27457*100)</f>
        <v>-4.7505350330569233E-2</v>
      </c>
      <c r="G72" s="15">
        <f>IF(OR(3582158.92973="",3687.55892="",1873.09937=""),"-",(3687.55892-1873.09937)/3582158.92973*100)</f>
        <v>5.0652681402295077E-2</v>
      </c>
    </row>
    <row r="73" spans="1:7" s="2" customFormat="1" x14ac:dyDescent="0.3">
      <c r="A73" s="26" t="s">
        <v>72</v>
      </c>
      <c r="B73" s="10">
        <v>3579.56691</v>
      </c>
      <c r="C73" s="15">
        <f>IF(OR(3245.34429="",3579.56691=""),"-",3579.56691/3245.34429*100)</f>
        <v>110.29852583067543</v>
      </c>
      <c r="D73" s="15">
        <f>IF(3245.34429="","-",3245.34429/3582158.92973*100)</f>
        <v>9.0597440081884167E-2</v>
      </c>
      <c r="E73" s="15">
        <f>IF(3579.56691="","-",3579.56691/3706619.37681*100)</f>
        <v>9.6572281804684676E-2</v>
      </c>
      <c r="F73" s="15">
        <f>IF(OR(2676462.27457="",1885.65646="",3245.34429=""),"-",(3245.34429-1885.65646)/2676462.27457*100)</f>
        <v>5.0801681119097684E-2</v>
      </c>
      <c r="G73" s="15">
        <f>IF(OR(3582158.92973="",3579.56691="",3245.34429=""),"-",(3579.56691-3245.34429)/3582158.92973*100)</f>
        <v>9.3302007687635323E-3</v>
      </c>
    </row>
    <row r="74" spans="1:7" s="2" customFormat="1" x14ac:dyDescent="0.3">
      <c r="A74" s="26" t="s">
        <v>37</v>
      </c>
      <c r="B74" s="10">
        <v>3381.2409400000001</v>
      </c>
      <c r="C74" s="15" t="s">
        <v>18</v>
      </c>
      <c r="D74" s="15">
        <f>IF(1681.14228="","-",1681.14228/3582158.92973*100)</f>
        <v>4.6930979696278123E-2</v>
      </c>
      <c r="E74" s="15">
        <f>IF(3381.24094="","-",3381.24094/3706619.37681*100)</f>
        <v>9.1221692768194945E-2</v>
      </c>
      <c r="F74" s="15">
        <f>IF(OR(2676462.27457="",1446.05166="",1681.14228=""),"-",(1681.14228-1446.05166)/2676462.27457*100)</f>
        <v>8.7836328661785295E-3</v>
      </c>
      <c r="G74" s="15">
        <f>IF(OR(3582158.92973="",3381.24094="",1681.14228=""),"-",(3381.24094-1681.14228)/3582158.92973*100)</f>
        <v>4.7460168388680134E-2</v>
      </c>
    </row>
    <row r="75" spans="1:7" s="2" customFormat="1" x14ac:dyDescent="0.3">
      <c r="A75" s="26" t="s">
        <v>376</v>
      </c>
      <c r="B75" s="10">
        <v>3098.9089100000001</v>
      </c>
      <c r="C75" s="15" t="s">
        <v>91</v>
      </c>
      <c r="D75" s="15">
        <f>IF(1485.66145="","-",1485.66145/3582158.92973*100)</f>
        <v>4.1473912217289022E-2</v>
      </c>
      <c r="E75" s="15">
        <f>IF(3098.90891="","-",3098.90891/3706619.37681*100)</f>
        <v>8.3604724277543466E-2</v>
      </c>
      <c r="F75" s="15">
        <f>IF(OR(2676462.27457="",556.31945="",1485.66145=""),"-",(1485.66145-556.31945)/2676462.27457*100)</f>
        <v>3.4722775987915171E-2</v>
      </c>
      <c r="G75" s="15">
        <f>IF(OR(3582158.92973="",3098.90891="",1485.66145=""),"-",(3098.90891-1485.66145)/3582158.92973*100)</f>
        <v>4.5035619347062197E-2</v>
      </c>
    </row>
    <row r="76" spans="1:7" s="2" customFormat="1" x14ac:dyDescent="0.3">
      <c r="A76" s="26" t="s">
        <v>87</v>
      </c>
      <c r="B76" s="61">
        <v>2646.3104800000001</v>
      </c>
      <c r="C76" s="15" t="s">
        <v>100</v>
      </c>
      <c r="D76" s="15">
        <f>IF(1621.48392="","-",1621.48392/3582158.92973*100)</f>
        <v>4.5265549402137131E-2</v>
      </c>
      <c r="E76" s="15">
        <f>IF(2646.31048="","-",2646.31048/3706619.37681*100)</f>
        <v>7.139417919617834E-2</v>
      </c>
      <c r="F76" s="15">
        <f>IF(OR(2676462.27457="",1450.1071="",1621.48392=""),"-",(1621.48392-1450.1071)/2676462.27457*100)</f>
        <v>6.4031098673913997E-3</v>
      </c>
      <c r="G76" s="15">
        <f>IF(OR(3582158.92973="",2646.31048="",1621.48392=""),"-",(2646.31048-1621.48392)/3582158.92973*100)</f>
        <v>2.8609187367274209E-2</v>
      </c>
    </row>
    <row r="77" spans="1:7" s="2" customFormat="1" x14ac:dyDescent="0.3">
      <c r="A77" s="26" t="s">
        <v>78</v>
      </c>
      <c r="B77" s="10">
        <v>2430.8962700000002</v>
      </c>
      <c r="C77" s="15" t="s">
        <v>18</v>
      </c>
      <c r="D77" s="15">
        <f>IF(1206.61512="","-",1206.61512/3582158.92973*100)</f>
        <v>3.3684019711848652E-2</v>
      </c>
      <c r="E77" s="15">
        <f>IF(2430.89627="","-",2430.89627/3706619.37681*100)</f>
        <v>6.5582570608911137E-2</v>
      </c>
      <c r="F77" s="15">
        <f>IF(OR(2676462.27457="",12014.36894="",1206.61512=""),"-",(1206.61512-12014.36894)/2676462.27457*100)</f>
        <v>-0.4038074409898556</v>
      </c>
      <c r="G77" s="15">
        <f>IF(OR(3582158.92973="",2430.89627="",1206.61512=""),"-",(2430.89627-1206.61512)/3582158.92973*100)</f>
        <v>3.4177186831078954E-2</v>
      </c>
    </row>
    <row r="78" spans="1:7" s="2" customFormat="1" x14ac:dyDescent="0.3">
      <c r="A78" s="26" t="s">
        <v>77</v>
      </c>
      <c r="B78" s="61">
        <v>2358.3792800000001</v>
      </c>
      <c r="C78" s="15">
        <f>IF(OR(2297.66525="",2358.37928=""),"-",2358.37928/2297.66525*100)</f>
        <v>102.64242278112532</v>
      </c>
      <c r="D78" s="15">
        <f>IF(2297.66525="","-",2297.66525/3582158.92973*100)</f>
        <v>6.4141912602777323E-2</v>
      </c>
      <c r="E78" s="15">
        <f>IF(2358.37928="","-",2358.37928/3706619.37681*100)</f>
        <v>6.3626152033707722E-2</v>
      </c>
      <c r="F78" s="15">
        <f>IF(OR(2676462.27457="",1637.48536="",2297.66525=""),"-",(2297.66525-1637.48536)/2676462.27457*100)</f>
        <v>2.4666138442248901E-2</v>
      </c>
      <c r="G78" s="15">
        <f>IF(OR(3582158.92973="",2358.37928="",2297.66525=""),"-",(2358.37928-2297.66525)/3582158.92973*100)</f>
        <v>1.6949005108652822E-3</v>
      </c>
    </row>
    <row r="79" spans="1:7" s="2" customFormat="1" x14ac:dyDescent="0.3">
      <c r="A79" s="26" t="s">
        <v>85</v>
      </c>
      <c r="B79" s="10">
        <v>2006.92562</v>
      </c>
      <c r="C79" s="15">
        <f>IF(OR(1616.26382="",2006.92562=""),"-",2006.92562/1616.26382*100)</f>
        <v>124.17067035504144</v>
      </c>
      <c r="D79" s="15">
        <f>IF(1616.26382="","-",1616.26382/3582158.92973*100)</f>
        <v>4.5119824432854616E-2</v>
      </c>
      <c r="E79" s="15">
        <f>IF(2006.92562="","-",2006.92562/3706619.37681*100)</f>
        <v>5.4144367575372832E-2</v>
      </c>
      <c r="F79" s="15">
        <f>IF(OR(2676462.27457="",2720.59328="",1616.26382=""),"-",(1616.26382-2720.59328)/2676462.27457*100)</f>
        <v>-4.1260789307311328E-2</v>
      </c>
      <c r="G79" s="15">
        <f>IF(OR(3582158.92973="",2006.92562="",1616.26382=""),"-",(2006.92562-1616.26382)/3582158.92973*100)</f>
        <v>1.0905764028438729E-2</v>
      </c>
    </row>
    <row r="80" spans="1:7" s="2" customFormat="1" x14ac:dyDescent="0.3">
      <c r="A80" s="26" t="s">
        <v>66</v>
      </c>
      <c r="B80" s="10">
        <v>1879.5282299999999</v>
      </c>
      <c r="C80" s="15">
        <f>IF(OR(3260.86447="",1879.52823=""),"-",1879.52823/3260.86447*100)</f>
        <v>57.638955782789701</v>
      </c>
      <c r="D80" s="15">
        <f>IF(3260.86447="","-",3260.86447/3582158.92973*100)</f>
        <v>9.1030703382157949E-2</v>
      </c>
      <c r="E80" s="15">
        <f>IF(1879.52823="","-",1879.52823/3706619.37681*100)</f>
        <v>5.0707343779591532E-2</v>
      </c>
      <c r="F80" s="15">
        <f>IF(OR(2676462.27457="",2653.16555="",3260.86447=""),"-",(3260.86447-2653.16555)/2676462.27457*100)</f>
        <v>2.2705304900949245E-2</v>
      </c>
      <c r="G80" s="15">
        <f>IF(OR(3582158.92973="",1879.52823="",3260.86447=""),"-",(1879.52823-3260.86447)/3582158.92973*100)</f>
        <v>-3.8561556510953478E-2</v>
      </c>
    </row>
    <row r="81" spans="1:7" s="2" customFormat="1" x14ac:dyDescent="0.3">
      <c r="A81" s="26" t="s">
        <v>70</v>
      </c>
      <c r="B81" s="61">
        <v>1844.91113</v>
      </c>
      <c r="C81" s="15">
        <f>IF(OR(2774.65418="",1844.91113=""),"-",1844.91113/2774.65418*100)</f>
        <v>66.491570131453287</v>
      </c>
      <c r="D81" s="15">
        <f>IF(2774.65418="","-",2774.65418/3582158.92973*100)</f>
        <v>7.7457595668686194E-2</v>
      </c>
      <c r="E81" s="15">
        <f>IF(1844.91113="","-",1844.91113/3706619.37681*100)</f>
        <v>4.9773417296160902E-2</v>
      </c>
      <c r="F81" s="15">
        <f>IF(OR(2676462.27457="",1691.20912="",2774.65418=""),"-",(2774.65418-1691.20912)/2676462.27457*100)</f>
        <v>4.0480490619807678E-2</v>
      </c>
      <c r="G81" s="15">
        <f>IF(OR(3582158.92973="",1844.91113="",2774.65418=""),"-",(1844.91113-2774.65418)/3582158.92973*100)</f>
        <v>-2.5954824122504192E-2</v>
      </c>
    </row>
    <row r="82" spans="1:7" s="2" customFormat="1" x14ac:dyDescent="0.3">
      <c r="A82" s="26" t="s">
        <v>36</v>
      </c>
      <c r="B82" s="10">
        <v>1795.0791099999999</v>
      </c>
      <c r="C82" s="15" t="s">
        <v>309</v>
      </c>
      <c r="D82" s="15">
        <f>IF(625.87004="","-",625.87004/3582158.92973*100)</f>
        <v>1.747186689026034E-2</v>
      </c>
      <c r="E82" s="15">
        <f>IF(1795.07911="","-",1795.07911/3706619.37681*100)</f>
        <v>4.8429011115376126E-2</v>
      </c>
      <c r="F82" s="15">
        <f>IF(OR(2676462.27457="",874.78986="",625.87004=""),"-",(625.87004-874.78986)/2676462.27457*100)</f>
        <v>-9.3003298557604881E-3</v>
      </c>
      <c r="G82" s="15">
        <f>IF(OR(3582158.92973="",1795.07911="",625.87004=""),"-",(1795.07911-625.87004)/3582158.92973*100)</f>
        <v>3.2639787707245231E-2</v>
      </c>
    </row>
    <row r="83" spans="1:7" s="2" customFormat="1" x14ac:dyDescent="0.3">
      <c r="A83" s="26" t="s">
        <v>93</v>
      </c>
      <c r="B83" s="61">
        <v>1724.7792400000001</v>
      </c>
      <c r="C83" s="15" t="s">
        <v>18</v>
      </c>
      <c r="D83" s="15">
        <f>IF(866.29084="","-",866.29084/3582158.92973*100)</f>
        <v>2.4183484233774505E-2</v>
      </c>
      <c r="E83" s="15">
        <f>IF(1724.77924="","-",1724.77924/3706619.37681*100)</f>
        <v>4.6532407691786903E-2</v>
      </c>
      <c r="F83" s="15">
        <f>IF(OR(2676462.27457="",714.51813="",866.29084=""),"-",(866.29084-714.51813)/2676462.27457*100)</f>
        <v>5.6706463394625558E-3</v>
      </c>
      <c r="G83" s="15">
        <f>IF(OR(3582158.92973="",1724.77924="",866.29084=""),"-",(1724.77924-866.29084)/3582158.92973*100)</f>
        <v>2.3965670335701923E-2</v>
      </c>
    </row>
    <row r="84" spans="1:7" s="2" customFormat="1" x14ac:dyDescent="0.3">
      <c r="A84" s="26" t="s">
        <v>98</v>
      </c>
      <c r="B84" s="10">
        <v>1619.03568</v>
      </c>
      <c r="C84" s="15" t="s">
        <v>99</v>
      </c>
      <c r="D84" s="15">
        <f>IF(979.8397="","-",979.8397/3582158.92973*100)</f>
        <v>2.7353328515601454E-2</v>
      </c>
      <c r="E84" s="15">
        <f>IF(1619.03568="","-",1619.03568/3706619.37681*100)</f>
        <v>4.3679577410329587E-2</v>
      </c>
      <c r="F84" s="15">
        <f>IF(OR(2676462.27457="",436.9577="",979.8397=""),"-",(979.8397-436.9577)/2676462.27457*100)</f>
        <v>2.0283566301610562E-2</v>
      </c>
      <c r="G84" s="15">
        <f>IF(OR(3582158.92973="",1619.03568="",979.8397=""),"-",(1619.03568-979.8397)/3582158.92973*100)</f>
        <v>1.7843875510240925E-2</v>
      </c>
    </row>
    <row r="85" spans="1:7" x14ac:dyDescent="0.3">
      <c r="A85" s="26" t="s">
        <v>65</v>
      </c>
      <c r="B85" s="61">
        <v>1577.0261499999999</v>
      </c>
      <c r="C85" s="15" t="s">
        <v>91</v>
      </c>
      <c r="D85" s="15">
        <f>IF(741.91816="","-",741.91816/3582158.92973*100)</f>
        <v>2.0711480829130071E-2</v>
      </c>
      <c r="E85" s="15">
        <f>IF(1577.02615="","-",1577.02615/3706619.37681*100)</f>
        <v>4.2546212321299202E-2</v>
      </c>
      <c r="F85" s="15">
        <f>IF(OR(2676462.27457="",511.57028="",741.91816=""),"-",(741.91816-511.57028)/2676462.27457*100)</f>
        <v>8.6064310410281265E-3</v>
      </c>
      <c r="G85" s="15">
        <f>IF(OR(3582158.92973="",1577.02615="",741.91816=""),"-",(1577.02615-741.91816)/3582158.92973*100)</f>
        <v>2.3312979864434574E-2</v>
      </c>
    </row>
    <row r="86" spans="1:7" x14ac:dyDescent="0.3">
      <c r="A86" s="26" t="s">
        <v>86</v>
      </c>
      <c r="B86" s="10">
        <v>1501.99161</v>
      </c>
      <c r="C86" s="15">
        <f>IF(OR(1240.81445="",1501.99161=""),"-",1501.99161/1240.81445*100)</f>
        <v>121.04884900397477</v>
      </c>
      <c r="D86" s="15">
        <f>IF(1240.81445="","-",1240.81445/3582158.92973*100)</f>
        <v>3.4638732516916119E-2</v>
      </c>
      <c r="E86" s="15">
        <f>IF(1501.99161="","-",1501.99161/3706619.37681*100)</f>
        <v>4.0521873365175355E-2</v>
      </c>
      <c r="F86" s="15">
        <f>IF(OR(2676462.27457="",1624.10745="",1240.81445=""),"-",(1240.81445-1624.10745)/2676462.27457*100)</f>
        <v>-1.4320881846226647E-2</v>
      </c>
      <c r="G86" s="15">
        <f>IF(OR(3582158.92973="",1501.99161="",1240.81445=""),"-",(1501.99161-1240.81445)/3582158.92973*100)</f>
        <v>7.2910545043763817E-3</v>
      </c>
    </row>
    <row r="87" spans="1:7" x14ac:dyDescent="0.3">
      <c r="A87" s="26" t="s">
        <v>84</v>
      </c>
      <c r="B87" s="10">
        <v>1339.1950999999999</v>
      </c>
      <c r="C87" s="15">
        <f>IF(OR(1580.61671="",1339.1951=""),"-",1339.1951/1580.61671*100)</f>
        <v>84.726113011926842</v>
      </c>
      <c r="D87" s="15">
        <f>IF(1580.61671="","-",1580.61671/3582158.92973*100)</f>
        <v>4.4124695218900764E-2</v>
      </c>
      <c r="E87" s="15">
        <f>IF(1339.1951="","-",1339.1951/3706619.37681*100)</f>
        <v>3.6129825154924355E-2</v>
      </c>
      <c r="F87" s="15">
        <f>IF(OR(2676462.27457="",1435.95429="",1580.61671=""),"-",(1580.61671-1435.95429)/2676462.27457*100)</f>
        <v>5.4049863274550193E-3</v>
      </c>
      <c r="G87" s="15">
        <f>IF(OR(3582158.92973="",1339.1951="",1580.61671=""),"-",(1339.1951-1580.61671)/3582158.92973*100)</f>
        <v>-6.7395560815666248E-3</v>
      </c>
    </row>
    <row r="88" spans="1:7" x14ac:dyDescent="0.3">
      <c r="A88" s="26" t="s">
        <v>35</v>
      </c>
      <c r="B88" s="10">
        <v>1289.9305899999999</v>
      </c>
      <c r="C88" s="15" t="s">
        <v>308</v>
      </c>
      <c r="D88" s="15">
        <f>IF(559.86449="","-",559.86449/3582158.92973*100)</f>
        <v>1.5629247640394309E-2</v>
      </c>
      <c r="E88" s="15">
        <f>IF(1289.93059="","-",1289.93059/3706619.37681*100)</f>
        <v>3.4800729691057276E-2</v>
      </c>
      <c r="F88" s="15">
        <f>IF(OR(2676462.27457="",1106.22921="",559.86449=""),"-",(559.86449-1106.22921)/2676462.27457*100)</f>
        <v>-2.0413690310197956E-2</v>
      </c>
      <c r="G88" s="15">
        <f>IF(OR(3582158.92973="",1289.93059="",559.86449=""),"-",(1289.93059-559.86449)/3582158.92973*100)</f>
        <v>2.0380617228924224E-2</v>
      </c>
    </row>
    <row r="89" spans="1:7" x14ac:dyDescent="0.3">
      <c r="A89" s="26" t="s">
        <v>298</v>
      </c>
      <c r="B89" s="61">
        <v>852.93475000000001</v>
      </c>
      <c r="C89" s="15">
        <f>IF(OR(631.95456="",852.93475=""),"-",852.93475/631.95456*100)</f>
        <v>134.9677340725257</v>
      </c>
      <c r="D89" s="15">
        <f>IF(631.95456="","-",631.95456/3582158.92973*100)</f>
        <v>1.7641723117171482E-2</v>
      </c>
      <c r="E89" s="15">
        <f>IF(852.93475="","-",852.93475/3706619.37681*100)</f>
        <v>2.3011123163502557E-2</v>
      </c>
      <c r="F89" s="15">
        <f>IF(OR(2676462.27457="",1530.84253="",631.95456=""),"-",(631.95456-1530.84253)/2676462.27457*100)</f>
        <v>-3.3584929574410505E-2</v>
      </c>
      <c r="G89" s="15">
        <f>IF(OR(3582158.92973="",852.93475="",631.95456=""),"-",(852.93475-631.95456)/3582158.92973*100)</f>
        <v>6.1689108254238184E-3</v>
      </c>
    </row>
    <row r="90" spans="1:7" x14ac:dyDescent="0.3">
      <c r="A90" s="26" t="s">
        <v>134</v>
      </c>
      <c r="B90" s="10">
        <v>823.41067999999996</v>
      </c>
      <c r="C90" s="15">
        <f>IF(OR(613.51033="",823.41068=""),"-",823.41068/613.51033*100)</f>
        <v>134.21300990971091</v>
      </c>
      <c r="D90" s="15">
        <f>IF(613.51033="","-",613.51033/3582158.92973*100)</f>
        <v>1.7126831668695459E-2</v>
      </c>
      <c r="E90" s="15">
        <f>IF(823.41068="","-",823.41068/3706619.37681*100)</f>
        <v>2.2214600321564328E-2</v>
      </c>
      <c r="F90" s="15">
        <f>IF(OR(2676462.27457="",619.95925="",613.51033=""),"-",(613.51033-619.95925)/2676462.27457*100)</f>
        <v>-2.409494077788235E-4</v>
      </c>
      <c r="G90" s="15">
        <f>IF(OR(3582158.92973="",823.41068="",613.51033=""),"-",(823.41068-613.51033)/3582158.92973*100)</f>
        <v>5.8596046160302815E-3</v>
      </c>
    </row>
    <row r="91" spans="1:7" x14ac:dyDescent="0.3">
      <c r="A91" s="26" t="s">
        <v>89</v>
      </c>
      <c r="B91" s="10">
        <v>802.81805999999995</v>
      </c>
      <c r="C91" s="15">
        <f>IF(OR(841.65124="",802.81806=""),"-",802.81806/841.65124*100)</f>
        <v>95.386072264326486</v>
      </c>
      <c r="D91" s="15">
        <f>IF(841.65124="","-",841.65124/3582158.92973*100)</f>
        <v>2.34956420558213E-2</v>
      </c>
      <c r="E91" s="15">
        <f>IF(802.81806="","-",802.81806/3706619.37681*100)</f>
        <v>2.1659036938692186E-2</v>
      </c>
      <c r="F91" s="15">
        <f>IF(OR(2676462.27457="",1205.61236="",841.65124=""),"-",(841.65124-1205.61236)/2676462.27457*100)</f>
        <v>-1.3598589580661062E-2</v>
      </c>
      <c r="G91" s="15">
        <f>IF(OR(3582158.92973="",802.81806="",841.65124=""),"-",(802.81806-841.65124)/3582158.92973*100)</f>
        <v>-1.0840719454881104E-3</v>
      </c>
    </row>
    <row r="92" spans="1:7" x14ac:dyDescent="0.3">
      <c r="A92" s="26" t="s">
        <v>62</v>
      </c>
      <c r="B92" s="61">
        <v>763.14862000000005</v>
      </c>
      <c r="C92" s="15" t="s">
        <v>99</v>
      </c>
      <c r="D92" s="15">
        <f>IF(446.16091="","-",446.16091/3582158.92973*100)</f>
        <v>1.2455084175554118E-2</v>
      </c>
      <c r="E92" s="15">
        <f>IF(763.14862="","-",763.14862/3706619.37681*100)</f>
        <v>2.0588804579573069E-2</v>
      </c>
      <c r="F92" s="15">
        <f>IF(OR(2676462.27457="",460.77989="",446.16091=""),"-",(446.16091-460.77989)/2676462.27457*100)</f>
        <v>-5.4620534497721272E-4</v>
      </c>
      <c r="G92" s="15">
        <f>IF(OR(3582158.92973="",763.14862="",446.16091=""),"-",(763.14862-446.16091)/3582158.92973*100)</f>
        <v>8.8490688497702297E-3</v>
      </c>
    </row>
    <row r="93" spans="1:7" x14ac:dyDescent="0.3">
      <c r="A93" s="26" t="s">
        <v>88</v>
      </c>
      <c r="B93" s="10">
        <v>747.85086000000001</v>
      </c>
      <c r="C93" s="15">
        <f>IF(OR(823.83109="",747.85086=""),"-",747.85086/823.83109*100)</f>
        <v>90.777207740484769</v>
      </c>
      <c r="D93" s="15">
        <f>IF(823.83109="","-",823.83109/3582158.92973*100)</f>
        <v>2.299817250325337E-2</v>
      </c>
      <c r="E93" s="15">
        <f>IF(747.85086="","-",747.85086/3706619.37681*100)</f>
        <v>2.0176089961619348E-2</v>
      </c>
      <c r="F93" s="15">
        <f>IF(OR(2676462.27457="",292.42553="",823.83109=""),"-",(823.83109-292.42553)/2676462.27457*100)</f>
        <v>1.9854774903762678E-2</v>
      </c>
      <c r="G93" s="15">
        <f>IF(OR(3582158.92973="",747.85086="",823.83109=""),"-",(747.85086-823.83109)/3582158.92973*100)</f>
        <v>-2.1210736734600132E-3</v>
      </c>
    </row>
    <row r="94" spans="1:7" x14ac:dyDescent="0.3">
      <c r="A94" s="26" t="s">
        <v>83</v>
      </c>
      <c r="B94" s="61">
        <v>686.32380999999998</v>
      </c>
      <c r="C94" s="15">
        <f>IF(OR(859.43464="",686.32381=""),"-",686.32381/859.43464*100)</f>
        <v>79.857592195725317</v>
      </c>
      <c r="D94" s="15">
        <f>IF(859.43464="","-",859.43464/3582158.92973*100)</f>
        <v>2.3992085690759082E-2</v>
      </c>
      <c r="E94" s="15">
        <f>IF(686.32381="","-",686.32381/3706619.37681*100)</f>
        <v>1.8516166356165376E-2</v>
      </c>
      <c r="F94" s="15">
        <f>IF(OR(2676462.27457="",1011.40424="",859.43464=""),"-",(859.43464-1011.40424)/2676462.27457*100)</f>
        <v>-5.6780026919832239E-3</v>
      </c>
      <c r="G94" s="15">
        <f>IF(OR(3582158.92973="",686.32381="",859.43464=""),"-",(686.32381-859.43464)/3582158.92973*100)</f>
        <v>-4.8325837405837251E-3</v>
      </c>
    </row>
    <row r="95" spans="1:7" x14ac:dyDescent="0.3">
      <c r="A95" s="26" t="s">
        <v>74</v>
      </c>
      <c r="B95" s="61">
        <v>590.60413000000005</v>
      </c>
      <c r="C95" s="15" t="s">
        <v>384</v>
      </c>
      <c r="D95" s="15">
        <f>IF(14.25222="","-",14.25222/3582158.92973*100)</f>
        <v>3.9786676916298187E-4</v>
      </c>
      <c r="E95" s="15">
        <f>IF(590.60413="","-",590.60413/3706619.37681*100)</f>
        <v>1.5933767942158856E-2</v>
      </c>
      <c r="F95" s="15">
        <f>IF(OR(2676462.27457="",30.45207="",14.25222=""),"-",(14.25222-30.45207)/2676462.27457*100)</f>
        <v>-6.0527100097469764E-4</v>
      </c>
      <c r="G95" s="15">
        <f>IF(OR(3582158.92973="",590.60413="",14.25222=""),"-",(590.60413-14.25222)/3582158.92973*100)</f>
        <v>1.6089512534371048E-2</v>
      </c>
    </row>
    <row r="96" spans="1:7" x14ac:dyDescent="0.3">
      <c r="A96" s="26" t="s">
        <v>90</v>
      </c>
      <c r="B96" s="61">
        <v>525.66862000000003</v>
      </c>
      <c r="C96" s="15">
        <f>IF(OR(472.26672="",525.66862=""),"-",525.66862/472.26672*100)</f>
        <v>111.30757212788571</v>
      </c>
      <c r="D96" s="15">
        <f>IF(472.26672="","-",472.26672/3582158.92973*100)</f>
        <v>1.3183857256595717E-2</v>
      </c>
      <c r="E96" s="15">
        <f>IF(525.66862="","-",525.66862/3706619.37681*100)</f>
        <v>1.4181888307409711E-2</v>
      </c>
      <c r="F96" s="15">
        <f>IF(OR(2676462.27457="",287.98995="",472.26672=""),"-",(472.26672-287.98995)/2676462.27457*100)</f>
        <v>6.8850875183587594E-3</v>
      </c>
      <c r="G96" s="15">
        <f>IF(OR(3582158.92973="",525.66862="",472.26672=""),"-",(525.66862-472.26672)/3582158.92973*100)</f>
        <v>1.4907741685270537E-3</v>
      </c>
    </row>
    <row r="97" spans="1:7" x14ac:dyDescent="0.3">
      <c r="A97" s="26" t="s">
        <v>200</v>
      </c>
      <c r="B97" s="61">
        <v>517.74764000000005</v>
      </c>
      <c r="C97" s="15" t="s">
        <v>335</v>
      </c>
      <c r="D97" s="15">
        <f>IF(218.34395="","-",218.34395/3582158.92973*100)</f>
        <v>6.0953172174428721E-3</v>
      </c>
      <c r="E97" s="15">
        <f>IF(517.74764="","-",517.74764/3706619.37681*100)</f>
        <v>1.3968190077438849E-2</v>
      </c>
      <c r="F97" s="15">
        <f>IF(OR(2676462.27457="",406.71544="",218.34395=""),"-",(218.34395-406.71544)/2676462.27457*100)</f>
        <v>-7.0380775320385844E-3</v>
      </c>
      <c r="G97" s="15">
        <f>IF(OR(3582158.92973="",517.74764="",218.34395=""),"-",(517.74764-218.34395)/3582158.92973*100)</f>
        <v>8.358191132032412E-3</v>
      </c>
    </row>
    <row r="98" spans="1:7" x14ac:dyDescent="0.3">
      <c r="A98" s="26" t="s">
        <v>94</v>
      </c>
      <c r="B98" s="61">
        <v>486.80966000000001</v>
      </c>
      <c r="C98" s="15" t="s">
        <v>99</v>
      </c>
      <c r="D98" s="15">
        <f>IF(284.25567="","-",284.25567/3582158.92973*100)</f>
        <v>7.9353170972072239E-3</v>
      </c>
      <c r="E98" s="15">
        <f>IF(486.80966="","-",486.80966/3706619.37681*100)</f>
        <v>1.3133521694880886E-2</v>
      </c>
      <c r="F98" s="15">
        <f>IF(OR(2676462.27457="",462.14982="",284.25567=""),"-",(284.25567-462.14982)/2676462.27457*100)</f>
        <v>-6.6466152611316161E-3</v>
      </c>
      <c r="G98" s="15">
        <f>IF(OR(3582158.92973="",486.80966="",284.25567=""),"-",(486.80966-284.25567)/3582158.92973*100)</f>
        <v>5.6545227046994034E-3</v>
      </c>
    </row>
    <row r="99" spans="1:7" x14ac:dyDescent="0.3">
      <c r="A99" s="26" t="s">
        <v>377</v>
      </c>
      <c r="B99" s="61">
        <v>440.07830999999999</v>
      </c>
      <c r="C99" s="15">
        <f>IF(OR(671.05738="",440.07831=""),"-",440.07831/671.05738*100)</f>
        <v>65.57983312842785</v>
      </c>
      <c r="D99" s="15">
        <f>IF(671.05738="","-",671.05738/3582158.92973*100)</f>
        <v>1.8733322366871644E-2</v>
      </c>
      <c r="E99" s="15">
        <f>IF(440.07831="","-",440.07831/3706619.37681*100)</f>
        <v>1.1872767750400672E-2</v>
      </c>
      <c r="F99" s="15">
        <f>IF(OR(2676462.27457="",528.36816="",671.05738=""),"-",(671.05738-528.36816)/2676462.27457*100)</f>
        <v>5.331262142408655E-3</v>
      </c>
      <c r="G99" s="15">
        <f>IF(OR(3582158.92973="",440.07831="",671.05738=""),"-",(440.07831-671.05738)/3582158.92973*100)</f>
        <v>-6.4480408192667676E-3</v>
      </c>
    </row>
    <row r="100" spans="1:7" x14ac:dyDescent="0.3">
      <c r="A100" s="26" t="s">
        <v>120</v>
      </c>
      <c r="B100" s="10">
        <v>415.15618000000001</v>
      </c>
      <c r="C100" s="15" t="s">
        <v>321</v>
      </c>
      <c r="D100" s="15">
        <f>IF(59.8109="","-",59.8109/3582158.92973*100)</f>
        <v>1.6696886199995644E-3</v>
      </c>
      <c r="E100" s="15">
        <f>IF(415.15618="","-",415.15618/3706619.37681*100)</f>
        <v>1.1200399549988129E-2</v>
      </c>
      <c r="F100" s="15">
        <f>IF(OR(2676462.27457="",101.90884="",59.8109=""),"-",(59.8109-101.90884)/2676462.27457*100)</f>
        <v>-1.5728949516676245E-3</v>
      </c>
      <c r="G100" s="15">
        <f>IF(OR(3582158.92973="",415.15618="",59.8109=""),"-",(415.15618-59.8109)/3582158.92973*100)</f>
        <v>9.9198636065760386E-3</v>
      </c>
    </row>
    <row r="101" spans="1:7" x14ac:dyDescent="0.3">
      <c r="A101" s="26" t="s">
        <v>97</v>
      </c>
      <c r="B101" s="61">
        <v>379.17</v>
      </c>
      <c r="C101" s="15">
        <f>IF(OR(268.72799="",379.17=""),"-",379.17/268.72799*100)</f>
        <v>141.09806723147821</v>
      </c>
      <c r="D101" s="15">
        <f>IF(268.72799="","-",268.72799/3582158.92973*100)</f>
        <v>7.5018444259885193E-3</v>
      </c>
      <c r="E101" s="15">
        <f>IF(379.17="","-",379.17/3706619.37681*100)</f>
        <v>1.0229536983814137E-2</v>
      </c>
      <c r="F101" s="15">
        <f>IF(OR(2676462.27457="",0.08108="",268.72799=""),"-",(268.72799-0.08108)/2676462.27457*100)</f>
        <v>1.0037388255104801E-2</v>
      </c>
      <c r="G101" s="15">
        <f>IF(OR(3582158.92973="",379.17="",268.72799=""),"-",(379.17-268.72799)/3582158.92973*100)</f>
        <v>3.0831130657936624E-3</v>
      </c>
    </row>
    <row r="102" spans="1:7" x14ac:dyDescent="0.3">
      <c r="A102" s="26" t="s">
        <v>115</v>
      </c>
      <c r="B102" s="10">
        <v>355.3331</v>
      </c>
      <c r="C102" s="15" t="s">
        <v>101</v>
      </c>
      <c r="D102" s="15">
        <f>IF(185.37754="","-",185.37754/3582158.92973*100)</f>
        <v>5.1750227624314978E-3</v>
      </c>
      <c r="E102" s="15">
        <f>IF(355.3331="","-",355.3331/3706619.37681*100)</f>
        <v>9.5864469447037651E-3</v>
      </c>
      <c r="F102" s="15">
        <f>IF(OR(2676462.27457="",270.01807="",185.37754=""),"-",(185.37754-270.01807)/2676462.27457*100)</f>
        <v>-3.1624032516430053E-3</v>
      </c>
      <c r="G102" s="15">
        <f>IF(OR(3582158.92973="",355.3331="",185.37754=""),"-",(355.3331-185.37754)/3582158.92973*100)</f>
        <v>4.7445008257299779E-3</v>
      </c>
    </row>
    <row r="103" spans="1:7" x14ac:dyDescent="0.3">
      <c r="A103" s="26" t="s">
        <v>113</v>
      </c>
      <c r="B103" s="61">
        <v>314.44312000000002</v>
      </c>
      <c r="C103" s="15" t="s">
        <v>385</v>
      </c>
      <c r="D103" s="15">
        <f>IF(0.51364="","-",0.51364/3582158.92973*100)</f>
        <v>1.4338838953712052E-5</v>
      </c>
      <c r="E103" s="15">
        <f>IF(314.44312="","-",314.44312/3706619.37681*100)</f>
        <v>8.4832859280689569E-3</v>
      </c>
      <c r="F103" s="15">
        <f>IF(OR(2676462.27457="",239.5773="",0.51364=""),"-",(0.51364-239.5773)/2676462.27457*100)</f>
        <v>-8.9320765800223328E-3</v>
      </c>
      <c r="G103" s="15">
        <f>IF(OR(3582158.92973="",314.44312="",0.51364=""),"-",(314.44312-0.51364)/3582158.92973*100)</f>
        <v>8.7636949157825893E-3</v>
      </c>
    </row>
    <row r="104" spans="1:7" x14ac:dyDescent="0.3">
      <c r="A104" s="26" t="s">
        <v>330</v>
      </c>
      <c r="B104" s="10">
        <v>254.11064999999999</v>
      </c>
      <c r="C104" s="15">
        <f>IF(OR(284.94001="",254.11065=""),"-",254.11065/284.94001*100)</f>
        <v>89.180403271551796</v>
      </c>
      <c r="D104" s="15">
        <f>IF(284.94001="","-",284.94001/3582158.92973*100)</f>
        <v>7.9544212188674985E-3</v>
      </c>
      <c r="E104" s="15">
        <f>IF(254.11065="","-",254.11065/3706619.37681*100)</f>
        <v>6.8555906114831072E-3</v>
      </c>
      <c r="F104" s="15">
        <f>IF(OR(2676462.27457="",20.70533="",284.94001=""),"-",(284.94001-20.70533)/2676462.27457*100)</f>
        <v>9.8725351935869104E-3</v>
      </c>
      <c r="G104" s="15">
        <f>IF(OR(3582158.92973="",254.11065="",284.94001=""),"-",(254.11065-284.94001)/3582158.92973*100)</f>
        <v>-8.6063629796357744E-4</v>
      </c>
    </row>
    <row r="105" spans="1:7" x14ac:dyDescent="0.3">
      <c r="A105" s="26" t="s">
        <v>310</v>
      </c>
      <c r="B105" s="61">
        <v>251.14893000000001</v>
      </c>
      <c r="C105" s="15" t="s">
        <v>354</v>
      </c>
      <c r="D105" s="15">
        <f>IF(48.75823="","-",48.75823/3582158.92973*100)</f>
        <v>1.3611408917491854E-3</v>
      </c>
      <c r="E105" s="15">
        <f>IF(251.14893="","-",251.14893/3706619.37681*100)</f>
        <v>6.7756870740837824E-3</v>
      </c>
      <c r="F105" s="15">
        <f>IF(OR(2676462.27457="",45.82074="",48.75823=""),"-",(48.75823-45.82074)/2676462.27457*100)</f>
        <v>1.0975271454076197E-4</v>
      </c>
      <c r="G105" s="15">
        <f>IF(OR(3582158.92973="",251.14893="",48.75823=""),"-",(251.14893-48.75823)/3582158.92973*100)</f>
        <v>5.6499642804864305E-3</v>
      </c>
    </row>
    <row r="106" spans="1:7" x14ac:dyDescent="0.3">
      <c r="A106" s="26" t="s">
        <v>326</v>
      </c>
      <c r="B106" s="10">
        <v>231.54828000000001</v>
      </c>
      <c r="C106" s="15" t="s">
        <v>386</v>
      </c>
      <c r="D106" s="15">
        <f>IF(0.71172="","-",0.71172/3582158.92973*100)</f>
        <v>1.986846518989164E-5</v>
      </c>
      <c r="E106" s="15">
        <f>IF(231.54828="","-",231.54828/3706619.37681*100)</f>
        <v>6.2468858132197994E-3</v>
      </c>
      <c r="F106" s="15">
        <f>IF(OR(2676462.27457="",0.00285="",0.71172=""),"-",(0.71172-0.00285)/2676462.27457*100)</f>
        <v>2.6485335016122619E-5</v>
      </c>
      <c r="G106" s="15">
        <f>IF(OR(3582158.92973="",231.54828="",0.71172=""),"-",(231.54828-0.71172)/3582158.92973*100)</f>
        <v>6.4440624921518761E-3</v>
      </c>
    </row>
    <row r="107" spans="1:7" x14ac:dyDescent="0.3">
      <c r="A107" s="69" t="s">
        <v>122</v>
      </c>
      <c r="B107" s="61">
        <v>177.39868000000001</v>
      </c>
      <c r="C107" s="15">
        <f>IF(OR(184.40502="",177.39868=""),"-",177.39868/184.40502*100)</f>
        <v>96.200569810952004</v>
      </c>
      <c r="D107" s="15">
        <f>IF(184.40502="","-",184.40502/3582158.92973*100)</f>
        <v>5.1478737715833084E-3</v>
      </c>
      <c r="E107" s="15">
        <f>IF(177.39868="","-",177.39868/3706619.37681*100)</f>
        <v>4.7859966715188681E-3</v>
      </c>
      <c r="F107" s="15">
        <f>IF(OR(2676462.27457="",82.62265="",184.40502=""),"-",(184.40502-82.62265)/2676462.27457*100)</f>
        <v>3.8028695927108612E-3</v>
      </c>
      <c r="G107" s="15">
        <f>IF(OR(3582158.92973="",177.39868="",184.40502=""),"-",(177.39868-184.40502)/3582158.92973*100)</f>
        <v>-1.9558987017161985E-4</v>
      </c>
    </row>
    <row r="108" spans="1:7" x14ac:dyDescent="0.3">
      <c r="A108" s="26" t="s">
        <v>123</v>
      </c>
      <c r="B108" s="10">
        <v>169.04562999999999</v>
      </c>
      <c r="C108" s="15" t="s">
        <v>91</v>
      </c>
      <c r="D108" s="15">
        <f>IF(79.7766="","-",79.7766/3582158.92973*100)</f>
        <v>2.22705361668621E-3</v>
      </c>
      <c r="E108" s="15">
        <f>IF(169.04563="","-",169.04563/3706619.37681*100)</f>
        <v>4.5606417280828135E-3</v>
      </c>
      <c r="F108" s="15">
        <f>IF(OR(2676462.27457="",199.42235="",79.7766=""),"-",(79.7766-199.42235)/2676462.27457*100)</f>
        <v>-4.470294654880658E-3</v>
      </c>
      <c r="G108" s="15">
        <f>IF(OR(3582158.92973="",169.04563="",79.7766=""),"-",(169.04563-79.7766)/3582158.92973*100)</f>
        <v>2.4920454885213176E-3</v>
      </c>
    </row>
    <row r="109" spans="1:7" x14ac:dyDescent="0.3">
      <c r="A109" s="26" t="s">
        <v>58</v>
      </c>
      <c r="B109" s="61">
        <v>155.60407000000001</v>
      </c>
      <c r="C109" s="15">
        <f>IF(OR(338.54361="",155.60407=""),"-",155.60407/338.54361*100)</f>
        <v>45.962784528705178</v>
      </c>
      <c r="D109" s="15">
        <f>IF(338.54361="","-",338.54361/3582158.92973*100)</f>
        <v>9.450826070006817E-3</v>
      </c>
      <c r="E109" s="15">
        <f>IF(155.60407="","-",155.60407/3706619.37681*100)</f>
        <v>4.1980050871561671E-3</v>
      </c>
      <c r="F109" s="15">
        <f>IF(OR(2676462.27457="",102.90665="",338.54361=""),"-",(338.54361-102.90665)/2676462.27457*100)</f>
        <v>8.8040456328814659E-3</v>
      </c>
      <c r="G109" s="15">
        <f>IF(OR(3582158.92973="",155.60407="",338.54361=""),"-",(155.60407-338.54361)/3582158.92973*100)</f>
        <v>-5.1069632472668875E-3</v>
      </c>
    </row>
    <row r="110" spans="1:7" x14ac:dyDescent="0.3">
      <c r="A110" s="26" t="s">
        <v>199</v>
      </c>
      <c r="B110" s="10">
        <v>139.6164</v>
      </c>
      <c r="C110" s="15">
        <f>IF(OR(185.34322="",139.6164=""),"-",139.6164/185.34322*100)</f>
        <v>75.328571501023873</v>
      </c>
      <c r="D110" s="15">
        <f>IF(185.34322="","-",185.34322/3582158.92973*100)</f>
        <v>5.1740646809875068E-3</v>
      </c>
      <c r="E110" s="15">
        <f>IF(139.6164="","-",139.6164/3706619.37681*100)</f>
        <v>3.76667755188171E-3</v>
      </c>
      <c r="F110" s="15">
        <f>IF(OR(2676462.27457="",18.08309="",185.34322=""),"-",(185.34322-18.08309)/2676462.27457*100)</f>
        <v>6.2492989940189604E-3</v>
      </c>
      <c r="G110" s="15">
        <f>IF(OR(3582158.92973="",139.6164="",185.34322=""),"-",(139.6164-185.34322)/3582158.92973*100)</f>
        <v>-1.2765156682606094E-3</v>
      </c>
    </row>
    <row r="111" spans="1:7" x14ac:dyDescent="0.3">
      <c r="A111" s="26" t="s">
        <v>284</v>
      </c>
      <c r="B111" s="61">
        <v>119.07965</v>
      </c>
      <c r="C111" s="15">
        <f>IF(OR(76.05331="",119.07965=""),"-",119.07965/76.05331*100)</f>
        <v>156.57392163470598</v>
      </c>
      <c r="D111" s="15">
        <f>IF(76.05331="","-",76.05331/3582158.92973*100)</f>
        <v>2.1231137839473921E-3</v>
      </c>
      <c r="E111" s="15">
        <f>IF(119.07965="","-",119.07965/3706619.37681*100)</f>
        <v>3.2126214724124877E-3</v>
      </c>
      <c r="F111" s="15">
        <f>IF(OR(2676462.27457="",0.78782="",76.05331=""),"-",(76.05331-0.78782)/2676462.27457*100)</f>
        <v>2.8121259438297947E-3</v>
      </c>
      <c r="G111" s="15">
        <f>IF(OR(3582158.92973="",119.07965="",76.05331=""),"-",(119.07965-76.05331)/3582158.92973*100)</f>
        <v>1.2011287283460383E-3</v>
      </c>
    </row>
    <row r="112" spans="1:7" x14ac:dyDescent="0.3">
      <c r="A112" s="26" t="s">
        <v>370</v>
      </c>
      <c r="B112" s="61">
        <v>118.20273</v>
      </c>
      <c r="C112" s="15">
        <f>IF(OR(108.23428="",118.20273=""),"-",118.20273/108.23428*100)</f>
        <v>109.21006727258684</v>
      </c>
      <c r="D112" s="15">
        <f>IF(108.23428="","-",108.23428/3582158.92973*100)</f>
        <v>3.0214817969608622E-3</v>
      </c>
      <c r="E112" s="15">
        <f>IF(118.20273="","-",118.20273/3706619.37681*100)</f>
        <v>3.1889632569106117E-3</v>
      </c>
      <c r="F112" s="15">
        <f>IF(OR(2676462.27457="",18.89775="",108.23428=""),"-",(108.23428-18.89775)/2676462.27457*100)</f>
        <v>3.3378587416986022E-3</v>
      </c>
      <c r="G112" s="15">
        <f>IF(OR(3582158.92973="",118.20273="",108.23428=""),"-",(118.20273-108.23428)/3582158.92973*100)</f>
        <v>2.7828050612906119E-4</v>
      </c>
    </row>
    <row r="113" spans="1:7" x14ac:dyDescent="0.3">
      <c r="A113" s="26" t="s">
        <v>333</v>
      </c>
      <c r="B113" s="61">
        <v>100.76053</v>
      </c>
      <c r="C113" s="15">
        <f>IF(OR(82.01018="",100.76053=""),"-",100.76053/82.01018*100)</f>
        <v>122.86344207511799</v>
      </c>
      <c r="D113" s="15">
        <f>IF(82.01018="","-",82.01018/3582158.92973*100)</f>
        <v>2.2894065173758608E-3</v>
      </c>
      <c r="E113" s="15">
        <f>IF(100.76053="","-",100.76053/3706619.37681*100)</f>
        <v>2.7183943037258061E-3</v>
      </c>
      <c r="F113" s="15">
        <f>IF(OR(2676462.27457="",73.69908="",82.01018=""),"-",(82.01018-73.69908)/2676462.27457*100)</f>
        <v>3.1052557994060538E-4</v>
      </c>
      <c r="G113" s="15">
        <f>IF(OR(3582158.92973="",100.76053="",82.01018=""),"-",(100.76053-82.01018)/3582158.92973*100)</f>
        <v>5.2343713296420591E-4</v>
      </c>
    </row>
    <row r="114" spans="1:7" x14ac:dyDescent="0.3">
      <c r="A114" s="26" t="s">
        <v>341</v>
      </c>
      <c r="B114" s="61">
        <v>91.377489999999995</v>
      </c>
      <c r="C114" s="15" t="s">
        <v>387</v>
      </c>
      <c r="D114" s="15">
        <f>IF(0.96429="","-",0.96429/3582158.92973*100)</f>
        <v>2.6919241131288443E-5</v>
      </c>
      <c r="E114" s="15">
        <f>IF(91.37749="","-",91.37749/3706619.37681*100)</f>
        <v>2.4652515057707793E-3</v>
      </c>
      <c r="F114" s="15">
        <f>IF(OR(2676462.27457="",0.49835="",0.96429=""),"-",(0.96429-0.49835)/2676462.27457*100)</f>
        <v>1.7408801328046287E-5</v>
      </c>
      <c r="G114" s="15">
        <f>IF(OR(3582158.92973="",91.37749="",0.96429=""),"-",(91.37749-0.96429)/3582158.92973*100)</f>
        <v>2.5239862823957606E-3</v>
      </c>
    </row>
    <row r="115" spans="1:7" x14ac:dyDescent="0.3">
      <c r="A115" s="26" t="s">
        <v>346</v>
      </c>
      <c r="B115" s="61">
        <v>85.445070000000001</v>
      </c>
      <c r="C115" s="15">
        <f>IF(OR(54.67547="",85.44507=""),"-",85.44507/54.67547*100)</f>
        <v>156.27679103627275</v>
      </c>
      <c r="D115" s="15">
        <f>IF(54.67547="","-",54.67547/3582158.92973*100)</f>
        <v>1.5263273091046545E-3</v>
      </c>
      <c r="E115" s="15">
        <f>IF(85.44507="","-",85.44507/3706619.37681*100)</f>
        <v>2.3052021616941946E-3</v>
      </c>
      <c r="F115" s="15">
        <f>IF(OR(2676462.27457="",1.27761="",54.67547=""),"-",(54.67547-1.27761)/2676462.27457*100)</f>
        <v>1.9950910762819882E-3</v>
      </c>
      <c r="G115" s="15">
        <f>IF(OR(3582158.92973="",85.44507="",54.67547=""),"-",(85.44507-54.67547)/3582158.92973*100)</f>
        <v>8.5896803027439139E-4</v>
      </c>
    </row>
    <row r="116" spans="1:7" x14ac:dyDescent="0.3">
      <c r="A116" s="26" t="s">
        <v>331</v>
      </c>
      <c r="B116" s="61">
        <v>75.185599999999994</v>
      </c>
      <c r="C116" s="15" t="s">
        <v>388</v>
      </c>
      <c r="D116" s="15">
        <f>IF(1.64603="","-",1.64603/3582158.92973*100)</f>
        <v>4.595078086398772E-5</v>
      </c>
      <c r="E116" s="15">
        <f>IF(75.1856="","-",75.1856/3706619.37681*100)</f>
        <v>2.0284143678304086E-3</v>
      </c>
      <c r="F116" s="15">
        <f>IF(OR(2676462.27457="",22.19524="",1.64603=""),"-",(1.64603-22.19524)/2676462.27457*100)</f>
        <v>-7.6777506618513544E-4</v>
      </c>
      <c r="G116" s="15">
        <f>IF(OR(3582158.92973="",75.1856="",1.64603=""),"-",(75.1856-1.64603)/3582158.92973*100)</f>
        <v>2.0529399014002692E-3</v>
      </c>
    </row>
    <row r="117" spans="1:7" x14ac:dyDescent="0.3">
      <c r="A117" s="26" t="s">
        <v>332</v>
      </c>
      <c r="B117" s="61">
        <v>74.787390000000002</v>
      </c>
      <c r="C117" s="15" t="s">
        <v>389</v>
      </c>
      <c r="D117" s="15">
        <f>IF(18.87952="","-",18.87952/3582158.92973*100)</f>
        <v>5.2704305895838683E-4</v>
      </c>
      <c r="E117" s="15">
        <f>IF(74.78739="","-",74.78739/3706619.37681*100)</f>
        <v>2.0176711552283449E-3</v>
      </c>
      <c r="F117" s="15">
        <f>IF(OR(2676462.27457="",75.2504="",18.87952=""),"-",(18.87952-75.2504)/2676462.27457*100)</f>
        <v>-2.1061712894517273E-3</v>
      </c>
      <c r="G117" s="15">
        <f>IF(OR(3582158.92973="",74.78739="",18.87952=""),"-",(74.78739-18.87952)/3582158.92973*100)</f>
        <v>1.5607311427752308E-3</v>
      </c>
    </row>
    <row r="118" spans="1:7" x14ac:dyDescent="0.3">
      <c r="A118" s="26" t="s">
        <v>102</v>
      </c>
      <c r="B118" s="61">
        <v>74.710120000000003</v>
      </c>
      <c r="C118" s="15">
        <f>IF(OR(289.14913="",74.71012=""),"-",74.71012/289.14913*100)</f>
        <v>25.837919692167155</v>
      </c>
      <c r="D118" s="15">
        <f>IF(289.14913="","-",289.14913/3582158.92973*100)</f>
        <v>8.0719235430962363E-3</v>
      </c>
      <c r="E118" s="15">
        <f>IF(74.71012="","-",74.71012/3706619.37681*100)</f>
        <v>2.0155865063301217E-3</v>
      </c>
      <c r="F118" s="15">
        <f>IF(OR(2676462.27457="",158.41629="",289.14913=""),"-",(289.14913-158.41629)/2676462.27457*100)</f>
        <v>4.8845388646848583E-3</v>
      </c>
      <c r="G118" s="15">
        <f>IF(OR(3582158.92973="",74.71012="",289.14913=""),"-",(74.71012-289.14913)/3582158.92973*100)</f>
        <v>-5.9863064204178969E-3</v>
      </c>
    </row>
    <row r="119" spans="1:7" x14ac:dyDescent="0.3">
      <c r="A119" s="26" t="s">
        <v>345</v>
      </c>
      <c r="B119" s="10">
        <v>55.731630000000003</v>
      </c>
      <c r="C119" s="15" t="str">
        <f>IF(OR(""="",55.73163=""),"-",55.73163/""*100)</f>
        <v>-</v>
      </c>
      <c r="D119" s="15" t="str">
        <f>IF(""="","-",""/3582158.92973*100)</f>
        <v>-</v>
      </c>
      <c r="E119" s="15">
        <f>IF(55.73163="","-",55.73163/3706619.37681*100)</f>
        <v>1.5035703516977754E-3</v>
      </c>
      <c r="F119" s="15" t="str">
        <f>IF(OR(2676462.27457="",98.96047="",""=""),"-",(""-98.96047)/2676462.27457*100)</f>
        <v>-</v>
      </c>
      <c r="G119" s="15" t="str">
        <f>IF(OR(3582158.92973="",55.73163="",""=""),"-",(55.73163-"")/3582158.92973*100)</f>
        <v>-</v>
      </c>
    </row>
    <row r="120" spans="1:7" x14ac:dyDescent="0.3">
      <c r="A120" s="26" t="s">
        <v>371</v>
      </c>
      <c r="B120" s="61">
        <v>52.736420000000003</v>
      </c>
      <c r="C120" s="15">
        <f>IF(OR(87.19849="",52.73642=""),"-",52.73642/87.19849*100)</f>
        <v>60.478593149950186</v>
      </c>
      <c r="D120" s="15">
        <f>IF(87.19849="","-",87.19849/3582158.92973*100)</f>
        <v>2.4342440330131433E-3</v>
      </c>
      <c r="E120" s="15">
        <f>IF(52.73642="","-",52.73642/3706619.37681*100)</f>
        <v>1.4227632955770644E-3</v>
      </c>
      <c r="F120" s="15">
        <f>IF(OR(2676462.27457="",53.24863="",87.19849=""),"-",(87.19849-53.24863)/2676462.27457*100)</f>
        <v>1.2684602477893842E-3</v>
      </c>
      <c r="G120" s="15">
        <f>IF(OR(3582158.92973="",52.73642="",87.19849=""),"-",(52.73642-87.19849)/3582158.92973*100)</f>
        <v>-9.6204748801018527E-4</v>
      </c>
    </row>
    <row r="121" spans="1:7" x14ac:dyDescent="0.3">
      <c r="A121" s="26" t="s">
        <v>372</v>
      </c>
      <c r="B121" s="10">
        <v>50.662689999999998</v>
      </c>
      <c r="C121" s="15">
        <f>IF(OR(50.99259="",50.66269=""),"-",50.66269/50.99259*100)</f>
        <v>99.353043255892672</v>
      </c>
      <c r="D121" s="15">
        <f>IF(50.99259="","-",50.99259/3582158.92973*100)</f>
        <v>1.4235155670171086E-3</v>
      </c>
      <c r="E121" s="15">
        <f>IF(50.66269="","-",50.66269/3706619.37681*100)</f>
        <v>1.3668166285690075E-3</v>
      </c>
      <c r="F121" s="15">
        <f>IF(OR(2676462.27457="",26.71017="",50.99259=""),"-",(50.99259-26.71017)/2676462.27457*100)</f>
        <v>9.0725807087645985E-4</v>
      </c>
      <c r="G121" s="15">
        <f>IF(OR(3582158.92973="",50.66269="",50.99259=""),"-",(50.66269-50.99259)/3582158.92973*100)</f>
        <v>-9.2095299642349427E-6</v>
      </c>
    </row>
    <row r="122" spans="1:7" x14ac:dyDescent="0.3">
      <c r="A122" s="27" t="s">
        <v>373</v>
      </c>
      <c r="B122" s="64">
        <v>50.454450000000001</v>
      </c>
      <c r="C122" s="18" t="s">
        <v>18</v>
      </c>
      <c r="D122" s="18">
        <f>IF(25.50872="","-",25.50872/3582158.92973*100)</f>
        <v>7.1210464137398503E-4</v>
      </c>
      <c r="E122" s="18">
        <f>IF(50.45445="","-",50.45445/3706619.37681*100)</f>
        <v>1.3611985712820138E-3</v>
      </c>
      <c r="F122" s="18">
        <f>IF(OR(2676462.27457="",44.96356="",25.50872=""),"-",(25.50872-44.96356)/2676462.27457*100)</f>
        <v>-7.2688638972599057E-4</v>
      </c>
      <c r="G122" s="18">
        <f>IF(OR(3582158.92973="",50.45445="",25.50872=""),"-",(50.45445-25.50872)/3582158.92973*100)</f>
        <v>6.9638814160264653E-4</v>
      </c>
    </row>
    <row r="123" spans="1:7" x14ac:dyDescent="0.3">
      <c r="A123" s="19" t="s">
        <v>276</v>
      </c>
      <c r="B123" s="20"/>
      <c r="C123" s="35"/>
      <c r="D123" s="20"/>
      <c r="E123" s="20"/>
      <c r="F123" s="2"/>
      <c r="G123" s="2"/>
    </row>
    <row r="124" spans="1:7" x14ac:dyDescent="0.3">
      <c r="A124" s="72" t="s">
        <v>318</v>
      </c>
      <c r="B124" s="72"/>
      <c r="C124" s="72"/>
      <c r="D124" s="72"/>
      <c r="E124" s="72"/>
      <c r="F124" s="2"/>
      <c r="G124" s="2"/>
    </row>
  </sheetData>
  <mergeCells count="7">
    <mergeCell ref="A124:E124"/>
    <mergeCell ref="A1:G1"/>
    <mergeCell ref="A3:A4"/>
    <mergeCell ref="B3:C3"/>
    <mergeCell ref="D3:E3"/>
    <mergeCell ref="F3:G3"/>
    <mergeCell ref="A2:G2"/>
  </mergeCells>
  <phoneticPr fontId="6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135"/>
  <sheetViews>
    <sheetView workbookViewId="0">
      <selection sqref="A1:D1"/>
    </sheetView>
  </sheetViews>
  <sheetFormatPr defaultRowHeight="15.6" x14ac:dyDescent="0.3"/>
  <cols>
    <col min="1" max="1" width="48.19921875" customWidth="1"/>
    <col min="2" max="2" width="14.09765625" customWidth="1"/>
    <col min="3" max="3" width="14" customWidth="1"/>
    <col min="4" max="4" width="13.09765625" customWidth="1"/>
  </cols>
  <sheetData>
    <row r="1" spans="1:4" ht="16.2" x14ac:dyDescent="0.35">
      <c r="A1" s="83" t="s">
        <v>287</v>
      </c>
      <c r="B1" s="83"/>
      <c r="C1" s="83"/>
      <c r="D1" s="83"/>
    </row>
    <row r="2" spans="1:4" ht="16.2" x14ac:dyDescent="0.35">
      <c r="A2" s="84"/>
      <c r="B2" s="84"/>
      <c r="C2" s="84"/>
      <c r="D2" s="84"/>
    </row>
    <row r="3" spans="1:4" ht="69" customHeight="1" x14ac:dyDescent="0.3">
      <c r="A3" s="40"/>
      <c r="B3" s="40" t="s">
        <v>406</v>
      </c>
      <c r="C3" s="41" t="s">
        <v>407</v>
      </c>
      <c r="D3" s="41" t="s">
        <v>364</v>
      </c>
    </row>
    <row r="4" spans="1:4" s="1" customFormat="1" ht="16.5" customHeight="1" x14ac:dyDescent="0.25">
      <c r="A4" s="47" t="s">
        <v>322</v>
      </c>
      <c r="B4" s="48">
        <v>-1707204.5426</v>
      </c>
      <c r="C4" s="48">
        <v>-1981135.6261400001</v>
      </c>
      <c r="D4" s="48">
        <f>IF(-1707204.5426="","-",-1981135.62614/-1707204.5426*100)</f>
        <v>116.04559247029735</v>
      </c>
    </row>
    <row r="5" spans="1:4" x14ac:dyDescent="0.3">
      <c r="A5" s="17" t="s">
        <v>121</v>
      </c>
      <c r="B5" s="30"/>
      <c r="C5" s="30"/>
      <c r="D5" s="30"/>
    </row>
    <row r="6" spans="1:4" x14ac:dyDescent="0.3">
      <c r="A6" s="25" t="s">
        <v>302</v>
      </c>
      <c r="B6" s="16">
        <v>-400696.38634000003</v>
      </c>
      <c r="C6" s="16">
        <v>-734478.06698</v>
      </c>
      <c r="D6" s="16" t="s">
        <v>194</v>
      </c>
    </row>
    <row r="7" spans="1:4" x14ac:dyDescent="0.3">
      <c r="A7" s="26" t="s">
        <v>4</v>
      </c>
      <c r="B7" s="15">
        <v>-131829.39694000001</v>
      </c>
      <c r="C7" s="15">
        <v>-164054.29795000001</v>
      </c>
      <c r="D7" s="15">
        <f>IF(OR(-131829.39694="",-164054.29795="",-131829.39694=0),"-",-164054.29795/-131829.39694*100)</f>
        <v>124.4443968932564</v>
      </c>
    </row>
    <row r="8" spans="1:4" x14ac:dyDescent="0.3">
      <c r="A8" s="26" t="s">
        <v>3</v>
      </c>
      <c r="B8" s="15">
        <v>-14313.691279999999</v>
      </c>
      <c r="C8" s="15">
        <v>-79764.770040000003</v>
      </c>
      <c r="D8" s="15" t="s">
        <v>390</v>
      </c>
    </row>
    <row r="9" spans="1:4" x14ac:dyDescent="0.3">
      <c r="A9" s="26" t="s">
        <v>288</v>
      </c>
      <c r="B9" s="15">
        <v>-70280.369089999993</v>
      </c>
      <c r="C9" s="15">
        <v>-78101.059020000001</v>
      </c>
      <c r="D9" s="15">
        <f>IF(OR(-70280.36909="",-78101.05902="",-70280.36909=0),"-",-78101.05902/-70280.36909*100)</f>
        <v>111.12784413523062</v>
      </c>
    </row>
    <row r="10" spans="1:4" x14ac:dyDescent="0.3">
      <c r="A10" s="26" t="s">
        <v>5</v>
      </c>
      <c r="B10" s="15">
        <v>-63426.72236</v>
      </c>
      <c r="C10" s="15">
        <v>-75526.011180000001</v>
      </c>
      <c r="D10" s="15">
        <f>IF(OR(-63426.72236="",-75526.01118="",-63426.72236=0),"-",-75526.01118/-63426.72236*100)</f>
        <v>119.07601145038893</v>
      </c>
    </row>
    <row r="11" spans="1:4" x14ac:dyDescent="0.3">
      <c r="A11" s="26" t="s">
        <v>40</v>
      </c>
      <c r="B11" s="15">
        <v>-56628.648650000003</v>
      </c>
      <c r="C11" s="15">
        <v>-60675.207219999997</v>
      </c>
      <c r="D11" s="15">
        <f>IF(OR(-56628.64865="",-60675.20722="",-56628.64865=0),"-",-60675.20722/-56628.64865*100)</f>
        <v>107.1457798596082</v>
      </c>
    </row>
    <row r="12" spans="1:4" x14ac:dyDescent="0.3">
      <c r="A12" s="26" t="s">
        <v>8</v>
      </c>
      <c r="B12" s="15">
        <v>2944.35527</v>
      </c>
      <c r="C12" s="15">
        <v>-53156.151850000002</v>
      </c>
      <c r="D12" s="15" t="s">
        <v>20</v>
      </c>
    </row>
    <row r="13" spans="1:4" x14ac:dyDescent="0.3">
      <c r="A13" s="26" t="s">
        <v>6</v>
      </c>
      <c r="B13" s="15">
        <v>36353.296399999999</v>
      </c>
      <c r="C13" s="15">
        <v>-41295.130279999998</v>
      </c>
      <c r="D13" s="15" t="s">
        <v>20</v>
      </c>
    </row>
    <row r="14" spans="1:4" x14ac:dyDescent="0.3">
      <c r="A14" s="26" t="s">
        <v>7</v>
      </c>
      <c r="B14" s="15">
        <v>-24910.16848</v>
      </c>
      <c r="C14" s="15">
        <v>-32696.557270000001</v>
      </c>
      <c r="D14" s="15">
        <f>IF(OR(-24910.16848="",-32696.55727="",-24910.16848=0),"-",-32696.55727/-24910.16848*100)</f>
        <v>131.25787284920042</v>
      </c>
    </row>
    <row r="15" spans="1:4" x14ac:dyDescent="0.3">
      <c r="A15" s="26" t="s">
        <v>42</v>
      </c>
      <c r="B15" s="15">
        <v>-16087.341410000001</v>
      </c>
      <c r="C15" s="15">
        <v>-29466.168900000001</v>
      </c>
      <c r="D15" s="15" t="s">
        <v>194</v>
      </c>
    </row>
    <row r="16" spans="1:4" x14ac:dyDescent="0.3">
      <c r="A16" s="26" t="s">
        <v>2</v>
      </c>
      <c r="B16" s="15">
        <v>35759.62455</v>
      </c>
      <c r="C16" s="15">
        <v>-27330.86274</v>
      </c>
      <c r="D16" s="15" t="s">
        <v>20</v>
      </c>
    </row>
    <row r="17" spans="1:4" x14ac:dyDescent="0.3">
      <c r="A17" s="26" t="s">
        <v>301</v>
      </c>
      <c r="B17" s="15">
        <v>3948.6158700000001</v>
      </c>
      <c r="C17" s="15">
        <v>-21366.913649999999</v>
      </c>
      <c r="D17" s="15" t="s">
        <v>20</v>
      </c>
    </row>
    <row r="18" spans="1:4" x14ac:dyDescent="0.3">
      <c r="A18" s="26" t="s">
        <v>39</v>
      </c>
      <c r="B18" s="15">
        <v>-12179.73821</v>
      </c>
      <c r="C18" s="15">
        <v>-19223.90526</v>
      </c>
      <c r="D18" s="15">
        <f>IF(OR(-12179.73821="",-19223.90526="",-12179.73821=0),"-",-19223.90526/-12179.73821*100)</f>
        <v>157.83512690130308</v>
      </c>
    </row>
    <row r="19" spans="1:4" x14ac:dyDescent="0.3">
      <c r="A19" s="26" t="s">
        <v>48</v>
      </c>
      <c r="B19" s="15">
        <v>-13254.80075</v>
      </c>
      <c r="C19" s="15">
        <v>-16691.417730000001</v>
      </c>
      <c r="D19" s="15">
        <f>IF(OR(-13254.80075="",-16691.41773="",-13254.80075=0),"-",-16691.41773/-13254.80075*100)</f>
        <v>125.92733791188826</v>
      </c>
    </row>
    <row r="20" spans="1:4" x14ac:dyDescent="0.3">
      <c r="A20" s="26" t="s">
        <v>38</v>
      </c>
      <c r="B20" s="15">
        <v>-32753.65006</v>
      </c>
      <c r="C20" s="15">
        <v>-14629.750099999999</v>
      </c>
      <c r="D20" s="15">
        <f>IF(OR(-32753.65006="",-14629.7501="",-32753.65006=0),"-",-14629.7501/-32753.65006*100)</f>
        <v>44.666014545555662</v>
      </c>
    </row>
    <row r="21" spans="1:4" x14ac:dyDescent="0.3">
      <c r="A21" s="26" t="s">
        <v>49</v>
      </c>
      <c r="B21" s="15">
        <v>2211.2051200000001</v>
      </c>
      <c r="C21" s="15">
        <v>-14134.05075</v>
      </c>
      <c r="D21" s="15" t="s">
        <v>20</v>
      </c>
    </row>
    <row r="22" spans="1:4" x14ac:dyDescent="0.3">
      <c r="A22" s="26" t="s">
        <v>50</v>
      </c>
      <c r="B22" s="15">
        <v>-11808.223959999999</v>
      </c>
      <c r="C22" s="15">
        <v>-12407.835929999999</v>
      </c>
      <c r="D22" s="15">
        <f>IF(OR(-11808.22396="",-12407.83593="",-11808.22396=0),"-",-12407.83593/-11808.22396*100)</f>
        <v>105.07791833921145</v>
      </c>
    </row>
    <row r="23" spans="1:4" x14ac:dyDescent="0.3">
      <c r="A23" s="26" t="s">
        <v>47</v>
      </c>
      <c r="B23" s="15">
        <v>-7635.5402100000001</v>
      </c>
      <c r="C23" s="15">
        <v>-7627.2284399999999</v>
      </c>
      <c r="D23" s="15">
        <f>IF(OR(-7635.54021="",-7627.22844="",-7635.54021=0),"-",-7627.22844/-7635.54021*100)</f>
        <v>99.89114365491632</v>
      </c>
    </row>
    <row r="24" spans="1:4" x14ac:dyDescent="0.3">
      <c r="A24" s="26" t="s">
        <v>46</v>
      </c>
      <c r="B24" s="15">
        <v>-8624.0732499999995</v>
      </c>
      <c r="C24" s="15">
        <v>-7333.2764699999998</v>
      </c>
      <c r="D24" s="15">
        <f>IF(OR(-8624.07325="",-7333.27647="",-8624.07325=0),"-",-7333.27647/-8624.07325*100)</f>
        <v>85.032631999038273</v>
      </c>
    </row>
    <row r="25" spans="1:4" x14ac:dyDescent="0.3">
      <c r="A25" s="26" t="s">
        <v>43</v>
      </c>
      <c r="B25" s="15">
        <v>-5523.6925600000004</v>
      </c>
      <c r="C25" s="15">
        <v>-5371.4642400000002</v>
      </c>
      <c r="D25" s="15">
        <f>IF(OR(-5523.69256="",-5371.46424="",-5523.69256=0),"-",-5371.46424/-5523.69256*100)</f>
        <v>97.244084127665502</v>
      </c>
    </row>
    <row r="26" spans="1:4" x14ac:dyDescent="0.3">
      <c r="A26" s="26" t="s">
        <v>51</v>
      </c>
      <c r="B26" s="15">
        <v>-3687.6549100000002</v>
      </c>
      <c r="C26" s="15">
        <v>-2802.9241400000001</v>
      </c>
      <c r="D26" s="15">
        <f>IF(OR(-3687.65491="",-2802.92414="",-3687.65491=0),"-",-2802.92414/-3687.65491*100)</f>
        <v>76.008309031280803</v>
      </c>
    </row>
    <row r="27" spans="1:4" x14ac:dyDescent="0.3">
      <c r="A27" s="26" t="s">
        <v>44</v>
      </c>
      <c r="B27" s="15">
        <v>-389.99299000000002</v>
      </c>
      <c r="C27" s="15">
        <v>-1009.32321</v>
      </c>
      <c r="D27" s="15" t="s">
        <v>305</v>
      </c>
    </row>
    <row r="28" spans="1:4" x14ac:dyDescent="0.3">
      <c r="A28" s="26" t="s">
        <v>52</v>
      </c>
      <c r="B28" s="15">
        <v>-1178.50234</v>
      </c>
      <c r="C28" s="15">
        <v>-807.74291000000005</v>
      </c>
      <c r="D28" s="15">
        <f>IF(OR(-1178.50234="",-807.74291="",-1178.50234=0),"-",-807.74291/-1178.50234*100)</f>
        <v>68.5397799040433</v>
      </c>
    </row>
    <row r="29" spans="1:4" x14ac:dyDescent="0.3">
      <c r="A29" s="26" t="s">
        <v>53</v>
      </c>
      <c r="B29" s="15">
        <v>-24.664210000000001</v>
      </c>
      <c r="C29" s="15">
        <v>-5.3334599999999996</v>
      </c>
      <c r="D29" s="15">
        <f>IF(OR(-24.66421="",-5.33346="",-24.66421=0),"-",-5.33346/-24.66421*100)</f>
        <v>21.62428879741131</v>
      </c>
    </row>
    <row r="30" spans="1:4" ht="14.25" customHeight="1" x14ac:dyDescent="0.3">
      <c r="A30" s="26" t="s">
        <v>349</v>
      </c>
      <c r="B30" s="15">
        <v>-75.584540000000004</v>
      </c>
      <c r="C30" s="15">
        <v>-2.7730899999999998</v>
      </c>
      <c r="D30" s="15">
        <f>IF(OR(-75.58454="",-2.77309="",-75.58454=0),"-",-2.77309/-75.58454*100)</f>
        <v>3.6688587375143111</v>
      </c>
    </row>
    <row r="31" spans="1:4" x14ac:dyDescent="0.3">
      <c r="A31" s="26" t="s">
        <v>289</v>
      </c>
      <c r="B31" s="15">
        <v>-2751.4787200000001</v>
      </c>
      <c r="C31" s="15">
        <v>1077.5262499999999</v>
      </c>
      <c r="D31" s="15" t="s">
        <v>20</v>
      </c>
    </row>
    <row r="32" spans="1:4" ht="16.5" customHeight="1" x14ac:dyDescent="0.3">
      <c r="A32" s="26" t="s">
        <v>41</v>
      </c>
      <c r="B32" s="15">
        <v>-3104.0260899999998</v>
      </c>
      <c r="C32" s="15">
        <v>3518.26854</v>
      </c>
      <c r="D32" s="15" t="s">
        <v>20</v>
      </c>
    </row>
    <row r="33" spans="1:4" x14ac:dyDescent="0.3">
      <c r="A33" s="26" t="s">
        <v>295</v>
      </c>
      <c r="B33" s="15">
        <v>-12389.74446</v>
      </c>
      <c r="C33" s="15">
        <v>5020.8731699999998</v>
      </c>
      <c r="D33" s="15" t="s">
        <v>20</v>
      </c>
    </row>
    <row r="34" spans="1:4" x14ac:dyDescent="0.3">
      <c r="A34" s="26" t="s">
        <v>45</v>
      </c>
      <c r="B34" s="15">
        <v>10944.22192</v>
      </c>
      <c r="C34" s="15">
        <v>21385.420890000001</v>
      </c>
      <c r="D34" s="15" t="s">
        <v>18</v>
      </c>
    </row>
    <row r="35" spans="1:4" x14ac:dyDescent="0.3">
      <c r="A35" s="25" t="s">
        <v>195</v>
      </c>
      <c r="B35" s="16">
        <v>-719046.44418999995</v>
      </c>
      <c r="C35" s="16">
        <v>-344386.07309999998</v>
      </c>
      <c r="D35" s="16">
        <f>IF(-719046.44419="","-",-344386.0731/-719046.44419*100)</f>
        <v>47.894830143823064</v>
      </c>
    </row>
    <row r="36" spans="1:4" x14ac:dyDescent="0.3">
      <c r="A36" s="26" t="s">
        <v>10</v>
      </c>
      <c r="B36" s="15">
        <v>-153337.57402999999</v>
      </c>
      <c r="C36" s="15">
        <v>-195160.13842</v>
      </c>
      <c r="D36" s="15">
        <f>IF(OR(-153337.57403="",-195160.13842="",-153337.57403=0),"-",-195160.13842/-153337.57403*100)</f>
        <v>127.27483113944243</v>
      </c>
    </row>
    <row r="37" spans="1:4" x14ac:dyDescent="0.3">
      <c r="A37" s="26" t="s">
        <v>290</v>
      </c>
      <c r="B37" s="15">
        <v>-521640.56715000002</v>
      </c>
      <c r="C37" s="15">
        <v>-110070.15794</v>
      </c>
      <c r="D37" s="15">
        <f>IF(OR(-521640.56715="",-110070.15794="",-521640.56715=0),"-",-110070.15794/-521640.56715*100)</f>
        <v>21.100766480140116</v>
      </c>
    </row>
    <row r="38" spans="1:4" x14ac:dyDescent="0.3">
      <c r="A38" s="26" t="s">
        <v>11</v>
      </c>
      <c r="B38" s="15">
        <v>-3054.4378299999998</v>
      </c>
      <c r="C38" s="15">
        <v>-26457.867829999999</v>
      </c>
      <c r="D38" s="15" t="s">
        <v>391</v>
      </c>
    </row>
    <row r="39" spans="1:4" x14ac:dyDescent="0.3">
      <c r="A39" s="26" t="s">
        <v>12</v>
      </c>
      <c r="B39" s="15">
        <v>-6585.3866200000002</v>
      </c>
      <c r="C39" s="15">
        <v>-11126.09071</v>
      </c>
      <c r="D39" s="15" t="s">
        <v>99</v>
      </c>
    </row>
    <row r="40" spans="1:4" x14ac:dyDescent="0.3">
      <c r="A40" s="26" t="s">
        <v>14</v>
      </c>
      <c r="B40" s="15">
        <v>-4140.4522500000003</v>
      </c>
      <c r="C40" s="15">
        <v>-8196.7326699999994</v>
      </c>
      <c r="D40" s="15" t="s">
        <v>18</v>
      </c>
    </row>
    <row r="41" spans="1:4" x14ac:dyDescent="0.3">
      <c r="A41" s="26" t="s">
        <v>13</v>
      </c>
      <c r="B41" s="15">
        <v>-5506.8141599999999</v>
      </c>
      <c r="C41" s="15">
        <v>-409.15992</v>
      </c>
      <c r="D41" s="15">
        <f>IF(OR(-5506.81416="",-409.15992="",-5506.81416=0),"-",-409.15992/-5506.81416*100)</f>
        <v>7.4300658804146034</v>
      </c>
    </row>
    <row r="42" spans="1:4" x14ac:dyDescent="0.3">
      <c r="A42" s="26" t="s">
        <v>15</v>
      </c>
      <c r="B42" s="15">
        <v>-9.2223000000000006</v>
      </c>
      <c r="C42" s="15">
        <v>-135.73033000000001</v>
      </c>
      <c r="D42" s="15" t="s">
        <v>392</v>
      </c>
    </row>
    <row r="43" spans="1:4" x14ac:dyDescent="0.3">
      <c r="A43" s="26" t="s">
        <v>16</v>
      </c>
      <c r="B43" s="15">
        <v>41.649030000000003</v>
      </c>
      <c r="C43" s="15">
        <v>87.32902</v>
      </c>
      <c r="D43" s="15" t="s">
        <v>91</v>
      </c>
    </row>
    <row r="44" spans="1:4" x14ac:dyDescent="0.3">
      <c r="A44" s="26" t="s">
        <v>296</v>
      </c>
      <c r="B44" s="15">
        <v>-2538.61697</v>
      </c>
      <c r="C44" s="15">
        <v>2782.0999099999999</v>
      </c>
      <c r="D44" s="15" t="s">
        <v>20</v>
      </c>
    </row>
    <row r="45" spans="1:4" x14ac:dyDescent="0.3">
      <c r="A45" s="26" t="s">
        <v>9</v>
      </c>
      <c r="B45" s="15">
        <v>-22275.021909999999</v>
      </c>
      <c r="C45" s="15">
        <v>4300.3757900000001</v>
      </c>
      <c r="D45" s="15" t="s">
        <v>20</v>
      </c>
    </row>
    <row r="46" spans="1:4" x14ac:dyDescent="0.3">
      <c r="A46" s="25" t="s">
        <v>130</v>
      </c>
      <c r="B46" s="16">
        <v>-587461.71207000001</v>
      </c>
      <c r="C46" s="16">
        <v>-902271.48606000002</v>
      </c>
      <c r="D46" s="16">
        <f>IF(-587461.71207="","-",-902271.48606/-587461.71207*100)</f>
        <v>153.58813477064328</v>
      </c>
    </row>
    <row r="47" spans="1:4" x14ac:dyDescent="0.3">
      <c r="A47" s="26" t="s">
        <v>57</v>
      </c>
      <c r="B47" s="15">
        <v>-329258.84873000003</v>
      </c>
      <c r="C47" s="15">
        <v>-378435.18138999998</v>
      </c>
      <c r="D47" s="15">
        <f>IF(OR(-329258.84873="",-378435.18139="",-329258.84873=0),"-",-378435.18139/-329258.84873*100)</f>
        <v>114.93546273689542</v>
      </c>
    </row>
    <row r="48" spans="1:4" x14ac:dyDescent="0.3">
      <c r="A48" s="26" t="s">
        <v>54</v>
      </c>
      <c r="B48" s="23">
        <v>-79360.748940000005</v>
      </c>
      <c r="C48" s="15">
        <v>-244242.25111000001</v>
      </c>
      <c r="D48" s="15" t="s">
        <v>300</v>
      </c>
    </row>
    <row r="49" spans="1:4" x14ac:dyDescent="0.3">
      <c r="A49" s="26" t="s">
        <v>67</v>
      </c>
      <c r="B49" s="15">
        <v>-78895.026270000002</v>
      </c>
      <c r="C49" s="15">
        <v>-87149.526800000007</v>
      </c>
      <c r="D49" s="15">
        <f>IF(OR(-78895.02627="",-87149.5268="",-78895.02627=0),"-",-87149.5268/-78895.02627*100)</f>
        <v>110.46263740600185</v>
      </c>
    </row>
    <row r="50" spans="1:4" x14ac:dyDescent="0.3">
      <c r="A50" s="26" t="s">
        <v>73</v>
      </c>
      <c r="B50" s="15">
        <v>-20974.363809999999</v>
      </c>
      <c r="C50" s="15">
        <v>-35083.304069999998</v>
      </c>
      <c r="D50" s="15" t="s">
        <v>99</v>
      </c>
    </row>
    <row r="51" spans="1:4" x14ac:dyDescent="0.3">
      <c r="A51" s="26" t="s">
        <v>17</v>
      </c>
      <c r="B51" s="23">
        <v>-42471.892440000003</v>
      </c>
      <c r="C51" s="15">
        <v>-25050.860659999998</v>
      </c>
      <c r="D51" s="15">
        <f>IF(OR(-42471.89244="",-25050.86066="",-42471.89244=0),"-",-25050.86066/-42471.89244*100)</f>
        <v>58.98220969406843</v>
      </c>
    </row>
    <row r="52" spans="1:4" x14ac:dyDescent="0.3">
      <c r="A52" s="26" t="s">
        <v>34</v>
      </c>
      <c r="B52" s="15">
        <v>-24694.594290000001</v>
      </c>
      <c r="C52" s="15">
        <v>-21787.229640000001</v>
      </c>
      <c r="D52" s="15">
        <f>IF(OR(-24694.59429="",-21787.22964="",-24694.59429=0),"-",-21787.22964/-24694.59429*100)</f>
        <v>88.226716277022092</v>
      </c>
    </row>
    <row r="53" spans="1:4" x14ac:dyDescent="0.3">
      <c r="A53" s="69" t="s">
        <v>69</v>
      </c>
      <c r="B53" s="23">
        <v>-14340.061659999999</v>
      </c>
      <c r="C53" s="23">
        <v>-20250.150180000001</v>
      </c>
      <c r="D53" s="15">
        <f>IF(OR(-14340.06166="",-20250.15018="",-14340.06166=0),"-",-20250.15018/-14340.06166*100)</f>
        <v>141.21382920190317</v>
      </c>
    </row>
    <row r="54" spans="1:4" x14ac:dyDescent="0.3">
      <c r="A54" s="26" t="s">
        <v>60</v>
      </c>
      <c r="B54" s="15">
        <v>-5904.7663499999999</v>
      </c>
      <c r="C54" s="15">
        <v>-19134.833739999998</v>
      </c>
      <c r="D54" s="15" t="s">
        <v>353</v>
      </c>
    </row>
    <row r="55" spans="1:4" x14ac:dyDescent="0.3">
      <c r="A55" s="26" t="s">
        <v>76</v>
      </c>
      <c r="B55" s="15">
        <v>-9991.0935900000004</v>
      </c>
      <c r="C55" s="15">
        <v>-15682.92569</v>
      </c>
      <c r="D55" s="15">
        <f>IF(OR(-9991.09359="",-15682.92569="",-9991.09359=0),"-",-15682.92569/-9991.09359*100)</f>
        <v>156.96905998055013</v>
      </c>
    </row>
    <row r="56" spans="1:4" x14ac:dyDescent="0.3">
      <c r="A56" s="26" t="s">
        <v>374</v>
      </c>
      <c r="B56" s="15">
        <v>2635.83259</v>
      </c>
      <c r="C56" s="15">
        <v>-12722.162679999999</v>
      </c>
      <c r="D56" s="15" t="s">
        <v>20</v>
      </c>
    </row>
    <row r="57" spans="1:4" x14ac:dyDescent="0.3">
      <c r="A57" s="26" t="s">
        <v>64</v>
      </c>
      <c r="B57" s="15">
        <v>-9636.2692200000001</v>
      </c>
      <c r="C57" s="15">
        <v>-9292.3945199999998</v>
      </c>
      <c r="D57" s="15">
        <f>IF(OR(-9636.26922="",-9292.39452="",-9636.26922=0),"-",-9292.39452/-9636.26922*100)</f>
        <v>96.431453997919746</v>
      </c>
    </row>
    <row r="58" spans="1:4" x14ac:dyDescent="0.3">
      <c r="A58" s="26" t="s">
        <v>297</v>
      </c>
      <c r="B58" s="15">
        <v>-8048.1934300000003</v>
      </c>
      <c r="C58" s="15">
        <v>-8909.1020100000005</v>
      </c>
      <c r="D58" s="15">
        <f>IF(OR(-8048.19343="",-8909.10201="",-8048.19343=0),"-",-8909.10201/-8048.19343*100)</f>
        <v>110.69691710925989</v>
      </c>
    </row>
    <row r="59" spans="1:4" x14ac:dyDescent="0.3">
      <c r="A59" s="26" t="s">
        <v>68</v>
      </c>
      <c r="B59" s="15">
        <v>-5354.69805</v>
      </c>
      <c r="C59" s="15">
        <v>-6597.6973799999996</v>
      </c>
      <c r="D59" s="15">
        <f>IF(OR(-5354.69805="",-6597.69738="",-5354.69805=0),"-",-6597.69738/-5354.69805*100)</f>
        <v>123.21324785064209</v>
      </c>
    </row>
    <row r="60" spans="1:4" x14ac:dyDescent="0.3">
      <c r="A60" s="26" t="s">
        <v>79</v>
      </c>
      <c r="B60" s="15">
        <v>-5375.0057500000003</v>
      </c>
      <c r="C60" s="15">
        <v>-5413.99845</v>
      </c>
      <c r="D60" s="15">
        <f>IF(OR(-5375.00575="",-5413.99845="",-5375.00575=0),"-",-5413.99845/-5375.00575*100)</f>
        <v>100.72544480533811</v>
      </c>
    </row>
    <row r="61" spans="1:4" x14ac:dyDescent="0.3">
      <c r="A61" s="26" t="s">
        <v>81</v>
      </c>
      <c r="B61" s="15">
        <v>-2376.3004099999998</v>
      </c>
      <c r="C61" s="15">
        <v>-5220.8661499999998</v>
      </c>
      <c r="D61" s="15" t="s">
        <v>193</v>
      </c>
    </row>
    <row r="62" spans="1:4" x14ac:dyDescent="0.3">
      <c r="A62" s="26" t="s">
        <v>71</v>
      </c>
      <c r="B62" s="15">
        <v>-7933.63285</v>
      </c>
      <c r="C62" s="15">
        <v>-5012.1362399999998</v>
      </c>
      <c r="D62" s="15">
        <f>IF(OR(-7933.63285="",-5012.13624="",-7933.63285=0),"-",-5012.13624/-7933.63285*100)</f>
        <v>63.175802747161406</v>
      </c>
    </row>
    <row r="63" spans="1:4" x14ac:dyDescent="0.3">
      <c r="A63" s="26" t="s">
        <v>80</v>
      </c>
      <c r="B63" s="15">
        <v>-4405.3828400000002</v>
      </c>
      <c r="C63" s="15">
        <v>-4965.1759899999997</v>
      </c>
      <c r="D63" s="15">
        <f>IF(OR(-4405.38284="",-4965.17599="",-4405.38284=0),"-",-4965.17599/-4405.38284*100)</f>
        <v>112.70702616165818</v>
      </c>
    </row>
    <row r="64" spans="1:4" x14ac:dyDescent="0.3">
      <c r="A64" s="26" t="s">
        <v>75</v>
      </c>
      <c r="B64" s="15">
        <v>-5770.6971999999996</v>
      </c>
      <c r="C64" s="15">
        <v>-4906.6103499999999</v>
      </c>
      <c r="D64" s="15">
        <f>IF(OR(-5770.6972="",-4906.61035="",-5770.6972=0),"-",-4906.61035/-5770.6972*100)</f>
        <v>85.026300634869571</v>
      </c>
    </row>
    <row r="65" spans="1:4" x14ac:dyDescent="0.3">
      <c r="A65" s="26" t="s">
        <v>59</v>
      </c>
      <c r="B65" s="15">
        <v>-4344.0322100000003</v>
      </c>
      <c r="C65" s="15">
        <v>-3490.75342</v>
      </c>
      <c r="D65" s="15">
        <f>IF(OR(-4344.03221="",-3490.75342="",-4344.03221=0),"-",-3490.75342/-4344.03221*100)</f>
        <v>80.357447902072522</v>
      </c>
    </row>
    <row r="66" spans="1:4" x14ac:dyDescent="0.3">
      <c r="A66" s="26" t="s">
        <v>119</v>
      </c>
      <c r="B66" s="15">
        <v>-1119.34221</v>
      </c>
      <c r="C66" s="15">
        <v>-3170.7007199999998</v>
      </c>
      <c r="D66" s="15" t="s">
        <v>294</v>
      </c>
    </row>
    <row r="67" spans="1:4" x14ac:dyDescent="0.3">
      <c r="A67" s="26" t="s">
        <v>63</v>
      </c>
      <c r="B67" s="15">
        <v>-3263.3741799999998</v>
      </c>
      <c r="C67" s="15">
        <v>-3123.7949699999999</v>
      </c>
      <c r="D67" s="15">
        <f>IF(OR(-3263.37418="",-3123.79497="",-3263.37418=0),"-",-3123.79497/-3263.37418*100)</f>
        <v>95.722856090011717</v>
      </c>
    </row>
    <row r="68" spans="1:4" x14ac:dyDescent="0.3">
      <c r="A68" s="26" t="s">
        <v>37</v>
      </c>
      <c r="B68" s="15">
        <v>-695.90817000000004</v>
      </c>
      <c r="C68" s="15">
        <v>-3103.7011299999999</v>
      </c>
      <c r="D68" s="15" t="s">
        <v>393</v>
      </c>
    </row>
    <row r="69" spans="1:4" x14ac:dyDescent="0.3">
      <c r="A69" s="26" t="s">
        <v>87</v>
      </c>
      <c r="B69" s="23">
        <v>-33.938040000000001</v>
      </c>
      <c r="C69" s="15">
        <v>-2594.4351499999998</v>
      </c>
      <c r="D69" s="15" t="s">
        <v>394</v>
      </c>
    </row>
    <row r="70" spans="1:4" x14ac:dyDescent="0.3">
      <c r="A70" s="26" t="s">
        <v>78</v>
      </c>
      <c r="B70" s="15">
        <v>-164.84244000000001</v>
      </c>
      <c r="C70" s="15">
        <v>-2384.12356</v>
      </c>
      <c r="D70" s="15" t="s">
        <v>395</v>
      </c>
    </row>
    <row r="71" spans="1:4" x14ac:dyDescent="0.3">
      <c r="A71" s="26" t="s">
        <v>77</v>
      </c>
      <c r="B71" s="15">
        <v>-2295.4722299999999</v>
      </c>
      <c r="C71" s="15">
        <v>-2355.5602100000001</v>
      </c>
      <c r="D71" s="15">
        <f>IF(OR(-2295.47223="",-2355.56021="",-2295.47223=0),"-",-2355.56021/-2295.47223*100)</f>
        <v>102.61767401124257</v>
      </c>
    </row>
    <row r="72" spans="1:4" x14ac:dyDescent="0.3">
      <c r="A72" s="26" t="s">
        <v>85</v>
      </c>
      <c r="B72" s="15">
        <v>-1367.86952</v>
      </c>
      <c r="C72" s="15">
        <v>-2006.92562</v>
      </c>
      <c r="D72" s="15">
        <f>IF(OR(-1367.86952="",-2006.92562="",-1367.86952=0),"-",-2006.92562/-1367.86952*100)</f>
        <v>146.71908326460846</v>
      </c>
    </row>
    <row r="73" spans="1:4" x14ac:dyDescent="0.3">
      <c r="A73" s="26" t="s">
        <v>376</v>
      </c>
      <c r="B73" s="15">
        <v>-692.20478000000003</v>
      </c>
      <c r="C73" s="15">
        <v>-1974.71983</v>
      </c>
      <c r="D73" s="15" t="s">
        <v>309</v>
      </c>
    </row>
    <row r="74" spans="1:4" x14ac:dyDescent="0.3">
      <c r="A74" s="26" t="s">
        <v>82</v>
      </c>
      <c r="B74" s="15">
        <v>-1628.33386</v>
      </c>
      <c r="C74" s="15">
        <v>-1880.59374</v>
      </c>
      <c r="D74" s="15">
        <f>IF(OR(-1628.33386="",-1880.59374="",-1628.33386=0),"-",-1880.59374/-1628.33386*100)</f>
        <v>115.49190164233273</v>
      </c>
    </row>
    <row r="75" spans="1:4" x14ac:dyDescent="0.3">
      <c r="A75" s="26" t="s">
        <v>70</v>
      </c>
      <c r="B75" s="15">
        <v>8230.3452500000003</v>
      </c>
      <c r="C75" s="15">
        <v>-1844.91113</v>
      </c>
      <c r="D75" s="15" t="s">
        <v>20</v>
      </c>
    </row>
    <row r="76" spans="1:4" x14ac:dyDescent="0.3">
      <c r="A76" s="26" t="s">
        <v>93</v>
      </c>
      <c r="B76" s="15">
        <v>-859.50091999999995</v>
      </c>
      <c r="C76" s="15">
        <v>-1719.60041</v>
      </c>
      <c r="D76" s="15" t="s">
        <v>18</v>
      </c>
    </row>
    <row r="77" spans="1:4" x14ac:dyDescent="0.3">
      <c r="A77" s="26" t="s">
        <v>86</v>
      </c>
      <c r="B77" s="15">
        <v>-1240.8144500000001</v>
      </c>
      <c r="C77" s="15">
        <v>-1501.9805899999999</v>
      </c>
      <c r="D77" s="15">
        <f>IF(OR(-1240.81445="",-1501.98059="",-1240.81445=0),"-",-1501.98059/-1240.81445*100)</f>
        <v>121.04796087763161</v>
      </c>
    </row>
    <row r="78" spans="1:4" x14ac:dyDescent="0.3">
      <c r="A78" s="26" t="s">
        <v>65</v>
      </c>
      <c r="B78" s="15">
        <v>2554.16644</v>
      </c>
      <c r="C78" s="15">
        <v>-1442.23558</v>
      </c>
      <c r="D78" s="15" t="s">
        <v>20</v>
      </c>
    </row>
    <row r="79" spans="1:4" x14ac:dyDescent="0.3">
      <c r="A79" s="26" t="s">
        <v>98</v>
      </c>
      <c r="B79" s="15">
        <v>383.44036</v>
      </c>
      <c r="C79" s="15">
        <v>-1380.2510299999999</v>
      </c>
      <c r="D79" s="15" t="s">
        <v>20</v>
      </c>
    </row>
    <row r="80" spans="1:4" x14ac:dyDescent="0.3">
      <c r="A80" s="26" t="s">
        <v>84</v>
      </c>
      <c r="B80" s="15">
        <v>-1252.1614500000001</v>
      </c>
      <c r="C80" s="15">
        <v>-1033.4015099999999</v>
      </c>
      <c r="D80" s="15">
        <f>IF(OR(-1252.16145="",-1033.40151="",-1252.16145=0),"-",-1033.40151/-1252.16145*100)</f>
        <v>82.529414238076086</v>
      </c>
    </row>
    <row r="81" spans="1:4" x14ac:dyDescent="0.3">
      <c r="A81" s="26" t="s">
        <v>298</v>
      </c>
      <c r="B81" s="15">
        <v>-631.95456000000001</v>
      </c>
      <c r="C81" s="15">
        <v>-852.93475000000001</v>
      </c>
      <c r="D81" s="15">
        <f>IF(OR(-631.95456="",-852.93475="",-631.95456=0),"-",-852.93475/-631.95456*100)</f>
        <v>134.9677340725257</v>
      </c>
    </row>
    <row r="82" spans="1:4" x14ac:dyDescent="0.3">
      <c r="A82" s="26" t="s">
        <v>134</v>
      </c>
      <c r="B82" s="15">
        <v>-613.51032999999995</v>
      </c>
      <c r="C82" s="15">
        <v>-823.41067999999996</v>
      </c>
      <c r="D82" s="15">
        <f>IF(OR(-613.51033="",-823.41068="",-613.51033=0),"-",-823.41068/-613.51033*100)</f>
        <v>134.21300990971091</v>
      </c>
    </row>
    <row r="83" spans="1:4" x14ac:dyDescent="0.3">
      <c r="A83" s="26" t="s">
        <v>62</v>
      </c>
      <c r="B83" s="15">
        <v>-446.16091</v>
      </c>
      <c r="C83" s="15">
        <v>-763.14862000000005</v>
      </c>
      <c r="D83" s="15" t="s">
        <v>99</v>
      </c>
    </row>
    <row r="84" spans="1:4" x14ac:dyDescent="0.3">
      <c r="A84" s="26" t="s">
        <v>200</v>
      </c>
      <c r="B84" s="15">
        <v>-218.34395000000001</v>
      </c>
      <c r="C84" s="15">
        <v>-517.74764000000005</v>
      </c>
      <c r="D84" s="15" t="s">
        <v>335</v>
      </c>
    </row>
    <row r="85" spans="1:4" x14ac:dyDescent="0.3">
      <c r="A85" s="26" t="s">
        <v>90</v>
      </c>
      <c r="B85" s="15">
        <v>-457.20062999999999</v>
      </c>
      <c r="C85" s="15">
        <v>-515.71973000000003</v>
      </c>
      <c r="D85" s="15">
        <f>IF(OR(-457.20063="",-515.71973="",-457.20063=0),"-",-515.71973/-457.20063*100)</f>
        <v>112.79943555633334</v>
      </c>
    </row>
    <row r="86" spans="1:4" x14ac:dyDescent="0.3">
      <c r="A86" s="26" t="s">
        <v>88</v>
      </c>
      <c r="B86" s="15">
        <v>-819.21347000000003</v>
      </c>
      <c r="C86" s="15">
        <v>-505.09867000000003</v>
      </c>
      <c r="D86" s="15">
        <f>IF(OR(-819.21347="",-505.09867="",-819.21347=0),"-",-505.09867/-819.21347*100)</f>
        <v>61.656538679716775</v>
      </c>
    </row>
    <row r="87" spans="1:4" x14ac:dyDescent="0.3">
      <c r="A87" s="26" t="s">
        <v>36</v>
      </c>
      <c r="B87" s="15">
        <v>-274.94736999999998</v>
      </c>
      <c r="C87" s="15">
        <v>-468.43</v>
      </c>
      <c r="D87" s="15" t="s">
        <v>99</v>
      </c>
    </row>
    <row r="88" spans="1:4" x14ac:dyDescent="0.3">
      <c r="A88" s="26" t="s">
        <v>377</v>
      </c>
      <c r="B88" s="15">
        <v>-635.70737999999994</v>
      </c>
      <c r="C88" s="15">
        <v>-425.46530999999999</v>
      </c>
      <c r="D88" s="15">
        <f>IF(OR(-635.70738="",-425.46531="",-635.70738=0),"-",-425.46531/-635.70738*100)</f>
        <v>66.927854447749212</v>
      </c>
    </row>
    <row r="89" spans="1:4" x14ac:dyDescent="0.3">
      <c r="A89" s="26" t="s">
        <v>89</v>
      </c>
      <c r="B89" s="15">
        <v>-653.15310999999997</v>
      </c>
      <c r="C89" s="15">
        <v>-382.69222000000002</v>
      </c>
      <c r="D89" s="15">
        <f>IF(OR(-653.15311="",-382.69222="",-653.15311=0),"-",-382.69222/-653.15311*100)</f>
        <v>58.591502381424789</v>
      </c>
    </row>
    <row r="90" spans="1:4" x14ac:dyDescent="0.3">
      <c r="A90" s="26" t="s">
        <v>115</v>
      </c>
      <c r="B90" s="15">
        <v>-185.37754000000001</v>
      </c>
      <c r="C90" s="15">
        <v>-355.3331</v>
      </c>
      <c r="D90" s="15" t="s">
        <v>101</v>
      </c>
    </row>
    <row r="91" spans="1:4" x14ac:dyDescent="0.3">
      <c r="A91" s="26" t="s">
        <v>94</v>
      </c>
      <c r="B91" s="15">
        <v>-167.03157999999999</v>
      </c>
      <c r="C91" s="15">
        <v>-354.42606999999998</v>
      </c>
      <c r="D91" s="15" t="s">
        <v>91</v>
      </c>
    </row>
    <row r="92" spans="1:4" x14ac:dyDescent="0.3">
      <c r="A92" s="26" t="s">
        <v>113</v>
      </c>
      <c r="B92" s="15">
        <v>2258.9729200000002</v>
      </c>
      <c r="C92" s="15">
        <v>-274.66694999999999</v>
      </c>
      <c r="D92" s="15" t="s">
        <v>20</v>
      </c>
    </row>
    <row r="93" spans="1:4" x14ac:dyDescent="0.3">
      <c r="A93" s="26" t="s">
        <v>330</v>
      </c>
      <c r="B93" s="15">
        <v>-284.94000999999997</v>
      </c>
      <c r="C93" s="15">
        <v>-254.11064999999999</v>
      </c>
      <c r="D93" s="15">
        <f>IF(OR(-284.94001="",-254.11065="",-284.94001=0),"-",-254.11065/-284.94001*100)</f>
        <v>89.180403271551796</v>
      </c>
    </row>
    <row r="94" spans="1:4" x14ac:dyDescent="0.3">
      <c r="A94" s="26" t="s">
        <v>310</v>
      </c>
      <c r="B94" s="15">
        <v>-23.74136</v>
      </c>
      <c r="C94" s="15">
        <v>-234.84893</v>
      </c>
      <c r="D94" s="15" t="s">
        <v>396</v>
      </c>
    </row>
    <row r="95" spans="1:4" x14ac:dyDescent="0.3">
      <c r="A95" s="69" t="s">
        <v>122</v>
      </c>
      <c r="B95" s="23">
        <v>-184.40502000000001</v>
      </c>
      <c r="C95" s="23">
        <v>-177.39868000000001</v>
      </c>
      <c r="D95" s="15">
        <f>IF(OR(-184.40502="",-177.39868="",-184.40502=0),"-",-177.39868/-184.40502*100)</f>
        <v>96.200569810952004</v>
      </c>
    </row>
    <row r="96" spans="1:4" x14ac:dyDescent="0.3">
      <c r="A96" s="26" t="s">
        <v>97</v>
      </c>
      <c r="B96" s="15">
        <v>-216.68478999999999</v>
      </c>
      <c r="C96" s="15">
        <v>-175.6294</v>
      </c>
      <c r="D96" s="15">
        <f>IF(OR(-216.68479="",-175.6294="",-216.68479=0),"-",-175.6294/-216.68479*100)</f>
        <v>81.0529433099573</v>
      </c>
    </row>
    <row r="97" spans="1:4" x14ac:dyDescent="0.3">
      <c r="A97" s="26" t="s">
        <v>123</v>
      </c>
      <c r="B97" s="15">
        <v>56.857819999999997</v>
      </c>
      <c r="C97" s="15">
        <v>-168.97962999999999</v>
      </c>
      <c r="D97" s="15" t="s">
        <v>20</v>
      </c>
    </row>
    <row r="98" spans="1:4" x14ac:dyDescent="0.3">
      <c r="A98" s="26" t="s">
        <v>326</v>
      </c>
      <c r="B98" s="15">
        <v>-0.71172000000000002</v>
      </c>
      <c r="C98" s="15">
        <v>-152.32437999999999</v>
      </c>
      <c r="D98" s="15" t="s">
        <v>397</v>
      </c>
    </row>
    <row r="99" spans="1:4" x14ac:dyDescent="0.3">
      <c r="A99" s="26" t="s">
        <v>284</v>
      </c>
      <c r="B99" s="15">
        <v>-76.053309999999996</v>
      </c>
      <c r="C99" s="15">
        <v>-119.07965</v>
      </c>
      <c r="D99" s="15">
        <f>IF(OR(-76.05331="",-119.07965="",-76.05331=0),"-",-119.07965/-76.05331*100)</f>
        <v>156.57392163470598</v>
      </c>
    </row>
    <row r="100" spans="1:4" x14ac:dyDescent="0.3">
      <c r="A100" s="26" t="s">
        <v>370</v>
      </c>
      <c r="B100" s="15">
        <v>-108.23428</v>
      </c>
      <c r="C100" s="15">
        <v>-118.20273</v>
      </c>
      <c r="D100" s="15">
        <f>IF(OR(-108.23428="",-118.20273="",-108.23428=0),"-",-118.20273/-108.23428*100)</f>
        <v>109.21006727258684</v>
      </c>
    </row>
    <row r="101" spans="1:4" x14ac:dyDescent="0.3">
      <c r="A101" s="26" t="s">
        <v>333</v>
      </c>
      <c r="B101" s="15">
        <v>-82.010180000000005</v>
      </c>
      <c r="C101" s="15">
        <v>-100.76053</v>
      </c>
      <c r="D101" s="15">
        <f>IF(OR(-82.01018="",-100.76053="",-82.01018=0),"-",-100.76053/-82.01018*100)</f>
        <v>122.86344207511799</v>
      </c>
    </row>
    <row r="102" spans="1:4" x14ac:dyDescent="0.3">
      <c r="A102" s="26" t="s">
        <v>346</v>
      </c>
      <c r="B102" s="23">
        <v>-54.675469999999997</v>
      </c>
      <c r="C102" s="15">
        <v>-85.445070000000001</v>
      </c>
      <c r="D102" s="15">
        <f>IF(OR(-54.67547="",-85.44507="",-54.67547=0),"-",-85.44507/-54.67547*100)</f>
        <v>156.27679103627275</v>
      </c>
    </row>
    <row r="103" spans="1:4" x14ac:dyDescent="0.3">
      <c r="A103" s="26" t="s">
        <v>331</v>
      </c>
      <c r="B103" s="15">
        <v>-1.6460300000000001</v>
      </c>
      <c r="C103" s="15">
        <v>-75.185599999999994</v>
      </c>
      <c r="D103" s="15" t="s">
        <v>388</v>
      </c>
    </row>
    <row r="104" spans="1:4" x14ac:dyDescent="0.3">
      <c r="A104" s="26" t="s">
        <v>332</v>
      </c>
      <c r="B104" s="15">
        <v>-18.879519999999999</v>
      </c>
      <c r="C104" s="15">
        <v>-74.787390000000002</v>
      </c>
      <c r="D104" s="15" t="s">
        <v>389</v>
      </c>
    </row>
    <row r="105" spans="1:4" x14ac:dyDescent="0.3">
      <c r="A105" s="26" t="s">
        <v>345</v>
      </c>
      <c r="B105" s="15" t="s">
        <v>313</v>
      </c>
      <c r="C105" s="15">
        <v>-55.731630000000003</v>
      </c>
      <c r="D105" s="15" t="str">
        <f>IF(OR(0="",-55.73163="",0=0),"-",-55.73163/0*100)</f>
        <v>-</v>
      </c>
    </row>
    <row r="106" spans="1:4" x14ac:dyDescent="0.3">
      <c r="A106" s="26" t="s">
        <v>371</v>
      </c>
      <c r="B106" s="15">
        <v>-87.198490000000007</v>
      </c>
      <c r="C106" s="15">
        <v>-52.736420000000003</v>
      </c>
      <c r="D106" s="15">
        <f>IF(OR(-87.19849="",-52.73642="",-87.19849=0),"-",-52.73642/-87.19849*100)</f>
        <v>60.478593149950186</v>
      </c>
    </row>
    <row r="107" spans="1:4" x14ac:dyDescent="0.3">
      <c r="A107" s="26" t="s">
        <v>372</v>
      </c>
      <c r="B107" s="15">
        <v>-50.99259</v>
      </c>
      <c r="C107" s="15">
        <v>-50.662689999999998</v>
      </c>
      <c r="D107" s="15">
        <f>IF(OR(-50.99259="",-50.66269="",-50.99259=0),"-",-50.66269/-50.99259*100)</f>
        <v>99.353043255892672</v>
      </c>
    </row>
    <row r="108" spans="1:4" x14ac:dyDescent="0.3">
      <c r="A108" s="26" t="s">
        <v>373</v>
      </c>
      <c r="B108" s="15">
        <v>-25.50872</v>
      </c>
      <c r="C108" s="15">
        <v>-50.454450000000001</v>
      </c>
      <c r="D108" s="15" t="s">
        <v>18</v>
      </c>
    </row>
    <row r="109" spans="1:4" x14ac:dyDescent="0.3">
      <c r="A109" s="26" t="s">
        <v>329</v>
      </c>
      <c r="B109" s="15" t="s">
        <v>313</v>
      </c>
      <c r="C109" s="15">
        <v>50.55</v>
      </c>
      <c r="D109" s="15" t="str">
        <f>IF(OR(0="",50.55="",0=0),"-",50.55/0*100)</f>
        <v>-</v>
      </c>
    </row>
    <row r="110" spans="1:4" x14ac:dyDescent="0.3">
      <c r="A110" s="26" t="s">
        <v>199</v>
      </c>
      <c r="B110" s="15">
        <v>117.88957000000001</v>
      </c>
      <c r="C110" s="15">
        <v>59.433639999999997</v>
      </c>
      <c r="D110" s="15">
        <f>IF(OR(117.88957="",59.43364="",117.88957=0),"-",59.43364/117.88957*100)</f>
        <v>50.414671968012094</v>
      </c>
    </row>
    <row r="111" spans="1:4" x14ac:dyDescent="0.3">
      <c r="A111" s="26" t="s">
        <v>327</v>
      </c>
      <c r="B111" s="15">
        <v>107.54342</v>
      </c>
      <c r="C111" s="15">
        <v>81.615520000000004</v>
      </c>
      <c r="D111" s="15">
        <f>IF(OR(107.54342="",81.61552="",107.54342=0),"-",81.61552/107.54342*100)</f>
        <v>75.890761145591242</v>
      </c>
    </row>
    <row r="112" spans="1:4" x14ac:dyDescent="0.3">
      <c r="A112" s="26" t="s">
        <v>102</v>
      </c>
      <c r="B112" s="15">
        <v>67.029899999999998</v>
      </c>
      <c r="C112" s="15">
        <v>93.111289999999997</v>
      </c>
      <c r="D112" s="15">
        <f>IF(OR(67.0299="",93.11129="",67.0299=0),"-",93.11129/67.0299*100)</f>
        <v>138.91008341053768</v>
      </c>
    </row>
    <row r="113" spans="1:4" x14ac:dyDescent="0.3">
      <c r="A113" s="26" t="s">
        <v>328</v>
      </c>
      <c r="B113" s="23">
        <v>23.924849999999999</v>
      </c>
      <c r="C113" s="15">
        <v>116.59757</v>
      </c>
      <c r="D113" s="15" t="s">
        <v>342</v>
      </c>
    </row>
    <row r="114" spans="1:4" x14ac:dyDescent="0.3">
      <c r="A114" s="26" t="s">
        <v>128</v>
      </c>
      <c r="B114" s="15">
        <v>159.87065999999999</v>
      </c>
      <c r="C114" s="15">
        <v>121.99686</v>
      </c>
      <c r="D114" s="15">
        <f>IF(OR(159.87066="",121.99686="",159.87066=0),"-",121.99686/159.87066*100)</f>
        <v>76.309724373440375</v>
      </c>
    </row>
    <row r="115" spans="1:4" x14ac:dyDescent="0.3">
      <c r="A115" s="26" t="s">
        <v>299</v>
      </c>
      <c r="B115" s="15">
        <v>238.23070000000001</v>
      </c>
      <c r="C115" s="15">
        <v>154.98527999999999</v>
      </c>
      <c r="D115" s="15">
        <f>IF(OR(238.2307="",154.98528="",238.2307=0),"-",154.98528/238.2307*100)</f>
        <v>65.056804181828781</v>
      </c>
    </row>
    <row r="116" spans="1:4" x14ac:dyDescent="0.3">
      <c r="A116" s="26" t="s">
        <v>340</v>
      </c>
      <c r="B116" s="15">
        <v>39.533410000000003</v>
      </c>
      <c r="C116" s="15">
        <v>164.60524000000001</v>
      </c>
      <c r="D116" s="15" t="s">
        <v>317</v>
      </c>
    </row>
    <row r="117" spans="1:4" x14ac:dyDescent="0.3">
      <c r="A117" s="26" t="s">
        <v>116</v>
      </c>
      <c r="B117" s="15">
        <v>146.38234</v>
      </c>
      <c r="C117" s="15">
        <v>170.06625</v>
      </c>
      <c r="D117" s="15">
        <f>IF(OR(146.38234="",170.06625="",146.38234=0),"-",170.06625/146.38234*100)</f>
        <v>116.17948585874498</v>
      </c>
    </row>
    <row r="118" spans="1:4" x14ac:dyDescent="0.3">
      <c r="A118" s="26" t="s">
        <v>315</v>
      </c>
      <c r="B118" s="15" t="s">
        <v>313</v>
      </c>
      <c r="C118" s="15">
        <v>175.10164</v>
      </c>
      <c r="D118" s="15" t="str">
        <f>IF(OR(0="",175.10164="",0=0),"-",175.10164/0*100)</f>
        <v>-</v>
      </c>
    </row>
    <row r="119" spans="1:4" x14ac:dyDescent="0.3">
      <c r="A119" s="26" t="s">
        <v>92</v>
      </c>
      <c r="B119" s="15">
        <v>637.52828999999997</v>
      </c>
      <c r="C119" s="15">
        <v>207.12123</v>
      </c>
      <c r="D119" s="15">
        <f>IF(OR(637.52829="",207.12123="",637.52829=0),"-",207.12123/637.52829*100)</f>
        <v>32.488162995872699</v>
      </c>
    </row>
    <row r="120" spans="1:4" x14ac:dyDescent="0.3">
      <c r="A120" s="26" t="s">
        <v>325</v>
      </c>
      <c r="B120" s="15">
        <v>176.90536</v>
      </c>
      <c r="C120" s="15">
        <v>215.64302000000001</v>
      </c>
      <c r="D120" s="15">
        <f>IF(OR(176.90536="",215.64302="",176.90536=0),"-",215.64302/176.90536*100)</f>
        <v>121.89739191622007</v>
      </c>
    </row>
    <row r="121" spans="1:4" x14ac:dyDescent="0.3">
      <c r="A121" s="26" t="s">
        <v>312</v>
      </c>
      <c r="B121" s="23">
        <v>-6.3280000000000003E-2</v>
      </c>
      <c r="C121" s="15">
        <v>257.04068000000001</v>
      </c>
      <c r="D121" s="15" t="s">
        <v>20</v>
      </c>
    </row>
    <row r="122" spans="1:4" x14ac:dyDescent="0.3">
      <c r="A122" s="26" t="s">
        <v>320</v>
      </c>
      <c r="B122" s="15">
        <v>3.5811700000000002</v>
      </c>
      <c r="C122" s="15">
        <v>259.03831000000002</v>
      </c>
      <c r="D122" s="15" t="s">
        <v>398</v>
      </c>
    </row>
    <row r="123" spans="1:4" x14ac:dyDescent="0.3">
      <c r="A123" s="26" t="s">
        <v>135</v>
      </c>
      <c r="B123" s="15">
        <v>361.46354000000002</v>
      </c>
      <c r="C123" s="15">
        <v>427.40337</v>
      </c>
      <c r="D123" s="15">
        <f>IF(OR(361.46354="",427.40337="",361.46354=0),"-",427.40337/361.46354*100)</f>
        <v>118.24245676341243</v>
      </c>
    </row>
    <row r="124" spans="1:4" x14ac:dyDescent="0.3">
      <c r="A124" s="26" t="s">
        <v>56</v>
      </c>
      <c r="B124" s="15">
        <v>4203.0942699999996</v>
      </c>
      <c r="C124" s="15">
        <v>523.23733000000004</v>
      </c>
      <c r="D124" s="15">
        <f>IF(OR(4203.09427="",523.23733="",4203.09427=0),"-",523.23733/4203.09427*100)</f>
        <v>12.448860206031021</v>
      </c>
    </row>
    <row r="125" spans="1:4" x14ac:dyDescent="0.3">
      <c r="A125" s="26" t="s">
        <v>133</v>
      </c>
      <c r="B125" s="15">
        <v>290.41039999999998</v>
      </c>
      <c r="C125" s="15">
        <v>622.57764999999995</v>
      </c>
      <c r="D125" s="15" t="s">
        <v>91</v>
      </c>
    </row>
    <row r="126" spans="1:4" x14ac:dyDescent="0.3">
      <c r="A126" s="26" t="s">
        <v>375</v>
      </c>
      <c r="B126" s="15">
        <v>37252.992700000003</v>
      </c>
      <c r="C126" s="15">
        <v>757.65130999999997</v>
      </c>
      <c r="D126" s="15">
        <f>IF(OR(37252.9927="",757.65131="",37252.9927=0),"-",757.65131/37252.9927*100)</f>
        <v>2.0337998509311705</v>
      </c>
    </row>
    <row r="127" spans="1:4" x14ac:dyDescent="0.3">
      <c r="A127" s="26" t="s">
        <v>334</v>
      </c>
      <c r="B127" s="15">
        <v>48.742350000000002</v>
      </c>
      <c r="C127" s="15">
        <v>1141.60709</v>
      </c>
      <c r="D127" s="15" t="s">
        <v>379</v>
      </c>
    </row>
    <row r="128" spans="1:4" x14ac:dyDescent="0.3">
      <c r="A128" s="26" t="s">
        <v>55</v>
      </c>
      <c r="B128" s="15">
        <v>4189.1557899999998</v>
      </c>
      <c r="C128" s="15">
        <v>2474.4499300000002</v>
      </c>
      <c r="D128" s="15">
        <f>IF(OR(4189.15579="",2474.44993="",4189.15579=0),"-",2474.44993/4189.15579*100)</f>
        <v>59.067985389963276</v>
      </c>
    </row>
    <row r="129" spans="1:5" x14ac:dyDescent="0.3">
      <c r="A129" s="26" t="s">
        <v>319</v>
      </c>
      <c r="B129" s="23">
        <v>-25.98244</v>
      </c>
      <c r="C129" s="15">
        <v>2959.9866299999999</v>
      </c>
      <c r="D129" s="15" t="s">
        <v>20</v>
      </c>
    </row>
    <row r="130" spans="1:5" x14ac:dyDescent="0.3">
      <c r="A130" s="26" t="s">
        <v>35</v>
      </c>
      <c r="B130" s="15">
        <v>2969.0776300000002</v>
      </c>
      <c r="C130" s="15">
        <v>3199.4841900000001</v>
      </c>
      <c r="D130" s="15">
        <f>IF(OR(2969.07763="",3199.48419="",2969.07763=0),"-",3199.48419/2969.07763*100)</f>
        <v>107.7602066605446</v>
      </c>
    </row>
    <row r="131" spans="1:5" x14ac:dyDescent="0.3">
      <c r="A131" s="26" t="s">
        <v>61</v>
      </c>
      <c r="B131" s="15">
        <v>2064.2520300000001</v>
      </c>
      <c r="C131" s="15">
        <v>3257.6338900000001</v>
      </c>
      <c r="D131" s="15">
        <f>IF(OR(2064.25203="",3257.63389="",2064.25203=0),"-",3257.63389/2064.25203*100)</f>
        <v>157.81182930458351</v>
      </c>
    </row>
    <row r="132" spans="1:5" x14ac:dyDescent="0.3">
      <c r="A132" s="26" t="s">
        <v>66</v>
      </c>
      <c r="B132" s="15">
        <v>2822.7206900000001</v>
      </c>
      <c r="C132" s="15">
        <v>3564.4915299999998</v>
      </c>
      <c r="D132" s="15">
        <f>IF(OR(2822.72069="",3564.49153="",2822.72069=0),"-",3564.49153/2822.72069*100)</f>
        <v>126.2785773536807</v>
      </c>
    </row>
    <row r="133" spans="1:5" x14ac:dyDescent="0.3">
      <c r="A133" s="26" t="s">
        <v>72</v>
      </c>
      <c r="B133" s="15">
        <v>-1936.30664</v>
      </c>
      <c r="C133" s="15">
        <v>3661.0232000000001</v>
      </c>
      <c r="D133" s="15" t="s">
        <v>20</v>
      </c>
    </row>
    <row r="134" spans="1:5" x14ac:dyDescent="0.3">
      <c r="A134" s="27" t="s">
        <v>58</v>
      </c>
      <c r="B134" s="18">
        <v>14858.22804</v>
      </c>
      <c r="C134" s="18">
        <v>21068.968049999999</v>
      </c>
      <c r="D134" s="18">
        <f>IF(OR(14858.22804="",21068.96805="",14858.22804=0),"-",21068.96805/14858.22804*100)</f>
        <v>141.80000463904577</v>
      </c>
    </row>
    <row r="135" spans="1:5" x14ac:dyDescent="0.3">
      <c r="A135" s="19" t="s">
        <v>276</v>
      </c>
      <c r="B135" s="20"/>
      <c r="C135" s="20"/>
      <c r="D135" s="20"/>
      <c r="E135" s="20"/>
    </row>
  </sheetData>
  <sortState xmlns:xlrd2="http://schemas.microsoft.com/office/spreadsheetml/2017/richdata2" ref="A47:E104">
    <sortCondition ref="C47:C104"/>
  </sortState>
  <mergeCells count="2">
    <mergeCell ref="A1:D1"/>
    <mergeCell ref="A2:D2"/>
  </mergeCells>
  <phoneticPr fontId="6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40"/>
  <sheetViews>
    <sheetView workbookViewId="0">
      <selection sqref="A1:E1"/>
    </sheetView>
  </sheetViews>
  <sheetFormatPr defaultRowHeight="15.6" x14ac:dyDescent="0.3"/>
  <cols>
    <col min="1" max="1" width="30" customWidth="1"/>
    <col min="2" max="2" width="14" customWidth="1"/>
    <col min="3" max="3" width="14.69921875" customWidth="1"/>
    <col min="4" max="5" width="11.59765625" customWidth="1"/>
  </cols>
  <sheetData>
    <row r="1" spans="1:5" ht="16.2" x14ac:dyDescent="0.35">
      <c r="A1" s="73" t="s">
        <v>282</v>
      </c>
      <c r="B1" s="73"/>
      <c r="C1" s="73"/>
      <c r="D1" s="73"/>
      <c r="E1" s="73"/>
    </row>
    <row r="2" spans="1:5" ht="16.2" x14ac:dyDescent="0.35">
      <c r="A2" s="86"/>
      <c r="B2" s="86"/>
      <c r="C2" s="86"/>
      <c r="D2" s="86"/>
      <c r="E2" s="86"/>
    </row>
    <row r="3" spans="1:5" ht="18.75" customHeight="1" x14ac:dyDescent="0.3">
      <c r="A3" s="74"/>
      <c r="B3" s="76" t="s">
        <v>363</v>
      </c>
      <c r="C3" s="77"/>
      <c r="D3" s="78" t="s">
        <v>103</v>
      </c>
      <c r="E3" s="85"/>
    </row>
    <row r="4" spans="1:5" ht="36.75" customHeight="1" x14ac:dyDescent="0.3">
      <c r="A4" s="75"/>
      <c r="B4" s="39" t="s">
        <v>112</v>
      </c>
      <c r="C4" s="38" t="s">
        <v>365</v>
      </c>
      <c r="D4" s="39" t="s">
        <v>357</v>
      </c>
      <c r="E4" s="37" t="s">
        <v>358</v>
      </c>
    </row>
    <row r="5" spans="1:5" ht="15.75" customHeight="1" x14ac:dyDescent="0.3">
      <c r="A5" s="47" t="s">
        <v>124</v>
      </c>
      <c r="B5" s="49">
        <v>1725483.75067</v>
      </c>
      <c r="C5" s="48">
        <v>92.028038789317151</v>
      </c>
      <c r="D5" s="49">
        <v>100</v>
      </c>
      <c r="E5" s="49">
        <v>100</v>
      </c>
    </row>
    <row r="6" spans="1:5" ht="15.75" customHeight="1" x14ac:dyDescent="0.3">
      <c r="A6" s="17" t="s">
        <v>117</v>
      </c>
      <c r="B6" s="23"/>
      <c r="C6" s="28"/>
      <c r="D6" s="16"/>
      <c r="E6" s="16"/>
    </row>
    <row r="7" spans="1:5" x14ac:dyDescent="0.3">
      <c r="A7" s="17" t="s">
        <v>104</v>
      </c>
      <c r="B7" s="15">
        <v>250855.78338000001</v>
      </c>
      <c r="C7" s="15">
        <v>82.646218483830097</v>
      </c>
      <c r="D7" s="15">
        <f>IF(303529.65687="","-",303529.65687/1874954.38713*100)</f>
        <v>16.188642185296786</v>
      </c>
      <c r="E7" s="15">
        <f>IF(250855.78338="","-",250855.78338/1725483.75067*100)</f>
        <v>14.538287206853932</v>
      </c>
    </row>
    <row r="8" spans="1:5" x14ac:dyDescent="0.3">
      <c r="A8" s="17" t="s">
        <v>105</v>
      </c>
      <c r="B8" s="15">
        <v>53576.983659999998</v>
      </c>
      <c r="C8" s="15">
        <v>29.649183563392175</v>
      </c>
      <c r="D8" s="15">
        <f>IF(180703.06572="","-",180703.06572/1874954.38713*100)</f>
        <v>9.6377312941784634</v>
      </c>
      <c r="E8" s="15">
        <f>IF(53576.98366="","-",53576.98366/1725483.75067*100)</f>
        <v>3.105041333434535</v>
      </c>
    </row>
    <row r="9" spans="1:5" x14ac:dyDescent="0.3">
      <c r="A9" s="17" t="s">
        <v>106</v>
      </c>
      <c r="B9" s="15">
        <v>1382021.74541</v>
      </c>
      <c r="C9" s="15">
        <v>100.43223961023232</v>
      </c>
      <c r="D9" s="15">
        <f>IF(1376073.80934="","-",1376073.80934/1874954.38713*100)</f>
        <v>73.392388571455413</v>
      </c>
      <c r="E9" s="15">
        <f>IF(1382021.74541="","-",1382021.74541/1725483.75067*100)</f>
        <v>80.094741250003963</v>
      </c>
    </row>
    <row r="10" spans="1:5" x14ac:dyDescent="0.3">
      <c r="A10" s="17" t="s">
        <v>107</v>
      </c>
      <c r="B10" s="15">
        <v>20349.137330000001</v>
      </c>
      <c r="C10" s="15">
        <v>144.98876719415506</v>
      </c>
      <c r="D10" s="15">
        <f>IF(14034.97507="","-",14034.97507/1874954.38713*100)</f>
        <v>0.74855021361257712</v>
      </c>
      <c r="E10" s="15">
        <f>IF(20349.13733="","-",20349.13733/1725483.75067*100)</f>
        <v>1.1793294096277924</v>
      </c>
    </row>
    <row r="11" spans="1:5" x14ac:dyDescent="0.3">
      <c r="A11" s="17" t="s">
        <v>108</v>
      </c>
      <c r="B11" s="15">
        <v>479.13024999999999</v>
      </c>
      <c r="C11" s="15">
        <v>87.944754210940502</v>
      </c>
      <c r="D11" s="15">
        <f>IF(544.80822="","-",544.80822/1874954.38713*100)</f>
        <v>2.9057145269221193E-2</v>
      </c>
      <c r="E11" s="15">
        <f>IF(479.13025="","-",479.13025/1725483.75067*100)</f>
        <v>2.7767879576608888E-2</v>
      </c>
    </row>
    <row r="12" spans="1:5" x14ac:dyDescent="0.3">
      <c r="A12" s="17" t="s">
        <v>109</v>
      </c>
      <c r="B12" s="15">
        <v>17515.29104</v>
      </c>
      <c r="C12" s="15" t="s">
        <v>399</v>
      </c>
      <c r="D12" s="15">
        <f>IF(2.92441="","-",2.92441/1874954.38713*100)</f>
        <v>1.5597232765093586E-4</v>
      </c>
      <c r="E12" s="15">
        <f>IF(17515.29104="","-",17515.29104/1725483.75067*100)</f>
        <v>1.0150945225186192</v>
      </c>
    </row>
    <row r="13" spans="1:5" x14ac:dyDescent="0.3">
      <c r="A13" s="17" t="s">
        <v>110</v>
      </c>
      <c r="B13" s="15">
        <v>685.67960000000005</v>
      </c>
      <c r="C13" s="15" t="s">
        <v>400</v>
      </c>
      <c r="D13" s="15">
        <f>IF(65.1475="","-",65.1475/1874954.38713*100)</f>
        <v>3.4746178598894627E-3</v>
      </c>
      <c r="E13" s="15">
        <f>IF(685.6796="","-",685.6796/1725483.75067*100)</f>
        <v>3.9738397984550873E-2</v>
      </c>
    </row>
    <row r="14" spans="1:5" x14ac:dyDescent="0.3">
      <c r="A14" s="25" t="s">
        <v>196</v>
      </c>
      <c r="B14" s="16">
        <v>1056900.7792</v>
      </c>
      <c r="C14" s="16">
        <v>87.450825060069704</v>
      </c>
      <c r="D14" s="16">
        <f>IF(1208565.81796="","-",1208565.81796/1874954.38713*100)</f>
        <v>64.458411695548307</v>
      </c>
      <c r="E14" s="16">
        <f>IF(1056900.7792="","-",1056900.7792/1725483.75067*100)</f>
        <v>61.25243305186784</v>
      </c>
    </row>
    <row r="15" spans="1:5" x14ac:dyDescent="0.3">
      <c r="A15" s="17" t="s">
        <v>117</v>
      </c>
      <c r="B15" s="16"/>
      <c r="C15" s="16"/>
      <c r="D15" s="16"/>
      <c r="E15" s="16"/>
    </row>
    <row r="16" spans="1:5" x14ac:dyDescent="0.3">
      <c r="A16" s="17" t="s">
        <v>104</v>
      </c>
      <c r="B16" s="15">
        <v>181505.5453</v>
      </c>
      <c r="C16" s="15">
        <v>72.192672355722493</v>
      </c>
      <c r="D16" s="15">
        <f>IF(251418.23869="","-",251418.23869/1874954.38713*100)</f>
        <v>13.409298936324893</v>
      </c>
      <c r="E16" s="15">
        <f>IF(181505.5453="","-",181505.5453/1725483.75067*100)</f>
        <v>10.519110668502208</v>
      </c>
    </row>
    <row r="17" spans="1:6" x14ac:dyDescent="0.3">
      <c r="A17" s="17" t="s">
        <v>105</v>
      </c>
      <c r="B17" s="15">
        <v>21725.342850000001</v>
      </c>
      <c r="C17" s="15">
        <v>71.383784965285443</v>
      </c>
      <c r="D17" s="15">
        <f>IF(30434.56278="","-",30434.56278/1874954.38713*100)</f>
        <v>1.6232161693589948</v>
      </c>
      <c r="E17" s="15">
        <f>IF(21725.34285="","-",21725.34285/1725483.75067*100)</f>
        <v>1.2590870729187753</v>
      </c>
    </row>
    <row r="18" spans="1:6" x14ac:dyDescent="0.3">
      <c r="A18" s="17" t="s">
        <v>106</v>
      </c>
      <c r="B18" s="15">
        <v>840519.50470000005</v>
      </c>
      <c r="C18" s="15">
        <v>91.017039004902003</v>
      </c>
      <c r="D18" s="15">
        <f>IF(923474.89425="","-",923474.89425/1874954.38713*100)</f>
        <v>49.25319253571638</v>
      </c>
      <c r="E18" s="15">
        <f>IF(840519.5047="","-",840519.5047/1725483.75067*100)</f>
        <v>48.712107800124393</v>
      </c>
    </row>
    <row r="19" spans="1:6" x14ac:dyDescent="0.3">
      <c r="A19" s="17" t="s">
        <v>107</v>
      </c>
      <c r="B19" s="15">
        <v>3491.9623900000001</v>
      </c>
      <c r="C19" s="15">
        <v>118.02193305778613</v>
      </c>
      <c r="D19" s="15">
        <f>IF(2958.74021="","-",2958.74021/1874954.38713*100)</f>
        <v>0.15780331672649142</v>
      </c>
      <c r="E19" s="15">
        <f>IF(3491.96239="","-",3491.96239/1725483.75067*100)</f>
        <v>0.20237584901301339</v>
      </c>
    </row>
    <row r="20" spans="1:6" x14ac:dyDescent="0.3">
      <c r="A20" s="17" t="s">
        <v>108</v>
      </c>
      <c r="B20" s="15">
        <v>128.17204000000001</v>
      </c>
      <c r="C20" s="15">
        <v>50.426099066488774</v>
      </c>
      <c r="D20" s="15">
        <f>IF(254.17798="","-",254.17798/1874954.38713*100)</f>
        <v>1.3556488720190748E-2</v>
      </c>
      <c r="E20" s="15">
        <f>IF(128.17204="","-",128.17204/1725483.75067*100)</f>
        <v>7.428180065458815E-3</v>
      </c>
    </row>
    <row r="21" spans="1:6" x14ac:dyDescent="0.3">
      <c r="A21" s="17" t="s">
        <v>109</v>
      </c>
      <c r="B21" s="15">
        <v>9433.2502000000004</v>
      </c>
      <c r="C21" s="15" t="s">
        <v>313</v>
      </c>
      <c r="D21" s="23" t="s">
        <v>313</v>
      </c>
      <c r="E21" s="15">
        <f>IF(9433.2502="","-",9433.2502/1725483.75067*100)</f>
        <v>0.54670176965370432</v>
      </c>
    </row>
    <row r="22" spans="1:6" x14ac:dyDescent="0.3">
      <c r="A22" s="17" t="s">
        <v>110</v>
      </c>
      <c r="B22" s="15">
        <v>97.001720000000006</v>
      </c>
      <c r="C22" s="15" t="s">
        <v>324</v>
      </c>
      <c r="D22" s="15">
        <f>IF(25.20405="","-",25.20405/1874954.38713*100)</f>
        <v>1.3442487013553401E-3</v>
      </c>
      <c r="E22" s="15">
        <f>IF(97.00172="","-",97.00172/1725483.75067*100)</f>
        <v>5.6217115902908125E-3</v>
      </c>
    </row>
    <row r="23" spans="1:6" x14ac:dyDescent="0.3">
      <c r="A23" s="25" t="s">
        <v>197</v>
      </c>
      <c r="B23" s="16">
        <v>435199.89240999997</v>
      </c>
      <c r="C23" s="16">
        <v>152.72869938589307</v>
      </c>
      <c r="D23" s="16">
        <f>IF(284949.64873="","-",284949.64873/1874954.38713*100)</f>
        <v>15.197684310932683</v>
      </c>
      <c r="E23" s="16">
        <f>IF(435199.89241="","-",435199.89241/1725483.75067*100)</f>
        <v>25.221906160577472</v>
      </c>
    </row>
    <row r="24" spans="1:6" x14ac:dyDescent="0.3">
      <c r="A24" s="17" t="s">
        <v>117</v>
      </c>
      <c r="B24" s="16"/>
      <c r="C24" s="16"/>
      <c r="D24" s="16"/>
      <c r="E24" s="16"/>
    </row>
    <row r="25" spans="1:6" x14ac:dyDescent="0.3">
      <c r="A25" s="17" t="s">
        <v>104</v>
      </c>
      <c r="B25" s="15">
        <v>5038.53766</v>
      </c>
      <c r="C25" s="15" t="s">
        <v>338</v>
      </c>
      <c r="D25" s="15">
        <f>IF(82.09698="","-",82.09698/1874954.38713*100)</f>
        <v>4.3786121179015015E-3</v>
      </c>
      <c r="E25" s="15">
        <f>IF(5038.53766="","-",5038.53766/1725483.75067*100)</f>
        <v>0.29200725060688348</v>
      </c>
    </row>
    <row r="26" spans="1:6" x14ac:dyDescent="0.3">
      <c r="A26" s="17" t="s">
        <v>105</v>
      </c>
      <c r="B26" s="15">
        <v>26031.610830000001</v>
      </c>
      <c r="C26" s="15">
        <v>49.572366203046606</v>
      </c>
      <c r="D26" s="15">
        <f>IF(52512.3427099999="","-",52512.3427099999/1874954.38713*100)</f>
        <v>2.8007264107571572</v>
      </c>
      <c r="E26" s="15">
        <f>IF(26031.61083="","-",26031.61083/1725483.75067*100)</f>
        <v>1.5086558085459807</v>
      </c>
    </row>
    <row r="27" spans="1:6" x14ac:dyDescent="0.3">
      <c r="A27" s="17" t="s">
        <v>106</v>
      </c>
      <c r="B27" s="15">
        <v>388929.36226000002</v>
      </c>
      <c r="C27" s="15" t="s">
        <v>99</v>
      </c>
      <c r="D27" s="15">
        <f>IF(229405.7025="","-",229405.7025/1874954.38713*100)</f>
        <v>12.235268445711483</v>
      </c>
      <c r="E27" s="15">
        <f>IF(388929.36226="","-",388929.36226/1725483.75067*100)</f>
        <v>22.540308600934665</v>
      </c>
      <c r="F27" s="3"/>
    </row>
    <row r="28" spans="1:6" x14ac:dyDescent="0.3">
      <c r="A28" s="17" t="s">
        <v>107</v>
      </c>
      <c r="B28" s="15">
        <v>6888.3241900000003</v>
      </c>
      <c r="C28" s="15" t="s">
        <v>335</v>
      </c>
      <c r="D28" s="15">
        <f>IF(2859.12967="","-",2859.12967/1874954.38713*100)</f>
        <v>0.15249062535203753</v>
      </c>
      <c r="E28" s="15">
        <f>IF(6888.32419="","-",6888.32419/1725483.75067*100)</f>
        <v>0.39921118859133187</v>
      </c>
    </row>
    <row r="29" spans="1:6" x14ac:dyDescent="0.3">
      <c r="A29" s="17" t="s">
        <v>108</v>
      </c>
      <c r="B29" s="15">
        <v>6.4460899999999999</v>
      </c>
      <c r="C29" s="15">
        <v>13.568142127145984</v>
      </c>
      <c r="D29" s="15">
        <f>IF(47.50901="","-",47.50901/1874954.38713*100)</f>
        <v>2.5338755079115406E-3</v>
      </c>
      <c r="E29" s="15">
        <f>IF(6.44609="","-",6.44609/1725483.75067*100)</f>
        <v>3.7358161138851658E-4</v>
      </c>
    </row>
    <row r="30" spans="1:6" x14ac:dyDescent="0.3">
      <c r="A30" s="17" t="s">
        <v>109</v>
      </c>
      <c r="B30" s="15">
        <v>8082.0408399999997</v>
      </c>
      <c r="C30" s="15" t="s">
        <v>401</v>
      </c>
      <c r="D30" s="15">
        <f>IF(2.92441="","-",2.92441/1874954.38713*100)</f>
        <v>1.5597232765093586E-4</v>
      </c>
      <c r="E30" s="15">
        <f>IF(8082.04084="","-",8082.04084/1725483.75067*100)</f>
        <v>0.46839275286491505</v>
      </c>
    </row>
    <row r="31" spans="1:6" x14ac:dyDescent="0.3">
      <c r="A31" s="17" t="s">
        <v>110</v>
      </c>
      <c r="B31" s="15">
        <v>223.57053999999999</v>
      </c>
      <c r="C31" s="15" t="s">
        <v>313</v>
      </c>
      <c r="D31" s="15">
        <f>IF(39.94345="","-",39.94345/1874954.38713*100)</f>
        <v>2.1303691585341225E-3</v>
      </c>
      <c r="E31" s="15">
        <f>IF(223.57054="","-",223.57054/1725483.75067*100)</f>
        <v>1.2956977422313496E-2</v>
      </c>
    </row>
    <row r="32" spans="1:6" x14ac:dyDescent="0.3">
      <c r="A32" s="25" t="s">
        <v>283</v>
      </c>
      <c r="B32" s="16">
        <v>233383.07905999999</v>
      </c>
      <c r="C32" s="16">
        <v>61.18491495067844</v>
      </c>
      <c r="D32" s="16">
        <f>IF(381438.92044="","-",381438.92044/1874954.38713*100)</f>
        <v>20.343903993519014</v>
      </c>
      <c r="E32" s="16">
        <f>IF(233383.07906="","-",233383.07906/1725483.75067*100)</f>
        <v>13.525660787554683</v>
      </c>
    </row>
    <row r="33" spans="1:5" x14ac:dyDescent="0.3">
      <c r="A33" s="17" t="s">
        <v>117</v>
      </c>
      <c r="B33" s="16"/>
      <c r="C33" s="16"/>
      <c r="D33" s="16"/>
      <c r="E33" s="16"/>
    </row>
    <row r="34" spans="1:5" x14ac:dyDescent="0.3">
      <c r="A34" s="17" t="s">
        <v>104</v>
      </c>
      <c r="B34" s="15">
        <v>64311.700420000001</v>
      </c>
      <c r="C34" s="15">
        <v>123.60664897546272</v>
      </c>
      <c r="D34" s="15">
        <f>IF(52029.3212="","-",52029.3212/1874954.38713*100)</f>
        <v>2.7749646368539924</v>
      </c>
      <c r="E34" s="15">
        <f>IF(64311.70042="","-",64311.70042/1725483.75067*100)</f>
        <v>3.7271692877448408</v>
      </c>
    </row>
    <row r="35" spans="1:5" x14ac:dyDescent="0.3">
      <c r="A35" s="17" t="s">
        <v>105</v>
      </c>
      <c r="B35" s="15">
        <v>5820.0299800000003</v>
      </c>
      <c r="C35" s="15">
        <v>5.9536196658161238</v>
      </c>
      <c r="D35" s="15">
        <f>IF(97756.16023="","-",97756.16023/1874954.38713*100)</f>
        <v>5.2137887140623045</v>
      </c>
      <c r="E35" s="15">
        <f>IF(5820.02998="","-",5820.02998/1725483.75067*100)</f>
        <v>0.33729845196977953</v>
      </c>
    </row>
    <row r="36" spans="1:5" x14ac:dyDescent="0.3">
      <c r="A36" s="17" t="s">
        <v>106</v>
      </c>
      <c r="B36" s="15">
        <v>152572.87844999999</v>
      </c>
      <c r="C36" s="15">
        <v>68.359103164249134</v>
      </c>
      <c r="D36" s="15">
        <f>IF(223193.21259="","-",223193.21259/1874954.38713*100)</f>
        <v>11.90392759002755</v>
      </c>
      <c r="E36" s="15">
        <f>IF(152572.87845="","-",152572.87845/1725483.75067*100)</f>
        <v>8.8423248489449069</v>
      </c>
    </row>
    <row r="37" spans="1:5" x14ac:dyDescent="0.3">
      <c r="A37" s="17" t="s">
        <v>107</v>
      </c>
      <c r="B37" s="15">
        <v>9968.8507499999996</v>
      </c>
      <c r="C37" s="15">
        <v>121.31828082390655</v>
      </c>
      <c r="D37" s="15">
        <f>IF(8217.10519="","-",8217.10519/1874954.38713*100)</f>
        <v>0.43825627153404811</v>
      </c>
      <c r="E37" s="15">
        <f>IF(9968.85075="","-",9968.85075/1725483.75067*100)</f>
        <v>0.57774237202344714</v>
      </c>
    </row>
    <row r="38" spans="1:5" x14ac:dyDescent="0.3">
      <c r="A38" s="17" t="s">
        <v>108</v>
      </c>
      <c r="B38" s="15">
        <v>344.51211999999998</v>
      </c>
      <c r="C38" s="15">
        <v>141.70384050788161</v>
      </c>
      <c r="D38" s="15">
        <f>IF(243.12123="","-",243.12123/1874954.38713*100)</f>
        <v>1.2966781041118905E-2</v>
      </c>
      <c r="E38" s="15">
        <f>IF(344.51212="","-",344.51212/1725483.75067*100)</f>
        <v>1.9966117899761559E-2</v>
      </c>
    </row>
    <row r="39" spans="1:5" x14ac:dyDescent="0.3">
      <c r="A39" s="32" t="s">
        <v>110</v>
      </c>
      <c r="B39" s="59">
        <v>365.10734000000002</v>
      </c>
      <c r="C39" s="18" t="s">
        <v>313</v>
      </c>
      <c r="D39" s="18" t="s">
        <v>313</v>
      </c>
      <c r="E39" s="18">
        <f>IF(365.10734="","-",365.10734/1725483.75067*100)</f>
        <v>2.1159708971946561E-2</v>
      </c>
    </row>
    <row r="40" spans="1:5" x14ac:dyDescent="0.3">
      <c r="A40" s="21" t="s">
        <v>19</v>
      </c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40"/>
  <sheetViews>
    <sheetView workbookViewId="0">
      <selection sqref="A1:E1"/>
    </sheetView>
  </sheetViews>
  <sheetFormatPr defaultRowHeight="15.6" x14ac:dyDescent="0.3"/>
  <cols>
    <col min="1" max="1" width="31.5" customWidth="1"/>
    <col min="2" max="2" width="13.8984375" customWidth="1"/>
    <col min="3" max="3" width="14.19921875" customWidth="1"/>
    <col min="4" max="5" width="11.3984375" customWidth="1"/>
  </cols>
  <sheetData>
    <row r="1" spans="1:5" ht="16.2" x14ac:dyDescent="0.35">
      <c r="A1" s="73" t="s">
        <v>281</v>
      </c>
      <c r="B1" s="73"/>
      <c r="C1" s="73"/>
      <c r="D1" s="73"/>
      <c r="E1" s="73"/>
    </row>
    <row r="2" spans="1:5" ht="16.2" x14ac:dyDescent="0.35">
      <c r="A2" s="86"/>
      <c r="B2" s="86"/>
      <c r="C2" s="86"/>
      <c r="D2" s="86"/>
      <c r="E2" s="86"/>
    </row>
    <row r="3" spans="1:5" ht="18.75" customHeight="1" x14ac:dyDescent="0.3">
      <c r="A3" s="74"/>
      <c r="B3" s="76" t="s">
        <v>363</v>
      </c>
      <c r="C3" s="77"/>
      <c r="D3" s="78" t="s">
        <v>103</v>
      </c>
      <c r="E3" s="85"/>
    </row>
    <row r="4" spans="1:5" ht="37.5" customHeight="1" x14ac:dyDescent="0.3">
      <c r="A4" s="75"/>
      <c r="B4" s="39" t="s">
        <v>112</v>
      </c>
      <c r="C4" s="38" t="s">
        <v>365</v>
      </c>
      <c r="D4" s="39" t="s">
        <v>357</v>
      </c>
      <c r="E4" s="37" t="s">
        <v>358</v>
      </c>
    </row>
    <row r="5" spans="1:5" ht="15.75" customHeight="1" x14ac:dyDescent="0.3">
      <c r="A5" s="47" t="s">
        <v>118</v>
      </c>
      <c r="B5" s="49">
        <v>3706619.3768099998</v>
      </c>
      <c r="C5" s="49">
        <v>103.4744535215075</v>
      </c>
      <c r="D5" s="50">
        <v>100</v>
      </c>
      <c r="E5" s="50">
        <v>100</v>
      </c>
    </row>
    <row r="6" spans="1:5" ht="15.75" customHeight="1" x14ac:dyDescent="0.3">
      <c r="A6" s="17" t="s">
        <v>117</v>
      </c>
      <c r="B6" s="65"/>
      <c r="C6" s="16"/>
      <c r="D6" s="65"/>
      <c r="E6" s="65"/>
    </row>
    <row r="7" spans="1:5" x14ac:dyDescent="0.3">
      <c r="A7" s="17" t="s">
        <v>104</v>
      </c>
      <c r="B7" s="15">
        <v>278595.37839999999</v>
      </c>
      <c r="C7" s="15">
        <v>124.13256387337941</v>
      </c>
      <c r="D7" s="15">
        <f>IF(224433.75832="","-",224433.75832/3582158.92973*100)</f>
        <v>6.265321073761414</v>
      </c>
      <c r="E7" s="15">
        <f>IF(278595.3784="","-",278595.3784/3706619.37681*100)</f>
        <v>7.5161582584658433</v>
      </c>
    </row>
    <row r="8" spans="1:5" x14ac:dyDescent="0.3">
      <c r="A8" s="17" t="s">
        <v>105</v>
      </c>
      <c r="B8" s="15">
        <v>167172.87784</v>
      </c>
      <c r="C8" s="15">
        <v>103.511207669603</v>
      </c>
      <c r="D8" s="15">
        <f>IF(161502.2002="","-",161502.2002/3582158.92973*100)</f>
        <v>4.5085157685109465</v>
      </c>
      <c r="E8" s="15">
        <f>IF(167172.87784="","-",167172.87784/3706619.37681*100)</f>
        <v>4.5101171942794069</v>
      </c>
    </row>
    <row r="9" spans="1:5" x14ac:dyDescent="0.3">
      <c r="A9" s="17" t="s">
        <v>106</v>
      </c>
      <c r="B9" s="15">
        <v>2818897.2917200001</v>
      </c>
      <c r="C9" s="15">
        <v>103.39263047794347</v>
      </c>
      <c r="D9" s="15">
        <f>IF(2726400.59421="","-",2726400.59421/3582158.92973*100)</f>
        <v>76.110542488283684</v>
      </c>
      <c r="E9" s="15">
        <f>IF(2818897.29172="","-",2818897.29172/3706619.37681*100)</f>
        <v>76.050357621181135</v>
      </c>
    </row>
    <row r="10" spans="1:5" x14ac:dyDescent="0.3">
      <c r="A10" s="17" t="s">
        <v>107</v>
      </c>
      <c r="B10" s="15">
        <v>62485.441919999997</v>
      </c>
      <c r="C10" s="15">
        <v>106.36267498948521</v>
      </c>
      <c r="D10" s="15">
        <f>IF(58747.52767="","-",58747.52767/3582158.92973*100)</f>
        <v>1.6400033840605728</v>
      </c>
      <c r="E10" s="15">
        <f>IF(62485.44192="","-",62485.44192/3706619.37681*100)</f>
        <v>1.6857798324514339</v>
      </c>
    </row>
    <row r="11" spans="1:5" x14ac:dyDescent="0.3">
      <c r="A11" s="17" t="s">
        <v>108</v>
      </c>
      <c r="B11" s="15">
        <v>3578.6963900000001</v>
      </c>
      <c r="C11" s="15">
        <v>80.663637389060654</v>
      </c>
      <c r="D11" s="15">
        <f>IF(4436.56709="","-",4436.56709/3582158.92973*100)</f>
        <v>0.12385176584932818</v>
      </c>
      <c r="E11" s="15">
        <f>IF(3578.69639="","-",3578.69639/3706619.37681*100)</f>
        <v>9.6548796253256158E-2</v>
      </c>
    </row>
    <row r="12" spans="1:5" x14ac:dyDescent="0.3">
      <c r="A12" s="17" t="s">
        <v>109</v>
      </c>
      <c r="B12" s="15">
        <v>349101.65337000001</v>
      </c>
      <c r="C12" s="15">
        <v>89.657446691032987</v>
      </c>
      <c r="D12" s="15">
        <f>IF(389372.73618="","-",389372.73618/3582158.92973*100)</f>
        <v>10.869778360429933</v>
      </c>
      <c r="E12" s="15">
        <f>IF(349101.65337="","-",349101.65337/3706619.37681*100)</f>
        <v>9.418330232505415</v>
      </c>
    </row>
    <row r="13" spans="1:5" x14ac:dyDescent="0.3">
      <c r="A13" s="17" t="s">
        <v>110</v>
      </c>
      <c r="B13" s="15">
        <v>26788.03717</v>
      </c>
      <c r="C13" s="15">
        <v>155.1531418520336</v>
      </c>
      <c r="D13" s="15">
        <f>IF(17265.54606="","-",17265.54606/3582158.92973*100)</f>
        <v>0.4819871591041151</v>
      </c>
      <c r="E13" s="15">
        <f>IF(26788.03717="","-",26788.03717/3706619.37681*100)</f>
        <v>0.72270806486352501</v>
      </c>
    </row>
    <row r="14" spans="1:5" x14ac:dyDescent="0.3">
      <c r="A14" s="25" t="s">
        <v>196</v>
      </c>
      <c r="B14" s="66">
        <v>1791378.8461800001</v>
      </c>
      <c r="C14" s="16">
        <v>111.31677866996309</v>
      </c>
      <c r="D14" s="16">
        <f>IF(1609262.2043="","-",1609262.2043/3582158.92973*100)</f>
        <v>44.924366446837013</v>
      </c>
      <c r="E14" s="16">
        <f>IF(1791378.84618="","-",1791378.84618/3706619.37681*100)</f>
        <v>48.329182580427265</v>
      </c>
    </row>
    <row r="15" spans="1:5" x14ac:dyDescent="0.3">
      <c r="A15" s="17" t="s">
        <v>117</v>
      </c>
      <c r="B15" s="23"/>
      <c r="C15" s="16"/>
      <c r="D15" s="16"/>
      <c r="E15" s="16"/>
    </row>
    <row r="16" spans="1:5" x14ac:dyDescent="0.3">
      <c r="A16" s="17" t="s">
        <v>104</v>
      </c>
      <c r="B16" s="15">
        <v>95173.83958</v>
      </c>
      <c r="C16" s="15" t="s">
        <v>99</v>
      </c>
      <c r="D16" s="15">
        <f>IF(56071.0107="","-",56071.0107/3582158.92973*100)</f>
        <v>1.5652853991105935</v>
      </c>
      <c r="E16" s="15">
        <f>IF(95173.83958="","-",95173.83958/3706619.37681*100)</f>
        <v>2.5676723155186423</v>
      </c>
    </row>
    <row r="17" spans="1:6" x14ac:dyDescent="0.3">
      <c r="A17" s="17" t="s">
        <v>105</v>
      </c>
      <c r="B17" s="15">
        <v>76196.007370000007</v>
      </c>
      <c r="C17" s="15">
        <v>108.48609151248229</v>
      </c>
      <c r="D17" s="15">
        <f>IF(70235.73834="","-",70235.73834/3582158.92973*100)</f>
        <v>1.9607097205286175</v>
      </c>
      <c r="E17" s="15">
        <f>IF(76196.00737="","-",76196.00737/3706619.37681*100)</f>
        <v>2.055673907245799</v>
      </c>
    </row>
    <row r="18" spans="1:6" x14ac:dyDescent="0.3">
      <c r="A18" s="17" t="s">
        <v>106</v>
      </c>
      <c r="B18" s="15">
        <v>1510728.8475899999</v>
      </c>
      <c r="C18" s="15">
        <v>104.13451942517591</v>
      </c>
      <c r="D18" s="15">
        <f>IF(1450747.41395="","-",1450747.41395/3582158.92973*100)</f>
        <v>40.499247588083648</v>
      </c>
      <c r="E18" s="15">
        <f>IF(1510728.84759="","-",1510728.84759/3706619.37681*100)</f>
        <v>40.757593213958948</v>
      </c>
    </row>
    <row r="19" spans="1:6" x14ac:dyDescent="0.3">
      <c r="A19" s="17" t="s">
        <v>107</v>
      </c>
      <c r="B19" s="15">
        <v>16225.093800000001</v>
      </c>
      <c r="C19" s="15">
        <v>115.81267831212745</v>
      </c>
      <c r="D19" s="15">
        <f>IF(14009.7734="","-",14009.7734/3582158.92973*100)</f>
        <v>0.39109859933143637</v>
      </c>
      <c r="E19" s="15">
        <f>IF(16225.0938="","-",16225.0938/3706619.37681*100)</f>
        <v>0.43773293534022589</v>
      </c>
    </row>
    <row r="20" spans="1:6" x14ac:dyDescent="0.3">
      <c r="A20" s="17" t="s">
        <v>108</v>
      </c>
      <c r="B20" s="15">
        <v>2408.0718299999999</v>
      </c>
      <c r="C20" s="15">
        <v>81.017988585888332</v>
      </c>
      <c r="D20" s="15">
        <f>IF(2972.2681="","-",2972.2681/3582158.92973*100)</f>
        <v>8.2974210756864161E-2</v>
      </c>
      <c r="E20" s="15">
        <f>IF(2408.07183="","-",2408.07183/3706619.37681*100)</f>
        <v>6.4966795486631285E-2</v>
      </c>
    </row>
    <row r="21" spans="1:6" x14ac:dyDescent="0.3">
      <c r="A21" s="17" t="s">
        <v>109</v>
      </c>
      <c r="B21" s="15">
        <v>66320.329329999993</v>
      </c>
      <c r="C21" s="15" t="s">
        <v>313</v>
      </c>
      <c r="D21" s="15" t="s">
        <v>313</v>
      </c>
      <c r="E21" s="15">
        <f>IF(66320.32933="","-",66320.32933/3706619.37681*100)</f>
        <v>1.7892403451221572</v>
      </c>
    </row>
    <row r="22" spans="1:6" x14ac:dyDescent="0.3">
      <c r="A22" s="17" t="s">
        <v>110</v>
      </c>
      <c r="B22" s="15">
        <v>24326.65668</v>
      </c>
      <c r="C22" s="15">
        <v>159.77050429242058</v>
      </c>
      <c r="D22" s="15">
        <f>IF(15225.99981="","-",15225.99981/3582158.92973*100)</f>
        <v>0.42505092902585528</v>
      </c>
      <c r="E22" s="15">
        <f>IF(24326.65668="","-",24326.65668/3706619.37681*100)</f>
        <v>0.65630306775485725</v>
      </c>
      <c r="F22" s="16"/>
    </row>
    <row r="23" spans="1:6" x14ac:dyDescent="0.3">
      <c r="A23" s="25" t="s">
        <v>197</v>
      </c>
      <c r="B23" s="16">
        <v>779585.96551000001</v>
      </c>
      <c r="C23" s="67">
        <v>77.648306702336811</v>
      </c>
      <c r="D23" s="16">
        <f>IF(1003996.09292="","-",1003996.09292/3582158.92973*100)</f>
        <v>28.027681423829918</v>
      </c>
      <c r="E23" s="16">
        <f>IF(779585.96551="","-",779585.96551/3706619.37681*100)</f>
        <v>21.032263803167435</v>
      </c>
      <c r="F23" s="16"/>
    </row>
    <row r="24" spans="1:6" x14ac:dyDescent="0.3">
      <c r="A24" s="17" t="s">
        <v>117</v>
      </c>
      <c r="B24" s="16"/>
      <c r="C24" s="23"/>
      <c r="D24" s="16"/>
      <c r="E24" s="16"/>
      <c r="F24" s="15"/>
    </row>
    <row r="25" spans="1:6" x14ac:dyDescent="0.3">
      <c r="A25" s="17" t="s">
        <v>104</v>
      </c>
      <c r="B25" s="15">
        <v>47473.39918</v>
      </c>
      <c r="C25" s="23">
        <v>57.012186295525126</v>
      </c>
      <c r="D25" s="15">
        <f>IF(83268.86279="","-",83268.86279/3582158.92973*100)</f>
        <v>2.3245440647234563</v>
      </c>
      <c r="E25" s="15">
        <f>IF(47473.39918="","-",47473.39918/3706619.37681*100)</f>
        <v>1.2807735123010304</v>
      </c>
      <c r="F25" s="15"/>
    </row>
    <row r="26" spans="1:6" x14ac:dyDescent="0.3">
      <c r="A26" s="17" t="s">
        <v>105</v>
      </c>
      <c r="B26" s="15">
        <v>82582.615709999998</v>
      </c>
      <c r="C26" s="23">
        <v>90.555739397609656</v>
      </c>
      <c r="D26" s="15">
        <f>IF(91195.34141="","-",91195.34141/3582158.92973*100)</f>
        <v>2.5458206405396342</v>
      </c>
      <c r="E26" s="15">
        <f>IF(82582.61571="","-",82582.61571/3706619.37681*100)</f>
        <v>2.2279766902063858</v>
      </c>
      <c r="F26" s="15"/>
    </row>
    <row r="27" spans="1:6" x14ac:dyDescent="0.3">
      <c r="A27" s="17" t="s">
        <v>106</v>
      </c>
      <c r="B27" s="15">
        <v>359509.91217000003</v>
      </c>
      <c r="C27" s="23">
        <v>82.833965132285741</v>
      </c>
      <c r="D27" s="15">
        <f>IF(434012.68018="","-",434012.68018/3582158.92973*100)</f>
        <v>12.115952661338595</v>
      </c>
      <c r="E27" s="15">
        <f>IF(359509.91217="","-",359509.91217/3706619.37681*100)</f>
        <v>9.6991321639127221</v>
      </c>
      <c r="F27" s="15"/>
    </row>
    <row r="28" spans="1:6" x14ac:dyDescent="0.3">
      <c r="A28" s="17" t="s">
        <v>107</v>
      </c>
      <c r="B28" s="15">
        <v>7206.1078200000002</v>
      </c>
      <c r="C28" s="23">
        <v>126.88315028702542</v>
      </c>
      <c r="D28" s="15">
        <f>IF(5679.32606="","-",5679.32606/3582158.92973*100)</f>
        <v>0.15854478183155518</v>
      </c>
      <c r="E28" s="15">
        <f>IF(7206.10782="","-",7206.10782/3706619.37681*100)</f>
        <v>0.19441186395031848</v>
      </c>
      <c r="F28" s="15"/>
    </row>
    <row r="29" spans="1:6" x14ac:dyDescent="0.3">
      <c r="A29" s="17" t="s">
        <v>108</v>
      </c>
      <c r="B29" s="15">
        <v>32.606589999999997</v>
      </c>
      <c r="C29" s="23">
        <v>101.02657577351815</v>
      </c>
      <c r="D29" s="15">
        <f>IF(32.27526="","-",32.27526/3582158.92973*100)</f>
        <v>9.0100022453310587E-4</v>
      </c>
      <c r="E29" s="15">
        <f>IF(32.60659="","-",32.60659/3706619.37681*100)</f>
        <v>8.7968541372224641E-4</v>
      </c>
      <c r="F29" s="15"/>
    </row>
    <row r="30" spans="1:6" x14ac:dyDescent="0.3">
      <c r="A30" s="17" t="s">
        <v>109</v>
      </c>
      <c r="B30" s="15">
        <v>282781.32403999998</v>
      </c>
      <c r="C30" s="23">
        <v>72.62483932857468</v>
      </c>
      <c r="D30" s="15">
        <f>IF(389372.73618="","-",389372.73618/3582158.92973*100)</f>
        <v>10.869778360429933</v>
      </c>
      <c r="E30" s="15">
        <f>IF(282781.32404="","-",282781.32404/3706619.37681*100)</f>
        <v>7.6290898873832571</v>
      </c>
    </row>
    <row r="31" spans="1:6" x14ac:dyDescent="0.3">
      <c r="A31" s="17" t="s">
        <v>110</v>
      </c>
      <c r="B31" s="15" t="s">
        <v>313</v>
      </c>
      <c r="C31" s="28" t="s">
        <v>313</v>
      </c>
      <c r="D31" s="15">
        <f>IF(434.87104="","-",434.87104/3582158.92973*100)</f>
        <v>1.2139914742218816E-2</v>
      </c>
      <c r="E31" s="15" t="s">
        <v>313</v>
      </c>
    </row>
    <row r="32" spans="1:6" x14ac:dyDescent="0.3">
      <c r="A32" s="25" t="s">
        <v>198</v>
      </c>
      <c r="B32" s="66">
        <v>1135654.5651199999</v>
      </c>
      <c r="C32" s="16">
        <v>117.21063306337338</v>
      </c>
      <c r="D32" s="16">
        <f>IF(968900.63251="","-",968900.63251/3582158.92973*100)</f>
        <v>27.047952129333062</v>
      </c>
      <c r="E32" s="16">
        <f>IF(1135654.56512="","-",1135654.56512/3706619.37681*100)</f>
        <v>30.638553616405307</v>
      </c>
    </row>
    <row r="33" spans="1:5" x14ac:dyDescent="0.3">
      <c r="A33" s="17" t="s">
        <v>117</v>
      </c>
      <c r="B33" s="23"/>
      <c r="C33" s="16"/>
      <c r="D33" s="16"/>
      <c r="E33" s="16"/>
    </row>
    <row r="34" spans="1:5" x14ac:dyDescent="0.3">
      <c r="A34" s="17" t="s">
        <v>104</v>
      </c>
      <c r="B34" s="15">
        <v>135948.13964000001</v>
      </c>
      <c r="C34" s="15">
        <v>159.7625257227312</v>
      </c>
      <c r="D34" s="15">
        <f>IF(85093.88483="","-",85093.88483/3582158.92973*100)</f>
        <v>2.3754916099273635</v>
      </c>
      <c r="E34" s="15">
        <f>IF(135948.13964="","-",135948.13964/3706619.37681*100)</f>
        <v>3.6677124306461715</v>
      </c>
    </row>
    <row r="35" spans="1:5" x14ac:dyDescent="0.3">
      <c r="A35" s="17" t="s">
        <v>105</v>
      </c>
      <c r="B35" s="15">
        <v>8394.2547599999998</v>
      </c>
      <c r="C35" s="15" t="s">
        <v>402</v>
      </c>
      <c r="D35" s="15">
        <f>IF(71.12045="","-",71.12045/3582158.92973*100)</f>
        <v>1.9854074426943588E-3</v>
      </c>
      <c r="E35" s="15">
        <f>IF(8394.25476="","-",8394.25476/3706619.37681*100)</f>
        <v>0.22646659682722223</v>
      </c>
    </row>
    <row r="36" spans="1:5" x14ac:dyDescent="0.3">
      <c r="A36" s="17" t="s">
        <v>106</v>
      </c>
      <c r="B36" s="15">
        <v>948658.53196000005</v>
      </c>
      <c r="C36" s="15">
        <v>112.71540899823947</v>
      </c>
      <c r="D36" s="15">
        <f>IF(841640.50008="","-",841640.50008/3582158.92973*100)</f>
        <v>23.495342238861454</v>
      </c>
      <c r="E36" s="15">
        <f>IF(948658.53196="","-",948658.53196/3706619.37681*100)</f>
        <v>25.593632243309454</v>
      </c>
    </row>
    <row r="37" spans="1:5" x14ac:dyDescent="0.3">
      <c r="A37" s="17" t="s">
        <v>107</v>
      </c>
      <c r="B37" s="15">
        <v>39054.240299999998</v>
      </c>
      <c r="C37" s="15">
        <v>99.989277832744619</v>
      </c>
      <c r="D37" s="15">
        <f>IF(39058.42821="","-",39058.42821/3582158.92973*100)</f>
        <v>1.0903600028975815</v>
      </c>
      <c r="E37" s="15">
        <f>IF(39054.2403="","-",39054.2403/3706619.37681*100)</f>
        <v>1.0536350331608895</v>
      </c>
    </row>
    <row r="38" spans="1:5" x14ac:dyDescent="0.3">
      <c r="A38" s="17" t="s">
        <v>108</v>
      </c>
      <c r="B38" s="15">
        <v>1138.0179700000001</v>
      </c>
      <c r="C38" s="15">
        <v>79.469211728774923</v>
      </c>
      <c r="D38" s="15">
        <f>IF(1432.02373="","-",1432.02373/3582158.92973*100)</f>
        <v>3.9976554867930905E-2</v>
      </c>
      <c r="E38" s="15">
        <f>IF(1138.01797="","-",1138.01797/3706619.37681*100)</f>
        <v>3.0702315352902621E-2</v>
      </c>
    </row>
    <row r="39" spans="1:5" x14ac:dyDescent="0.3">
      <c r="A39" s="32" t="s">
        <v>110</v>
      </c>
      <c r="B39" s="18">
        <v>2461.38049</v>
      </c>
      <c r="C39" s="18">
        <v>153.38807969744855</v>
      </c>
      <c r="D39" s="18">
        <f>IF(1604.67521="","-",1604.67521/3582158.92973*100)</f>
        <v>4.4796315336040948E-2</v>
      </c>
      <c r="E39" s="18">
        <f>IF(2461.38049="","-",2461.38049/3706619.37681*100)</f>
        <v>6.6404997108667776E-2</v>
      </c>
    </row>
    <row r="40" spans="1:5" x14ac:dyDescent="0.3">
      <c r="A40" s="21" t="s">
        <v>19</v>
      </c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81"/>
  <sheetViews>
    <sheetView zoomScaleNormal="100" workbookViewId="0">
      <selection activeCell="B1" sqref="B1:H1"/>
    </sheetView>
  </sheetViews>
  <sheetFormatPr defaultRowHeight="15.6" x14ac:dyDescent="0.3"/>
  <cols>
    <col min="1" max="1" width="4.59765625" customWidth="1"/>
    <col min="2" max="2" width="26.09765625" customWidth="1"/>
    <col min="3" max="3" width="11.09765625" customWidth="1"/>
    <col min="4" max="4" width="10.69921875" customWidth="1"/>
    <col min="5" max="6" width="8" customWidth="1"/>
    <col min="7" max="7" width="8.8984375" customWidth="1"/>
    <col min="8" max="8" width="9.09765625" customWidth="1"/>
  </cols>
  <sheetData>
    <row r="1" spans="1:9" ht="16.2" x14ac:dyDescent="0.35">
      <c r="B1" s="83" t="s">
        <v>125</v>
      </c>
      <c r="C1" s="83"/>
      <c r="D1" s="83"/>
      <c r="E1" s="83"/>
      <c r="F1" s="83"/>
      <c r="G1" s="83"/>
      <c r="H1" s="83"/>
    </row>
    <row r="2" spans="1:9" ht="16.2" x14ac:dyDescent="0.35">
      <c r="B2" s="83" t="s">
        <v>275</v>
      </c>
      <c r="C2" s="83"/>
      <c r="D2" s="83"/>
      <c r="E2" s="83"/>
      <c r="F2" s="83"/>
      <c r="G2" s="83"/>
      <c r="H2" s="83"/>
    </row>
    <row r="3" spans="1:9" x14ac:dyDescent="0.3">
      <c r="A3" s="93"/>
      <c r="B3" s="93"/>
      <c r="C3" s="93"/>
      <c r="D3" s="93"/>
      <c r="E3" s="93"/>
      <c r="F3" s="93"/>
      <c r="G3" s="93"/>
      <c r="H3" s="93"/>
    </row>
    <row r="4" spans="1:9" ht="57.75" customHeight="1" x14ac:dyDescent="0.3">
      <c r="A4" s="87" t="s">
        <v>201</v>
      </c>
      <c r="B4" s="89"/>
      <c r="C4" s="76" t="s">
        <v>355</v>
      </c>
      <c r="D4" s="77"/>
      <c r="E4" s="78" t="s">
        <v>0</v>
      </c>
      <c r="F4" s="79"/>
      <c r="G4" s="91" t="s">
        <v>410</v>
      </c>
      <c r="H4" s="92"/>
    </row>
    <row r="5" spans="1:9" ht="42.75" customHeight="1" x14ac:dyDescent="0.3">
      <c r="A5" s="88"/>
      <c r="B5" s="90"/>
      <c r="C5" s="39" t="s">
        <v>95</v>
      </c>
      <c r="D5" s="38" t="s">
        <v>356</v>
      </c>
      <c r="E5" s="39" t="s">
        <v>357</v>
      </c>
      <c r="F5" s="39" t="s">
        <v>358</v>
      </c>
      <c r="G5" s="39" t="s">
        <v>366</v>
      </c>
      <c r="H5" s="37" t="s">
        <v>367</v>
      </c>
    </row>
    <row r="6" spans="1:9" ht="16.5" customHeight="1" x14ac:dyDescent="0.3">
      <c r="A6" s="43"/>
      <c r="B6" s="51" t="s">
        <v>96</v>
      </c>
      <c r="C6" s="52">
        <v>1725483.75067</v>
      </c>
      <c r="D6" s="48">
        <f>IF(1874954.38713="","-",1725483.75067/1874954.38713*100)</f>
        <v>92.028038789317151</v>
      </c>
      <c r="E6" s="48">
        <v>100</v>
      </c>
      <c r="F6" s="48">
        <v>100</v>
      </c>
      <c r="G6" s="48">
        <f>IF(1104691.54098="","-",(1874954.38713-1104691.54098)/1104691.54098*100)</f>
        <v>69.726508946260253</v>
      </c>
      <c r="H6" s="48">
        <f>IF(1874954.38713="","-",(1725483.75067-1874954.38713)/1874954.38713*100)</f>
        <v>-7.9719612106828501</v>
      </c>
    </row>
    <row r="7" spans="1:9" ht="26.4" x14ac:dyDescent="0.3">
      <c r="A7" s="11" t="s">
        <v>202</v>
      </c>
      <c r="B7" s="12" t="s">
        <v>173</v>
      </c>
      <c r="C7" s="9">
        <v>361232.71133999998</v>
      </c>
      <c r="D7" s="16">
        <f>IF(515985.73869="","-",361232.71134/515985.73869*100)</f>
        <v>70.008274309500948</v>
      </c>
      <c r="E7" s="16">
        <f>IF(515985.73869="","-",515985.73869/1874954.38713*100)</f>
        <v>27.519908869880371</v>
      </c>
      <c r="F7" s="16">
        <f>IF(361232.71134="","-",361232.71134/1725483.75067*100)</f>
        <v>20.935155790353544</v>
      </c>
      <c r="G7" s="16">
        <f>IF(1104691.54098="","-",(515985.73869-192379.97088)/1104691.54098*100)</f>
        <v>29.293767156297861</v>
      </c>
      <c r="H7" s="16">
        <f>IF(1874954.38713="","-",(361232.71134-515985.73869)/1874954.38713*100)</f>
        <v>-8.2536955785298396</v>
      </c>
    </row>
    <row r="8" spans="1:9" ht="13.5" customHeight="1" x14ac:dyDescent="0.3">
      <c r="A8" s="13" t="s">
        <v>203</v>
      </c>
      <c r="B8" s="14" t="s">
        <v>21</v>
      </c>
      <c r="C8" s="10">
        <v>5883.1524399999998</v>
      </c>
      <c r="D8" s="15">
        <f>IF(OR(4044.08649="",5883.15244=""),"-",5883.15244/4044.08649*100)</f>
        <v>145.47543566507647</v>
      </c>
      <c r="E8" s="15">
        <f>IF(4044.08649="","-",4044.08649/1874954.38713*100)</f>
        <v>0.21568985985788697</v>
      </c>
      <c r="F8" s="15">
        <f>IF(5883.15244="","-",5883.15244/1725483.75067*100)</f>
        <v>0.34095669911209481</v>
      </c>
      <c r="G8" s="15">
        <f>IF(OR(1104691.54098="",4283.79049="",4044.08649=""),"-",(4044.08649-4283.79049)/1104691.54098*100)</f>
        <v>-2.1698726848886039E-2</v>
      </c>
      <c r="H8" s="15">
        <f>IF(OR(1874954.38713="",5883.15244="",4044.08649=""),"-",(5883.15244-4044.08649)/1874954.38713*100)</f>
        <v>9.808590345576701E-2</v>
      </c>
      <c r="I8" s="11"/>
    </row>
    <row r="9" spans="1:9" x14ac:dyDescent="0.3">
      <c r="A9" s="13" t="s">
        <v>204</v>
      </c>
      <c r="B9" s="14" t="s">
        <v>174</v>
      </c>
      <c r="C9" s="10">
        <v>1543.61436</v>
      </c>
      <c r="D9" s="15" t="s">
        <v>194</v>
      </c>
      <c r="E9" s="15">
        <f>IF(864.4996="","-",864.4996/1874954.38713*100)</f>
        <v>4.6107766990710258E-2</v>
      </c>
      <c r="F9" s="15">
        <f>IF(1543.61436="","-",1543.61436/1725483.75067*100)</f>
        <v>8.9459802759696769E-2</v>
      </c>
      <c r="G9" s="15">
        <f>IF(OR(1104691.54098="",2397.19496="",864.4996=""),"-",(864.4996-2397.19496)/1104691.54098*100)</f>
        <v>-0.13874419266760263</v>
      </c>
      <c r="H9" s="15">
        <f>IF(OR(1874954.38713="",1543.61436="",864.4996=""),"-",(1543.61436-864.4996)/1874954.38713*100)</f>
        <v>3.6220334993830101E-2</v>
      </c>
      <c r="I9" s="13"/>
    </row>
    <row r="10" spans="1:9" s="2" customFormat="1" x14ac:dyDescent="0.3">
      <c r="A10" s="13" t="s">
        <v>205</v>
      </c>
      <c r="B10" s="14" t="s">
        <v>175</v>
      </c>
      <c r="C10" s="10">
        <v>7261.0470500000001</v>
      </c>
      <c r="D10" s="15">
        <f>IF(OR(5500.51644="",7261.04705=""),"-",7261.04705/5500.51644*100)</f>
        <v>132.00664208904718</v>
      </c>
      <c r="E10" s="15">
        <f>IF(5500.51644="","-",5500.51644/1874954.38713*100)</f>
        <v>0.29336801352376696</v>
      </c>
      <c r="F10" s="15">
        <f>IF(7261.04705="","-",7261.04705/1725483.75067*100)</f>
        <v>0.42081225321192151</v>
      </c>
      <c r="G10" s="15">
        <f>IF(OR(1104691.54098="",3831.06436="",5500.51644=""),"-",(5500.51644-3831.06436)/1104691.54098*100)</f>
        <v>0.15112382217745479</v>
      </c>
      <c r="H10" s="15">
        <f>IF(OR(1874954.38713="",7261.04705="",5500.51644=""),"-",(7261.04705-5500.51644)/1874954.38713*100)</f>
        <v>9.3897250092299628E-2</v>
      </c>
      <c r="I10" s="13"/>
    </row>
    <row r="11" spans="1:9" s="2" customFormat="1" x14ac:dyDescent="0.3">
      <c r="A11" s="13" t="s">
        <v>206</v>
      </c>
      <c r="B11" s="14" t="s">
        <v>176</v>
      </c>
      <c r="C11" s="10">
        <v>171.20858000000001</v>
      </c>
      <c r="D11" s="15" t="s">
        <v>300</v>
      </c>
      <c r="E11" s="15">
        <f>IF(55.80032="","-",55.80032/1874954.38713*100)</f>
        <v>2.9760894655903483E-3</v>
      </c>
      <c r="F11" s="15">
        <f>IF(171.20858="","-",171.20858/1725483.75067*100)</f>
        <v>9.9223524958447305E-3</v>
      </c>
      <c r="G11" s="15">
        <f>IF(OR(1104691.54098="",39.30529="",55.80032=""),"-",(55.80032-39.30529)/1104691.54098*100)</f>
        <v>1.4931797147072238E-3</v>
      </c>
      <c r="H11" s="15">
        <f>IF(OR(1874954.38713="",171.20858="",55.80032=""),"-",(171.20858-55.80032)/1874954.38713*100)</f>
        <v>6.1552569380984197E-3</v>
      </c>
      <c r="I11" s="13"/>
    </row>
    <row r="12" spans="1:9" s="2" customFormat="1" ht="15.75" customHeight="1" x14ac:dyDescent="0.3">
      <c r="A12" s="13" t="s">
        <v>207</v>
      </c>
      <c r="B12" s="14" t="s">
        <v>177</v>
      </c>
      <c r="C12" s="10">
        <v>167409.71669999999</v>
      </c>
      <c r="D12" s="15">
        <f>IF(OR(306261.51232="",167409.7167=""),"-",167409.7167/306261.51232*100)</f>
        <v>54.662342464070548</v>
      </c>
      <c r="E12" s="15">
        <f>IF(306261.51232="","-",306261.51232/1874954.38713*100)</f>
        <v>16.334344687115067</v>
      </c>
      <c r="F12" s="15">
        <f>IF(167409.7167="","-",167409.7167/1725483.75067*100)</f>
        <v>9.7021902776537488</v>
      </c>
      <c r="G12" s="15">
        <f>IF(OR(1104691.54098="",51448.90166="",306261.51232=""),"-",(306261.51232-51448.90166)/1104691.54098*100)</f>
        <v>23.066403716095195</v>
      </c>
      <c r="H12" s="15">
        <f>IF(OR(1874954.38713="",167409.7167="",306261.51232=""),"-",(167409.7167-306261.51232)/1874954.38713*100)</f>
        <v>-7.4056092549825161</v>
      </c>
      <c r="I12" s="13"/>
    </row>
    <row r="13" spans="1:9" s="2" customFormat="1" ht="15.75" customHeight="1" x14ac:dyDescent="0.3">
      <c r="A13" s="13" t="s">
        <v>208</v>
      </c>
      <c r="B13" s="14" t="s">
        <v>178</v>
      </c>
      <c r="C13" s="10">
        <v>130407.49051</v>
      </c>
      <c r="D13" s="15">
        <f>IF(OR(153324.6329="",130407.49051=""),"-",130407.49051/153324.6329*100)</f>
        <v>85.053189460465362</v>
      </c>
      <c r="E13" s="15">
        <f>IF(153324.6329="","-",153324.6329/1874954.38713*100)</f>
        <v>8.1775126879056828</v>
      </c>
      <c r="F13" s="15">
        <f>IF(130407.49051="","-",130407.49051/1725483.75067*100)</f>
        <v>7.5577350675926791</v>
      </c>
      <c r="G13" s="15">
        <f>IF(OR(1104691.54098="",112302.39486="",153324.6329=""),"-",(153324.6329-112302.39486)/1104691.54098*100)</f>
        <v>3.7134563376495233</v>
      </c>
      <c r="H13" s="15">
        <f>IF(OR(1874954.38713="",130407.49051="",153324.6329=""),"-",(130407.49051-153324.6329)/1874954.38713*100)</f>
        <v>-1.2222773283076689</v>
      </c>
      <c r="I13" s="13"/>
    </row>
    <row r="14" spans="1:9" s="2" customFormat="1" ht="14.25" customHeight="1" x14ac:dyDescent="0.3">
      <c r="A14" s="13" t="s">
        <v>209</v>
      </c>
      <c r="B14" s="14" t="s">
        <v>136</v>
      </c>
      <c r="C14" s="10">
        <v>10649.98141</v>
      </c>
      <c r="D14" s="15">
        <f>IF(OR(12499.99714="",10649.98141=""),"-",10649.98141/12499.99714*100)</f>
        <v>85.199870773730439</v>
      </c>
      <c r="E14" s="15">
        <f>IF(12499.99714="","-",12499.99714/1874954.38713*100)</f>
        <v>0.66668273243349641</v>
      </c>
      <c r="F14" s="15">
        <f>IF(10649.98141="","-",10649.98141/1725483.75067*100)</f>
        <v>0.61721713727322247</v>
      </c>
      <c r="G14" s="15">
        <f>IF(OR(1104691.54098="",4676.53322="",12499.99714=""),"-",(12499.99714-4676.53322)/1104691.54098*100)</f>
        <v>0.70820347850763887</v>
      </c>
      <c r="H14" s="15">
        <f>IF(OR(1874954.38713="",10649.98141="",12499.99714=""),"-",(10649.98141-12499.99714)/1874954.38713*100)</f>
        <v>-9.8669905929382393E-2</v>
      </c>
      <c r="I14" s="13"/>
    </row>
    <row r="15" spans="1:9" s="2" customFormat="1" ht="26.4" x14ac:dyDescent="0.3">
      <c r="A15" s="13" t="s">
        <v>210</v>
      </c>
      <c r="B15" s="14" t="s">
        <v>179</v>
      </c>
      <c r="C15" s="10">
        <v>4090.8100899999999</v>
      </c>
      <c r="D15" s="15">
        <f>IF(OR(4796.91856="",4090.81009=""),"-",4090.81009/4796.91856*100)</f>
        <v>85.279957098125095</v>
      </c>
      <c r="E15" s="15">
        <f>IF(4796.91856="","-",4796.91856/1874954.38713*100)</f>
        <v>0.25584188036396249</v>
      </c>
      <c r="F15" s="15">
        <f>IF(4090.81009="","-",4090.81009/1725483.75067*100)</f>
        <v>0.23708192490433777</v>
      </c>
      <c r="G15" s="15">
        <f>IF(OR(1104691.54098="",4137.12727="",4796.91856=""),"-",(4796.91856-4137.12727)/1104691.54098*100)</f>
        <v>5.9726291505290463E-2</v>
      </c>
      <c r="H15" s="15">
        <f>IF(OR(1874954.38713="",4090.81009="",4796.91856=""),"-",(4090.81009-4796.91856)/1874954.38713*100)</f>
        <v>-3.7660034550538755E-2</v>
      </c>
      <c r="I15" s="13"/>
    </row>
    <row r="16" spans="1:9" s="2" customFormat="1" ht="26.4" x14ac:dyDescent="0.3">
      <c r="A16" s="13" t="s">
        <v>211</v>
      </c>
      <c r="B16" s="14" t="s">
        <v>137</v>
      </c>
      <c r="C16" s="10">
        <v>28876.667799999999</v>
      </c>
      <c r="D16" s="15">
        <f>IF(OR(25556.95096="",28876.6678=""),"-",28876.6678/25556.95096*100)</f>
        <v>112.98948706829619</v>
      </c>
      <c r="E16" s="15">
        <f>IF(25556.95096="","-",25556.95096/1874954.38713*100)</f>
        <v>1.3630705437650739</v>
      </c>
      <c r="F16" s="15">
        <f>IF(28876.6678="","-",28876.6678/1725483.75067*100)</f>
        <v>1.6735404079457301</v>
      </c>
      <c r="G16" s="15">
        <f>IF(OR(1104691.54098="",7311.21107="",25556.95096=""),"-",(25556.95096-7311.21107)/1104691.54098*100)</f>
        <v>1.6516592381809798</v>
      </c>
      <c r="H16" s="15">
        <f>IF(OR(1874954.38713="",28876.6678="",25556.95096=""),"-",(28876.6678-25556.95096)/1874954.38713*100)</f>
        <v>0.17705587201411896</v>
      </c>
      <c r="I16" s="13"/>
    </row>
    <row r="17" spans="1:9" s="2" customFormat="1" ht="26.4" x14ac:dyDescent="0.3">
      <c r="A17" s="13" t="s">
        <v>212</v>
      </c>
      <c r="B17" s="14" t="s">
        <v>180</v>
      </c>
      <c r="C17" s="10">
        <v>4939.0223999999998</v>
      </c>
      <c r="D17" s="15" t="s">
        <v>100</v>
      </c>
      <c r="E17" s="15">
        <f>IF(3080.82396="","-",3080.82396/1874954.38713*100)</f>
        <v>0.1643146084591332</v>
      </c>
      <c r="F17" s="15">
        <f>IF(4939.0224="","-",4939.0224/1725483.75067*100)</f>
        <v>0.2862398674042681</v>
      </c>
      <c r="G17" s="15">
        <f>IF(OR(1104691.54098="",1952.4477="",3080.82396=""),"-",(3080.82396-1952.4477)/1104691.54098*100)</f>
        <v>0.10214401198356138</v>
      </c>
      <c r="H17" s="15">
        <f>IF(OR(1874954.38713="",4939.0224="",3080.82396=""),"-",(4939.0224-3080.82396)/1874954.38713*100)</f>
        <v>9.9106327746156603E-2</v>
      </c>
      <c r="I17" s="13"/>
    </row>
    <row r="18" spans="1:9" s="2" customFormat="1" x14ac:dyDescent="0.3">
      <c r="A18" s="11" t="s">
        <v>213</v>
      </c>
      <c r="B18" s="12" t="s">
        <v>181</v>
      </c>
      <c r="C18" s="9">
        <v>86973.051290000003</v>
      </c>
      <c r="D18" s="16">
        <f>IF(63779.46534="","-",86973.05129/63779.46534*100)</f>
        <v>136.36528752061187</v>
      </c>
      <c r="E18" s="16">
        <f>IF(63779.46534="","-",63779.46534/1874954.38713*100)</f>
        <v>3.4016542363799833</v>
      </c>
      <c r="F18" s="16">
        <f>IF(86973.05129="","-",86973.05129/1725483.75067*100)</f>
        <v>5.0405024826358771</v>
      </c>
      <c r="G18" s="16">
        <f>IF(1104691.54098="","-",(63779.46534-82270.14534)/1104691.54098*100)</f>
        <v>-1.6738319534515895</v>
      </c>
      <c r="H18" s="16">
        <f>IF(1874954.38713="","-",(86973.05129-63779.46534)/1874954.38713*100)</f>
        <v>1.2370213435166555</v>
      </c>
      <c r="I18" s="13"/>
    </row>
    <row r="19" spans="1:9" s="2" customFormat="1" x14ac:dyDescent="0.3">
      <c r="A19" s="13" t="s">
        <v>214</v>
      </c>
      <c r="B19" s="14" t="s">
        <v>182</v>
      </c>
      <c r="C19" s="10">
        <v>82462.818830000004</v>
      </c>
      <c r="D19" s="15">
        <f>IF(OR(59306.77287="",82462.81883=""),"-",82462.81883/59306.77287*100)</f>
        <v>139.04452196506779</v>
      </c>
      <c r="E19" s="15">
        <f>IF(59306.77287="","-",59306.77287/1874954.38713*100)</f>
        <v>3.1631048348211346</v>
      </c>
      <c r="F19" s="15">
        <f>IF(82462.81883="","-",82462.81883/1725483.75067*100)</f>
        <v>4.7791130341262242</v>
      </c>
      <c r="G19" s="15">
        <f>IF(OR(1104691.54098="",77340.96866="",59306.77287=""),"-",(59306.77287-77340.96866)/1104691.54098*100)</f>
        <v>-1.6325096301544415</v>
      </c>
      <c r="H19" s="15">
        <f>IF(OR(1874954.38713="",82462.81883="",59306.77287=""),"-",(82462.81883-59306.77287)/1874954.38713*100)</f>
        <v>1.2350191620098585</v>
      </c>
      <c r="I19" s="11"/>
    </row>
    <row r="20" spans="1:9" s="2" customFormat="1" x14ac:dyDescent="0.3">
      <c r="A20" s="13" t="s">
        <v>215</v>
      </c>
      <c r="B20" s="14" t="s">
        <v>183</v>
      </c>
      <c r="C20" s="10">
        <v>4510.2324600000002</v>
      </c>
      <c r="D20" s="15">
        <f>IF(OR(4472.69247="",4510.23246=""),"-",4510.23246/4472.69247*100)</f>
        <v>100.83931525030604</v>
      </c>
      <c r="E20" s="15">
        <f>IF(4472.69247="","-",4472.69247/1874954.38713*100)</f>
        <v>0.23854940155884902</v>
      </c>
      <c r="F20" s="15">
        <f>IF(4510.23246="","-",4510.23246/1725483.75067*100)</f>
        <v>0.26138944850965368</v>
      </c>
      <c r="G20" s="15">
        <f>IF(OR(1104691.54098="",4929.17668="",4472.69247=""),"-",(4472.69247-4929.17668)/1104691.54098*100)</f>
        <v>-4.1322323297147807E-2</v>
      </c>
      <c r="H20" s="15">
        <f>IF(OR(1874954.38713="",4510.23246="",4472.69247=""),"-",(4510.23246-4472.69247)/1874954.38713*100)</f>
        <v>2.0021815067972305E-3</v>
      </c>
      <c r="I20" s="13"/>
    </row>
    <row r="21" spans="1:9" s="2" customFormat="1" ht="26.4" x14ac:dyDescent="0.3">
      <c r="A21" s="11" t="s">
        <v>216</v>
      </c>
      <c r="B21" s="12" t="s">
        <v>22</v>
      </c>
      <c r="C21" s="9">
        <v>108589.70277</v>
      </c>
      <c r="D21" s="16">
        <f>IF(264302.83601="","-",108589.70277/264302.83601*100)</f>
        <v>41.085333933341325</v>
      </c>
      <c r="E21" s="16">
        <f>IF(264302.83601="","-",264302.83601/1874954.38713*100)</f>
        <v>14.096494177363397</v>
      </c>
      <c r="F21" s="16">
        <f>IF(108589.70277="","-",108589.70277/1725483.75067*100)</f>
        <v>6.2932903730814598</v>
      </c>
      <c r="G21" s="16">
        <f>IF(1104691.54098="","-",(264302.83601-114806.32496)/1104691.54098*100)</f>
        <v>13.53287370313145</v>
      </c>
      <c r="H21" s="16">
        <f>IF(1874954.38713="","-",(108589.70277-264302.83601)/1874954.38713*100)</f>
        <v>-8.3049024716996307</v>
      </c>
      <c r="I21" s="13"/>
    </row>
    <row r="22" spans="1:9" s="2" customFormat="1" ht="15" customHeight="1" x14ac:dyDescent="0.3">
      <c r="A22" s="13" t="s">
        <v>217</v>
      </c>
      <c r="B22" s="14" t="s">
        <v>190</v>
      </c>
      <c r="C22" s="10">
        <v>597.50760000000002</v>
      </c>
      <c r="D22" s="15">
        <f>IF(OR(669.3578="",597.5076=""),"-",597.5076/669.3578*100)</f>
        <v>89.265800742144179</v>
      </c>
      <c r="E22" s="15">
        <f>IF(669.3578="","-",669.3578/1874954.38713*100)</f>
        <v>3.569995113452272E-2</v>
      </c>
      <c r="F22" s="15">
        <f>IF(597.5076="","-",597.5076/1725483.75067*100)</f>
        <v>3.4628410714849657E-2</v>
      </c>
      <c r="G22" s="15">
        <f>IF(OR(1104691.54098="",604.77404="",669.3578=""),"-",(669.3578-604.77404)/1104691.54098*100)</f>
        <v>5.846316152896951E-3</v>
      </c>
      <c r="H22" s="15">
        <f>IF(OR(1874954.38713="",597.5076="",669.3578=""),"-",(597.5076-669.3578)/1874954.38713*100)</f>
        <v>-3.8321038897368249E-3</v>
      </c>
      <c r="I22" s="11"/>
    </row>
    <row r="23" spans="1:9" s="2" customFormat="1" ht="15" customHeight="1" x14ac:dyDescent="0.3">
      <c r="A23" s="13" t="s">
        <v>218</v>
      </c>
      <c r="B23" s="14" t="s">
        <v>184</v>
      </c>
      <c r="C23" s="10">
        <v>76652.701969999995</v>
      </c>
      <c r="D23" s="15">
        <f>IF(OR(220982.71292="",76652.70197=""),"-",76652.70197/220982.71292*100)</f>
        <v>34.687193833913042</v>
      </c>
      <c r="E23" s="15">
        <f>IF(220982.71292="","-",220982.71292/1874954.38713*100)</f>
        <v>11.786031406249787</v>
      </c>
      <c r="F23" s="15">
        <f>IF(76652.70197="","-",76652.70197/1725483.75067*100)</f>
        <v>4.442389094666118</v>
      </c>
      <c r="G23" s="15">
        <f>IF(OR(1104691.54098="",74212.86416="",220982.71292=""),"-",(220982.71292-74212.86416)/1104691.54098*100)</f>
        <v>13.286048033806496</v>
      </c>
      <c r="H23" s="15">
        <f>IF(OR(1874954.38713="",76652.70197="",220982.71292=""),"-",(76652.70197-220982.71292)/1874954.38713*100)</f>
        <v>-7.6977878470380556</v>
      </c>
      <c r="I23" s="13"/>
    </row>
    <row r="24" spans="1:9" s="2" customFormat="1" ht="15" customHeight="1" x14ac:dyDescent="0.3">
      <c r="A24" s="13" t="s">
        <v>271</v>
      </c>
      <c r="B24" s="14" t="s">
        <v>185</v>
      </c>
      <c r="C24" s="10">
        <v>10.281969999999999</v>
      </c>
      <c r="D24" s="15" t="s">
        <v>308</v>
      </c>
      <c r="E24" s="15">
        <f>IF(4.55506="","-",4.55506/1874954.38713*100)</f>
        <v>2.4294244336111283E-4</v>
      </c>
      <c r="F24" s="15">
        <f>IF(10.28197="","-",10.28197/1725483.75067*100)</f>
        <v>5.958891236157711E-4</v>
      </c>
      <c r="G24" s="15">
        <f>IF(OR(1104691.54098="",0.10557="",4.55506=""),"-",(4.55506-0.10557)/1104691.54098*100)</f>
        <v>4.0278121402583959E-4</v>
      </c>
      <c r="H24" s="15">
        <f>IF(OR(1874954.38713="",10.28197="",4.55506=""),"-",(10.28197-4.55506)/1874954.38713*100)</f>
        <v>3.0544263046133099E-4</v>
      </c>
      <c r="I24" s="13"/>
    </row>
    <row r="25" spans="1:9" s="2" customFormat="1" x14ac:dyDescent="0.3">
      <c r="A25" s="13" t="s">
        <v>219</v>
      </c>
      <c r="B25" s="14" t="s">
        <v>186</v>
      </c>
      <c r="C25" s="10">
        <v>1480.48433</v>
      </c>
      <c r="D25" s="15">
        <f>IF(OR(1228.04504="",1480.48433=""),"-",1480.48433/1228.04504*100)</f>
        <v>120.55619148952388</v>
      </c>
      <c r="E25" s="15">
        <f>IF(1228.04504="","-",1228.04504/1874954.38713*100)</f>
        <v>6.5497328811277011E-2</v>
      </c>
      <c r="F25" s="15">
        <f>IF(1480.48433="","-",1480.48433/1725483.75067*100)</f>
        <v>8.5801116899833607E-2</v>
      </c>
      <c r="G25" s="15">
        <f>IF(OR(1104691.54098="",760.25265="",1228.04504=""),"-",(1228.04504-760.25265)/1104691.54098*100)</f>
        <v>4.2345973753452421E-2</v>
      </c>
      <c r="H25" s="15">
        <f>IF(OR(1874954.38713="",1480.48433="",1228.04504=""),"-",(1480.48433-1228.04504)/1874954.38713*100)</f>
        <v>1.3463756330969195E-2</v>
      </c>
      <c r="I25" s="13"/>
    </row>
    <row r="26" spans="1:9" s="2" customFormat="1" ht="14.25" customHeight="1" x14ac:dyDescent="0.3">
      <c r="A26" s="13" t="s">
        <v>220</v>
      </c>
      <c r="B26" s="14" t="s">
        <v>138</v>
      </c>
      <c r="C26" s="10">
        <v>1430.92787</v>
      </c>
      <c r="D26" s="15">
        <f>IF(OR(2073.72384="",1430.92787=""),"-",1430.92787/2073.72384*100)</f>
        <v>69.002817173573121</v>
      </c>
      <c r="E26" s="15">
        <f>IF(2073.72384="","-",2073.72384/1874954.38713*100)</f>
        <v>0.11060129538267101</v>
      </c>
      <c r="F26" s="15">
        <f>IF(1430.92787="","-",1430.92787/1725483.75067*100)</f>
        <v>8.2929084057985186E-2</v>
      </c>
      <c r="G26" s="15">
        <f>IF(OR(1104691.54098="",1926.15372="",2073.72384=""),"-",(2073.72384-1926.15372)/1104691.54098*100)</f>
        <v>1.3358490992796675E-2</v>
      </c>
      <c r="H26" s="15">
        <f>IF(OR(1874954.38713="",1430.92787="",2073.72384=""),"-",(1430.92787-2073.72384)/1874954.38713*100)</f>
        <v>-3.4283285738162965E-2</v>
      </c>
      <c r="I26" s="13"/>
    </row>
    <row r="27" spans="1:9" s="2" customFormat="1" ht="40.5" customHeight="1" x14ac:dyDescent="0.3">
      <c r="A27" s="13" t="s">
        <v>221</v>
      </c>
      <c r="B27" s="14" t="s">
        <v>139</v>
      </c>
      <c r="C27" s="10">
        <v>65.729990000000001</v>
      </c>
      <c r="D27" s="15" t="s">
        <v>308</v>
      </c>
      <c r="E27" s="15">
        <f>IF(28.98124="","-",28.98124/1874954.38713*100)</f>
        <v>1.5457037354578902E-3</v>
      </c>
      <c r="F27" s="15">
        <f>IF(65.72999="","-",65.72999/1725483.75067*100)</f>
        <v>3.8093659227145579E-3</v>
      </c>
      <c r="G27" s="15">
        <f>IF(OR(1104691.54098="",80.65056="",28.98124=""),"-",(28.98124-80.65056)/1104691.54098*100)</f>
        <v>-4.6772622115095423E-3</v>
      </c>
      <c r="H27" s="15">
        <f>IF(OR(1874954.38713="",65.72999="",28.98124=""),"-",(65.72999-28.98124)/1874954.38713*100)</f>
        <v>1.9599810135248921E-3</v>
      </c>
      <c r="I27" s="13"/>
    </row>
    <row r="28" spans="1:9" s="2" customFormat="1" ht="39.6" x14ac:dyDescent="0.3">
      <c r="A28" s="13" t="s">
        <v>222</v>
      </c>
      <c r="B28" s="14" t="s">
        <v>140</v>
      </c>
      <c r="C28" s="10">
        <v>8216.3942200000001</v>
      </c>
      <c r="D28" s="15" t="s">
        <v>305</v>
      </c>
      <c r="E28" s="15">
        <f>IF(3167.43613="","-",3167.43613/1874954.38713*100)</f>
        <v>0.16893403656866593</v>
      </c>
      <c r="F28" s="15">
        <f>IF(8216.39422="","-",8216.39422/1725483.75067*100)</f>
        <v>0.47617917101853902</v>
      </c>
      <c r="G28" s="15">
        <f>IF(OR(1104691.54098="",3014.46547="",3167.43613=""),"-",(3167.43613-3014.46547)/1104691.54098*100)</f>
        <v>1.3847364112546365E-2</v>
      </c>
      <c r="H28" s="15">
        <f>IF(OR(1874954.38713="",8216.39422="",3167.43613=""),"-",(8216.39422-3167.43613)/1874954.38713*100)</f>
        <v>0.26928431564292399</v>
      </c>
      <c r="I28" s="13"/>
    </row>
    <row r="29" spans="1:9" s="2" customFormat="1" ht="15" customHeight="1" x14ac:dyDescent="0.3">
      <c r="A29" s="13" t="s">
        <v>223</v>
      </c>
      <c r="B29" s="14" t="s">
        <v>141</v>
      </c>
      <c r="C29" s="10">
        <v>17660.03701</v>
      </c>
      <c r="D29" s="15">
        <f>IF(OR(34461.34792="",17660.03701=""),"-",17660.03701/34461.34792*100)</f>
        <v>51.245926453592993</v>
      </c>
      <c r="E29" s="15">
        <f>IF(34461.34792="","-",34461.34792/1874954.38713*100)</f>
        <v>1.8379832681023309</v>
      </c>
      <c r="F29" s="15">
        <f>IF(17660.03701="","-",17660.03701/1725483.75067*100)</f>
        <v>1.0234832407516248</v>
      </c>
      <c r="G29" s="15">
        <f>IF(OR(1104691.54098="",32576.44534="",34461.34792=""),"-",(34461.34792-32576.44534)/1104691.54098*100)</f>
        <v>0.1706270492781955</v>
      </c>
      <c r="H29" s="15">
        <f>IF(OR(1874954.38713="",17660.03701="",34461.34792=""),"-",(17660.03701-34461.34792)/1874954.38713*100)</f>
        <v>-0.89609171430126544</v>
      </c>
      <c r="I29" s="13"/>
    </row>
    <row r="30" spans="1:9" s="2" customFormat="1" ht="26.4" x14ac:dyDescent="0.3">
      <c r="A30" s="13" t="s">
        <v>224</v>
      </c>
      <c r="B30" s="14" t="s">
        <v>142</v>
      </c>
      <c r="C30" s="10">
        <v>2475.6378100000002</v>
      </c>
      <c r="D30" s="15">
        <f>IF(OR(1686.67606="",2475.63781=""),"-",2475.63781/1686.67606*100)</f>
        <v>146.77612783571493</v>
      </c>
      <c r="E30" s="15">
        <f>IF(1686.67606="","-",1686.67606/1874954.38713*100)</f>
        <v>8.9958244935323561E-2</v>
      </c>
      <c r="F30" s="15">
        <f>IF(2475.63781="","-",2475.63781/1725483.75067*100)</f>
        <v>0.14347499992617824</v>
      </c>
      <c r="G30" s="15">
        <f>IF(OR(1104691.54098="",1630.61345="",1686.67606=""),"-",(1686.67606-1630.61345)/1104691.54098*100)</f>
        <v>5.0749560325469116E-3</v>
      </c>
      <c r="H30" s="15">
        <f>IF(OR(1874954.38713="",2475.63781="",1686.67606=""),"-",(2475.63781-1686.67606)/1874954.38713*100)</f>
        <v>4.207898364971252E-2</v>
      </c>
      <c r="I30" s="13"/>
    </row>
    <row r="31" spans="1:9" s="2" customFormat="1" ht="26.4" x14ac:dyDescent="0.3">
      <c r="A31" s="11" t="s">
        <v>225</v>
      </c>
      <c r="B31" s="12" t="s">
        <v>143</v>
      </c>
      <c r="C31" s="9">
        <v>245130.31547</v>
      </c>
      <c r="D31" s="16" t="s">
        <v>18</v>
      </c>
      <c r="E31" s="16">
        <f>IF(122700.81337="","-",122700.81337/1874954.38713*100)</f>
        <v>6.544202579659478</v>
      </c>
      <c r="F31" s="16">
        <f>IF(245130.31547="","-",245130.31547/1725483.75067*100)</f>
        <v>14.206469077139477</v>
      </c>
      <c r="G31" s="16">
        <f>IF(1104691.54098="","-",(122700.81337-12996.6795)/1104691.54098*100)</f>
        <v>9.93074806861277</v>
      </c>
      <c r="H31" s="16">
        <f>IF(1874954.38713="","-",(245130.31547-122700.81337)/1874954.38713*100)</f>
        <v>6.5297322932427875</v>
      </c>
      <c r="I31" s="13"/>
    </row>
    <row r="32" spans="1:9" s="2" customFormat="1" x14ac:dyDescent="0.3">
      <c r="A32" s="13" t="s">
        <v>226</v>
      </c>
      <c r="B32" s="14" t="s">
        <v>187</v>
      </c>
      <c r="C32" s="10">
        <v>100.52039000000001</v>
      </c>
      <c r="D32" s="15">
        <f>IF(OR(64.80719="",100.52039=""),"-",100.52039/64.80719*100)</f>
        <v>155.10684848394135</v>
      </c>
      <c r="E32" s="15">
        <f>IF(64.80719="","-",64.80719/1874954.38713*100)</f>
        <v>3.4564675516827173E-3</v>
      </c>
      <c r="F32" s="15">
        <f>IF(100.52039="","-",100.52039/1725483.75067*100)</f>
        <v>5.8256352724833397E-3</v>
      </c>
      <c r="G32" s="15">
        <f>IF(OR(1104691.54098="",373.6635="",64.80719=""),"-",(64.80719-373.6635)/1104691.54098*100)</f>
        <v>-2.7958601885011782E-2</v>
      </c>
      <c r="H32" s="15">
        <f>IF(OR(1874954.38713="",100.52039="",64.80719=""),"-",(100.52039-64.80719)/1874954.38713*100)</f>
        <v>1.9047503366023924E-3</v>
      </c>
      <c r="I32" s="11"/>
    </row>
    <row r="33" spans="1:9" s="2" customFormat="1" ht="26.4" x14ac:dyDescent="0.3">
      <c r="A33" s="13" t="s">
        <v>227</v>
      </c>
      <c r="B33" s="14" t="s">
        <v>144</v>
      </c>
      <c r="C33" s="10">
        <v>225865.95965999999</v>
      </c>
      <c r="D33" s="15" t="s">
        <v>101</v>
      </c>
      <c r="E33" s="15">
        <f>IF(121346.64889="","-",121346.64889/1874954.38713*100)</f>
        <v>6.471978717079395</v>
      </c>
      <c r="F33" s="15">
        <f>IF(225865.95966="","-",225865.95966/1725483.75067*100)</f>
        <v>13.090007922259305</v>
      </c>
      <c r="G33" s="15">
        <f>IF(OR(1104691.54098="",12620.70323="",121346.64889=""),"-",(121346.64889-12620.70323)/1104691.54098*100)</f>
        <v>9.8421995305174903</v>
      </c>
      <c r="H33" s="15">
        <f>IF(OR(1874954.38713="",225865.95966="",121346.64889=""),"-",(225865.95966-121346.64889)/1874954.38713*100)</f>
        <v>5.5744988511420868</v>
      </c>
      <c r="I33" s="13"/>
    </row>
    <row r="34" spans="1:9" s="2" customFormat="1" ht="26.4" x14ac:dyDescent="0.3">
      <c r="A34" s="31" t="s">
        <v>272</v>
      </c>
      <c r="B34" s="14" t="s">
        <v>303</v>
      </c>
      <c r="C34" s="10">
        <v>1648.54438</v>
      </c>
      <c r="D34" s="15">
        <f>IF(OR(1286.43288="",1648.54438=""),"-",1648.54438/1286.43288*100)</f>
        <v>128.1484953960443</v>
      </c>
      <c r="E34" s="15">
        <f>IF(1286.43288="","-",1286.43288/1874954.38713*100)</f>
        <v>6.8611422700748895E-2</v>
      </c>
      <c r="F34" s="15">
        <f>IF(1648.54438="","-",1648.54438/1725483.75067*100)</f>
        <v>9.5540997089069976E-2</v>
      </c>
      <c r="G34" s="15" t="str">
        <f>IF(OR(1104691.54098="",""="",1286.43288=""),"-",(1286.43288-"")/1104691.54098*100)</f>
        <v>-</v>
      </c>
      <c r="H34" s="15">
        <f>IF(OR(1874954.38713="",1648.54438="",1286.43288=""),"-",(1648.54438-1286.43288)/1874954.38713*100)</f>
        <v>1.9313083160080791E-2</v>
      </c>
      <c r="I34" s="13"/>
    </row>
    <row r="35" spans="1:9" s="2" customFormat="1" x14ac:dyDescent="0.3">
      <c r="A35" s="13" t="s">
        <v>277</v>
      </c>
      <c r="B35" s="14" t="s">
        <v>278</v>
      </c>
      <c r="C35" s="10">
        <v>17515.29104</v>
      </c>
      <c r="D35" s="15" t="s">
        <v>399</v>
      </c>
      <c r="E35" s="15">
        <f>IF(2.92441="","-",2.92441/1874954.38713*100)</f>
        <v>1.5597232765093586E-4</v>
      </c>
      <c r="F35" s="15">
        <f>IF(17515.29104="","-",17515.29104/1725483.75067*100)</f>
        <v>1.0150945225186192</v>
      </c>
      <c r="G35" s="15">
        <f>IF(OR(1104691.54098="",2.31277="",2.92441=""),"-",(2.92441-2.31277)/1104691.54098*100)</f>
        <v>5.5367491947788292E-5</v>
      </c>
      <c r="H35" s="15">
        <f>IF(OR(1874954.38713="",17515.29104="",2.92441=""),"-",(17515.29104-2.92441)/1874954.38713*100)</f>
        <v>0.93401560860401767</v>
      </c>
      <c r="I35" s="13"/>
    </row>
    <row r="36" spans="1:9" s="2" customFormat="1" ht="26.4" x14ac:dyDescent="0.3">
      <c r="A36" s="11" t="s">
        <v>228</v>
      </c>
      <c r="B36" s="12" t="s">
        <v>145</v>
      </c>
      <c r="C36" s="9">
        <v>138032.94158000001</v>
      </c>
      <c r="D36" s="16">
        <f>IF(183467.09586="","-",138032.94158/183467.09586*100)</f>
        <v>75.235802329007342</v>
      </c>
      <c r="E36" s="16">
        <f>IF(183467.09586="","-",183467.09586/1874954.38713*100)</f>
        <v>9.7851498212089201</v>
      </c>
      <c r="F36" s="16">
        <f>IF(138032.94158="","-",138032.94158/1725483.75067*100)</f>
        <v>7.99966626903338</v>
      </c>
      <c r="G36" s="16">
        <f>IF(1104691.54098="","-",(183467.09586-32468.78615)/1104691.54098*100)</f>
        <v>13.668821033611387</v>
      </c>
      <c r="H36" s="16">
        <f>IF(1874954.38713="","-",(138032.94158-183467.09586)/1874954.38713*100)</f>
        <v>-2.4232138441269617</v>
      </c>
      <c r="I36" s="13"/>
    </row>
    <row r="37" spans="1:9" s="2" customFormat="1" ht="15.75" customHeight="1" x14ac:dyDescent="0.3">
      <c r="A37" s="13" t="s">
        <v>229</v>
      </c>
      <c r="B37" s="14" t="s">
        <v>191</v>
      </c>
      <c r="C37" s="10">
        <v>1.9330099999999999</v>
      </c>
      <c r="D37" s="15">
        <f>IF(OR(1.59594="",1.93301=""),"-",1.93301/1.59594*100)</f>
        <v>121.1204681880271</v>
      </c>
      <c r="E37" s="15">
        <f>IF(1.59594="","-",1.59594/1874954.38713*100)</f>
        <v>8.5118870675190739E-5</v>
      </c>
      <c r="F37" s="15">
        <f>IF(1.93301="","-",1.93301/1725483.75067*100)</f>
        <v>1.1202713437605067E-4</v>
      </c>
      <c r="G37" s="15">
        <f>IF(OR(1104691.54098="",4.81502="",1.59594=""),"-",(1.59594-4.81502)/1104691.54098*100)</f>
        <v>-2.9140080109097891E-4</v>
      </c>
      <c r="H37" s="15">
        <f>IF(OR(1874954.38713="",1.93301="",1.59594=""),"-",(1.93301-1.59594)/1874954.38713*100)</f>
        <v>1.7977504002961606E-5</v>
      </c>
      <c r="I37" s="11"/>
    </row>
    <row r="38" spans="1:9" s="2" customFormat="1" ht="26.4" x14ac:dyDescent="0.3">
      <c r="A38" s="13" t="s">
        <v>230</v>
      </c>
      <c r="B38" s="14" t="s">
        <v>146</v>
      </c>
      <c r="C38" s="10">
        <v>138030.95827</v>
      </c>
      <c r="D38" s="15">
        <f>IF(OR(183465.49992="",138030.95827=""),"-",138030.95827/183465.49992*100)</f>
        <v>75.235375768298837</v>
      </c>
      <c r="E38" s="15">
        <f>IF(183465.49992="","-",183465.49992/1874954.38713*100)</f>
        <v>9.7850647023382447</v>
      </c>
      <c r="F38" s="15">
        <f>IF(138030.95827="","-",138030.95827/1725483.75067*100)</f>
        <v>7.9995513267744771</v>
      </c>
      <c r="G38" s="15">
        <f>IF(OR(1104691.54098="",32460.4088="",183465.49992=""),"-",(183465.49992-32460.4088)/1104691.54098*100)</f>
        <v>13.669434907235692</v>
      </c>
      <c r="H38" s="15">
        <f>IF(OR(1874954.38713="",138030.95827="",183465.49992=""),"-",(138030.95827-183465.49992)/1874954.38713*100)</f>
        <v>-2.4232345043628944</v>
      </c>
      <c r="I38" s="13"/>
    </row>
    <row r="39" spans="1:9" s="2" customFormat="1" ht="66" x14ac:dyDescent="0.3">
      <c r="A39" s="13" t="s">
        <v>231</v>
      </c>
      <c r="B39" s="14" t="s">
        <v>189</v>
      </c>
      <c r="C39" s="10">
        <v>5.0299999999999997E-2</v>
      </c>
      <c r="D39" s="15" t="str">
        <f>IF(OR(""="",0.0503=""),"-",0.0503/""*100)</f>
        <v>-</v>
      </c>
      <c r="E39" s="15" t="str">
        <f>IF(""="","-",""/1874954.38713*100)</f>
        <v>-</v>
      </c>
      <c r="F39" s="15">
        <f>IF(0.0503="","-",0.0503/1725483.75067*100)</f>
        <v>2.9151245255406583E-6</v>
      </c>
      <c r="G39" s="15" t="str">
        <f>IF(OR(1104691.54098="",3.56233="",""=""),"-",(""-3.56233)/1104691.54098*100)</f>
        <v>-</v>
      </c>
      <c r="H39" s="15" t="str">
        <f>IF(OR(1874954.38713="",0.0503="",""=""),"-",(0.0503-"")/1874954.38713*100)</f>
        <v>-</v>
      </c>
      <c r="I39" s="13"/>
    </row>
    <row r="40" spans="1:9" s="2" customFormat="1" ht="39.6" x14ac:dyDescent="0.3">
      <c r="A40" s="11" t="s">
        <v>232</v>
      </c>
      <c r="B40" s="12" t="s">
        <v>147</v>
      </c>
      <c r="C40" s="9">
        <v>56616.661870000004</v>
      </c>
      <c r="D40" s="16">
        <f>IF(58972.13319="","-",56616.66187/58972.13319*100)</f>
        <v>96.005789187901698</v>
      </c>
      <c r="E40" s="16">
        <f>IF(58972.13319="","-",58972.13319/1874954.38713*100)</f>
        <v>3.145256951038093</v>
      </c>
      <c r="F40" s="16">
        <f>IF(56616.66187="","-",56616.66187/1725483.75067*100)</f>
        <v>3.2812051604667927</v>
      </c>
      <c r="G40" s="16">
        <f>IF(1104691.54098="","-",(58972.13319-53881.41063)/1104691.54098*100)</f>
        <v>0.4608275134870583</v>
      </c>
      <c r="H40" s="16">
        <f>IF(1874954.38713="","-",(56616.66187-58972.13319)/1874954.38713*100)</f>
        <v>-0.12562819320663721</v>
      </c>
      <c r="I40" s="13"/>
    </row>
    <row r="41" spans="1:9" s="2" customFormat="1" x14ac:dyDescent="0.3">
      <c r="A41" s="13" t="s">
        <v>233</v>
      </c>
      <c r="B41" s="14" t="s">
        <v>23</v>
      </c>
      <c r="C41" s="10">
        <v>12237.90682</v>
      </c>
      <c r="D41" s="15">
        <f>IF(OR(21285.87547="",12237.90682=""),"-",12237.90682/21285.87547*100)</f>
        <v>57.493086611579244</v>
      </c>
      <c r="E41" s="15">
        <f>IF(21285.87547="","-",21285.87547/1874954.38713*100)</f>
        <v>1.1352743093970608</v>
      </c>
      <c r="F41" s="15">
        <f>IF(12237.90682="","-",12237.90682/1725483.75067*100)</f>
        <v>0.70924497638694417</v>
      </c>
      <c r="G41" s="15">
        <f>IF(OR(1104691.54098="",13468.21963="",21285.87547=""),"-",(21285.87547-13468.21963)/1104691.54098*100)</f>
        <v>0.70767771364165211</v>
      </c>
      <c r="H41" s="15">
        <f>IF(OR(1874954.38713="",12237.90682="",21285.87547=""),"-",(12237.90682-21285.87547)/1874954.38713*100)</f>
        <v>-0.48257006741640046</v>
      </c>
      <c r="I41" s="13"/>
    </row>
    <row r="42" spans="1:9" s="2" customFormat="1" x14ac:dyDescent="0.3">
      <c r="A42" s="13" t="s">
        <v>234</v>
      </c>
      <c r="B42" s="14" t="s">
        <v>24</v>
      </c>
      <c r="C42" s="10">
        <v>3708.9284699999998</v>
      </c>
      <c r="D42" s="15" t="s">
        <v>194</v>
      </c>
      <c r="E42" s="15">
        <f>IF(2058.7449="","-",2058.7449/1874954.38713*100)</f>
        <v>0.10980239914803096</v>
      </c>
      <c r="F42" s="15">
        <f>IF(3708.92847="","-",3708.92847/1725483.75067*100)</f>
        <v>0.21495006652829007</v>
      </c>
      <c r="G42" s="15">
        <f>IF(OR(1104691.54098="",344.40726="",2058.7449=""),"-",(2058.7449-344.40726)/1104691.54098*100)</f>
        <v>0.15518699803559349</v>
      </c>
      <c r="H42" s="15">
        <f>IF(OR(1874954.38713="",3708.92847="",2058.7449=""),"-",(3708.92847-2058.7449)/1874954.38713*100)</f>
        <v>8.8011931454286846E-2</v>
      </c>
      <c r="I42" s="13"/>
    </row>
    <row r="43" spans="1:9" s="2" customFormat="1" ht="16.5" customHeight="1" x14ac:dyDescent="0.3">
      <c r="A43" s="13" t="s">
        <v>235</v>
      </c>
      <c r="B43" s="14" t="s">
        <v>148</v>
      </c>
      <c r="C43" s="10">
        <v>1991.7991099999999</v>
      </c>
      <c r="D43" s="15" t="s">
        <v>101</v>
      </c>
      <c r="E43" s="15">
        <f>IF(1068.41476="","-",1068.41476/1874954.38713*100)</f>
        <v>5.6983506763352607E-2</v>
      </c>
      <c r="F43" s="15">
        <f>IF(1991.79911="","-",1991.79911/1725483.75067*100)</f>
        <v>0.11543424325071681</v>
      </c>
      <c r="G43" s="15">
        <f>IF(OR(1104691.54098="",799.82652="",1068.41476=""),"-",(1068.41476-799.82652)/1104691.54098*100)</f>
        <v>2.4313415106060145E-2</v>
      </c>
      <c r="H43" s="15">
        <f>IF(OR(1874954.38713="",1991.79911="",1068.41476=""),"-",(1991.79911-1068.41476)/1874954.38713*100)</f>
        <v>4.9248363391571778E-2</v>
      </c>
      <c r="I43" s="13"/>
    </row>
    <row r="44" spans="1:9" s="2" customFormat="1" x14ac:dyDescent="0.3">
      <c r="A44" s="13" t="s">
        <v>236</v>
      </c>
      <c r="B44" s="14" t="s">
        <v>149</v>
      </c>
      <c r="C44" s="10">
        <v>19334.586490000002</v>
      </c>
      <c r="D44" s="15">
        <f>IF(OR(23850.22828="",19334.58649=""),"-",19334.58649/23850.22828*100)</f>
        <v>81.066672666665156</v>
      </c>
      <c r="E44" s="15">
        <f>IF(23850.22828="","-",23850.22828/1874954.38713*100)</f>
        <v>1.2720431197533097</v>
      </c>
      <c r="F44" s="15">
        <f>IF(19334.58649="","-",19334.58649/1725483.75067*100)</f>
        <v>1.1205313572203992</v>
      </c>
      <c r="G44" s="15">
        <f>IF(OR(1104691.54098="",29564.09566="",23850.22828=""),"-",(23850.22828-29564.09566)/1104691.54098*100)</f>
        <v>-0.51723645633523019</v>
      </c>
      <c r="H44" s="15">
        <f>IF(OR(1874954.38713="",19334.58649="",23850.22828=""),"-",(19334.58649-23850.22828)/1874954.38713*100)</f>
        <v>-0.24084008768405873</v>
      </c>
      <c r="I44" s="13"/>
    </row>
    <row r="45" spans="1:9" ht="52.8" x14ac:dyDescent="0.3">
      <c r="A45" s="13" t="s">
        <v>237</v>
      </c>
      <c r="B45" s="14" t="s">
        <v>150</v>
      </c>
      <c r="C45" s="10">
        <v>7027.7172200000005</v>
      </c>
      <c r="D45" s="15">
        <f>IF(OR(5108.91548="",7027.71722=""),"-",7027.71722/5108.91548*100)</f>
        <v>137.55790729973089</v>
      </c>
      <c r="E45" s="15">
        <f>IF(5108.91548="","-",5108.91548/1874954.38713*100)</f>
        <v>0.27248212090216428</v>
      </c>
      <c r="F45" s="15">
        <f>IF(7027.71722="","-",7027.71722/1725483.75067*100)</f>
        <v>0.40728967846096259</v>
      </c>
      <c r="G45" s="15">
        <f>IF(OR(1104691.54098="",4057.57531="",5108.91548=""),"-",(5108.91548-4057.57531)/1104691.54098*100)</f>
        <v>9.5170473476001161E-2</v>
      </c>
      <c r="H45" s="15">
        <f>IF(OR(1874954.38713="",7027.71722="",5108.91548=""),"-",(7027.71722-5108.91548)/1874954.38713*100)</f>
        <v>0.10233858237677548</v>
      </c>
      <c r="I45" s="13"/>
    </row>
    <row r="46" spans="1:9" x14ac:dyDescent="0.3">
      <c r="A46" s="13" t="s">
        <v>238</v>
      </c>
      <c r="B46" s="14" t="s">
        <v>151</v>
      </c>
      <c r="C46" s="10">
        <v>265.37205999999998</v>
      </c>
      <c r="D46" s="15" t="s">
        <v>316</v>
      </c>
      <c r="E46" s="15">
        <f>IF(71.21796="","-",71.21796/1874954.38713*100)</f>
        <v>3.7983836027613246E-3</v>
      </c>
      <c r="F46" s="15">
        <f>IF(265.37206="","-",265.37206/1725483.75067*100)</f>
        <v>1.5379574562609287E-2</v>
      </c>
      <c r="G46" s="15">
        <f>IF(OR(1104691.54098="",62.93374="",71.21796=""),"-",(71.21796-62.93374)/1104691.54098*100)</f>
        <v>7.4991250432232526E-4</v>
      </c>
      <c r="H46" s="15">
        <f>IF(OR(1874954.38713="",265.37206="",71.21796=""),"-",(265.37206-71.21796)/1874954.38713*100)</f>
        <v>1.0355137241348704E-2</v>
      </c>
      <c r="I46" s="13"/>
    </row>
    <row r="47" spans="1:9" ht="26.4" x14ac:dyDescent="0.3">
      <c r="A47" s="13" t="s">
        <v>239</v>
      </c>
      <c r="B47" s="14" t="s">
        <v>25</v>
      </c>
      <c r="C47" s="10">
        <v>7004.2624299999998</v>
      </c>
      <c r="D47" s="15" t="s">
        <v>337</v>
      </c>
      <c r="E47" s="15">
        <f>IF(1227.42565="","-",1227.42565/1874954.38713*100)</f>
        <v>6.5464293874307258E-2</v>
      </c>
      <c r="F47" s="15">
        <f>IF(7004.26243="","-",7004.26243/1725483.75067*100)</f>
        <v>0.4059303616901791</v>
      </c>
      <c r="G47" s="15">
        <f>IF(OR(1104691.54098="",768.71472="",1227.42565=""),"-",(1227.42565-768.71472)/1104691.54098*100)</f>
        <v>4.1523892687099391E-2</v>
      </c>
      <c r="H47" s="15">
        <f>IF(OR(1874954.38713="",7004.26243="",1227.42565=""),"-",(7004.26243-1227.42565)/1874954.38713*100)</f>
        <v>0.30810545683954621</v>
      </c>
      <c r="I47" s="13"/>
    </row>
    <row r="48" spans="1:9" x14ac:dyDescent="0.3">
      <c r="A48" s="13" t="s">
        <v>240</v>
      </c>
      <c r="B48" s="14" t="s">
        <v>26</v>
      </c>
      <c r="C48" s="10">
        <v>2270.17535</v>
      </c>
      <c r="D48" s="15">
        <f>IF(OR(2327.62585="",2270.17535=""),"-",2270.17535/2327.62585*100)</f>
        <v>97.531798334341417</v>
      </c>
      <c r="E48" s="15">
        <f>IF(2327.62585="","-",2327.62585/1874954.38713*100)</f>
        <v>0.1241430653448005</v>
      </c>
      <c r="F48" s="15">
        <f>IF(2270.17535="","-",2270.17535/1725483.75067*100)</f>
        <v>0.13156747196944035</v>
      </c>
      <c r="G48" s="15">
        <f>IF(OR(1104691.54098="",1744.66393="",2327.62585=""),"-",(2327.62585-1744.66393)/1104691.54098*100)</f>
        <v>5.2771465913719187E-2</v>
      </c>
      <c r="H48" s="15">
        <f>IF(OR(1874954.38713="",2270.17535="",2327.62585=""),"-",(2270.17535-2327.62585)/1874954.38713*100)</f>
        <v>-3.064101206639999E-3</v>
      </c>
      <c r="I48" s="13"/>
    </row>
    <row r="49" spans="1:9" x14ac:dyDescent="0.3">
      <c r="A49" s="13" t="s">
        <v>241</v>
      </c>
      <c r="B49" s="14" t="s">
        <v>152</v>
      </c>
      <c r="C49" s="10">
        <v>2775.91392</v>
      </c>
      <c r="D49" s="15">
        <f>IF(OR(1973.68484="",2775.91392=""),"-",2775.91392/1973.68484*100)</f>
        <v>140.64626042321936</v>
      </c>
      <c r="E49" s="15">
        <f>IF(1973.68484="","-",1973.68484/1874954.38713*100)</f>
        <v>0.10526575225230557</v>
      </c>
      <c r="F49" s="15">
        <f>IF(2775.91392="","-",2775.91392/1725483.75067*100)</f>
        <v>0.16087743039725069</v>
      </c>
      <c r="G49" s="15">
        <f>IF(OR(1104691.54098="",3070.97386="",1973.68484=""),"-",(1973.68484-3070.97386)/1104691.54098*100)</f>
        <v>-9.9329901542159635E-2</v>
      </c>
      <c r="H49" s="15">
        <f>IF(OR(1874954.38713="",2775.91392="",1973.68484=""),"-",(2775.91392-1973.68484)/1874954.38713*100)</f>
        <v>4.2786591796933005E-2</v>
      </c>
      <c r="I49" s="11"/>
    </row>
    <row r="50" spans="1:9" ht="39.6" x14ac:dyDescent="0.3">
      <c r="A50" s="11" t="s">
        <v>242</v>
      </c>
      <c r="B50" s="12" t="s">
        <v>304</v>
      </c>
      <c r="C50" s="9">
        <v>126170.84495</v>
      </c>
      <c r="D50" s="16">
        <f>IF(118518.66255="","-",126170.84495/118518.66255*100)</f>
        <v>106.45652105361192</v>
      </c>
      <c r="E50" s="16">
        <f>IF(118518.66255="","-",118518.66255/1874954.38713*100)</f>
        <v>6.3211491097347166</v>
      </c>
      <c r="F50" s="16">
        <f>IF(126170.84495="","-",126170.84495/1725483.75067*100)</f>
        <v>7.312201282742202</v>
      </c>
      <c r="G50" s="16">
        <f>IF(1104691.54098="","-",(118518.66255-90529.71047)/1104691.54098*100)</f>
        <v>2.5336441026035441</v>
      </c>
      <c r="H50" s="16">
        <f>IF(1874954.38713="","-",(126170.84495-118518.66255)/1874954.38713*100)</f>
        <v>0.40812632310022379</v>
      </c>
      <c r="I50" s="13"/>
    </row>
    <row r="51" spans="1:9" x14ac:dyDescent="0.3">
      <c r="A51" s="13" t="s">
        <v>243</v>
      </c>
      <c r="B51" s="14" t="s">
        <v>153</v>
      </c>
      <c r="C51" s="10">
        <v>382.14526000000001</v>
      </c>
      <c r="D51" s="15">
        <f>IF(OR(1277.23606="",382.14526=""),"-",382.14526/1277.23606*100)</f>
        <v>29.919704897777471</v>
      </c>
      <c r="E51" s="15">
        <f>IF(1277.23606="","-",1277.23606/1874954.38713*100)</f>
        <v>6.8120913701536515E-2</v>
      </c>
      <c r="F51" s="15">
        <f>IF(382.14526="","-",382.14526/1725483.75067*100)</f>
        <v>2.2147137569485324E-2</v>
      </c>
      <c r="G51" s="15">
        <f>IF(OR(1104691.54098="",458.22082="",1277.23606=""),"-",(1277.23606-458.22082)/1104691.54098*100)</f>
        <v>7.4139722231730917E-2</v>
      </c>
      <c r="H51" s="15">
        <f>IF(OR(1874954.38713="",382.14526="",1277.23606=""),"-",(382.14526-1277.23606)/1874954.38713*100)</f>
        <v>-4.7739337348367127E-2</v>
      </c>
      <c r="I51" s="13"/>
    </row>
    <row r="52" spans="1:9" x14ac:dyDescent="0.3">
      <c r="A52" s="13" t="s">
        <v>244</v>
      </c>
      <c r="B52" s="14" t="s">
        <v>27</v>
      </c>
      <c r="C52" s="10">
        <v>1241.47795</v>
      </c>
      <c r="D52" s="15" t="s">
        <v>351</v>
      </c>
      <c r="E52" s="15">
        <f>IF(305.09892="","-",305.09892/1874954.38713*100)</f>
        <v>1.6272338254959693E-2</v>
      </c>
      <c r="F52" s="15">
        <f>IF(1241.47795="","-",1241.47795/1725483.75067*100)</f>
        <v>7.1949559044988856E-2</v>
      </c>
      <c r="G52" s="15">
        <f>IF(OR(1104691.54098="",714.9639="",305.09892=""),"-",(305.09892-714.9639)/1104691.54098*100)</f>
        <v>-3.7102210417615605E-2</v>
      </c>
      <c r="H52" s="15">
        <f>IF(OR(1874954.38713="",1241.47795="",305.09892=""),"-",(1241.47795-305.09892)/1874954.38713*100)</f>
        <v>4.9941429851705299E-2</v>
      </c>
      <c r="I52" s="13"/>
    </row>
    <row r="53" spans="1:9" ht="16.5" customHeight="1" x14ac:dyDescent="0.3">
      <c r="A53" s="13" t="s">
        <v>245</v>
      </c>
      <c r="B53" s="14" t="s">
        <v>154</v>
      </c>
      <c r="C53" s="10">
        <v>10953.010749999999</v>
      </c>
      <c r="D53" s="15">
        <f>IF(OR(12284.70605="",10953.01075=""),"-",10953.01075/12284.70605*100)</f>
        <v>89.159730036845275</v>
      </c>
      <c r="E53" s="15">
        <f>IF(12284.70605="","-",12284.70605/1874954.38713*100)</f>
        <v>0.65520026163432421</v>
      </c>
      <c r="F53" s="15">
        <f>IF(10953.01075="","-",10953.01075/1725483.75067*100)</f>
        <v>0.63477913053350865</v>
      </c>
      <c r="G53" s="15">
        <f>IF(OR(1104691.54098="",9812.23376="",12284.70605=""),"-",(12284.70605-9812.23376)/1104691.54098*100)</f>
        <v>0.22381562619793469</v>
      </c>
      <c r="H53" s="15">
        <f>IF(OR(1874954.38713="",10953.01075="",12284.70605=""),"-",(10953.01075-12284.70605)/1874954.38713*100)</f>
        <v>-7.1025477160456818E-2</v>
      </c>
      <c r="I53" s="13"/>
    </row>
    <row r="54" spans="1:9" ht="26.4" x14ac:dyDescent="0.3">
      <c r="A54" s="13" t="s">
        <v>246</v>
      </c>
      <c r="B54" s="14" t="s">
        <v>155</v>
      </c>
      <c r="C54" s="10">
        <v>8496.2457400000003</v>
      </c>
      <c r="D54" s="15">
        <f>IF(OR(7789.38435="",8496.24574=""),"-",8496.24574/7789.38435*100)</f>
        <v>109.07467597230583</v>
      </c>
      <c r="E54" s="15">
        <f>IF(7789.38435="","-",7789.38435/1874954.38713*100)</f>
        <v>0.41544393844819033</v>
      </c>
      <c r="F54" s="15">
        <f>IF(8496.24574="","-",8496.24574/1725483.75067*100)</f>
        <v>0.49239789923845617</v>
      </c>
      <c r="G54" s="15">
        <f>IF(OR(1104691.54098="",4105.79341="",7789.38435=""),"-",(7789.38435-4105.79341)/1104691.54098*100)</f>
        <v>0.33344972812339929</v>
      </c>
      <c r="H54" s="15">
        <f>IF(OR(1874954.38713="",8496.24574="",7789.38435=""),"-",(8496.24574-7789.38435)/1874954.38713*100)</f>
        <v>3.7700191260758915E-2</v>
      </c>
      <c r="I54" s="13"/>
    </row>
    <row r="55" spans="1:9" ht="15.75" customHeight="1" x14ac:dyDescent="0.3">
      <c r="A55" s="13" t="s">
        <v>247</v>
      </c>
      <c r="B55" s="14" t="s">
        <v>156</v>
      </c>
      <c r="C55" s="10">
        <v>35855.023029999997</v>
      </c>
      <c r="D55" s="15">
        <f>IF(OR(38543.27664="",35855.02303=""),"-",35855.02303/38543.27664*100)</f>
        <v>93.025363061089251</v>
      </c>
      <c r="E55" s="15">
        <f>IF(38543.27664="","-",38543.27664/1874954.38713*100)</f>
        <v>2.0556914293258273</v>
      </c>
      <c r="F55" s="15">
        <f>IF(35855.02303="","-",35855.02303/1725483.75067*100)</f>
        <v>2.0779693240273982</v>
      </c>
      <c r="G55" s="15">
        <f>IF(OR(1104691.54098="",33214.73012="",38543.27664=""),"-",(38543.27664-33214.73012)/1104691.54098*100)</f>
        <v>0.48235605346202859</v>
      </c>
      <c r="H55" s="15">
        <f>IF(OR(1874954.38713="",35855.02303="",38543.27664=""),"-",(35855.02303-38543.27664)/1874954.38713*100)</f>
        <v>-0.14337701377978163</v>
      </c>
      <c r="I55" s="13"/>
    </row>
    <row r="56" spans="1:9" x14ac:dyDescent="0.3">
      <c r="A56" s="13" t="s">
        <v>248</v>
      </c>
      <c r="B56" s="14" t="s">
        <v>28</v>
      </c>
      <c r="C56" s="10">
        <v>50408.271719999997</v>
      </c>
      <c r="D56" s="15">
        <f>IF(OR(35225.13385="",50408.27172=""),"-",50408.27172/35225.13385*100)</f>
        <v>143.10313747750317</v>
      </c>
      <c r="E56" s="15">
        <f>IF(35225.13385="","-",35225.13385/1874954.38713*100)</f>
        <v>1.8787195086873154</v>
      </c>
      <c r="F56" s="15">
        <f>IF(50408.27172="","-",50408.27172/1725483.75067*100)</f>
        <v>2.921399387298004</v>
      </c>
      <c r="G56" s="15">
        <f>IF(OR(1104691.54098="",22499.0997="",35225.13385=""),"-",(35225.13385-22499.0997)/1104691.54098*100)</f>
        <v>1.1519988773255572</v>
      </c>
      <c r="H56" s="15">
        <f>IF(OR(1874954.38713="",50408.27172="",35225.13385=""),"-",(50408.27172-35225.13385)/1874954.38713*100)</f>
        <v>0.80978705264616535</v>
      </c>
      <c r="I56" s="13"/>
    </row>
    <row r="57" spans="1:9" x14ac:dyDescent="0.3">
      <c r="A57" s="13" t="s">
        <v>249</v>
      </c>
      <c r="B57" s="14" t="s">
        <v>157</v>
      </c>
      <c r="C57" s="10">
        <v>4931.2458100000003</v>
      </c>
      <c r="D57" s="15">
        <f>IF(OR(4150.23242="",4931.24581=""),"-",4931.24581/4150.23242*100)</f>
        <v>118.81854582977789</v>
      </c>
      <c r="E57" s="15">
        <f>IF(4150.23242="","-",4150.23242/1874954.38713*100)</f>
        <v>0.22135111384510944</v>
      </c>
      <c r="F57" s="15">
        <f>IF(4931.24581="","-",4931.24581/1725483.75067*100)</f>
        <v>0.28578917698211953</v>
      </c>
      <c r="G57" s="15">
        <f>IF(OR(1104691.54098="",2828.11617="",4150.23242=""),"-",(4150.23242-2828.11617)/1104691.54098*100)</f>
        <v>0.11968193843750422</v>
      </c>
      <c r="H57" s="15">
        <f>IF(OR(1874954.38713="",4931.24581="",4150.23242=""),"-",(4931.24581-4150.23242)/1874954.38713*100)</f>
        <v>4.1655060803665753E-2</v>
      </c>
      <c r="I57" s="13"/>
    </row>
    <row r="58" spans="1:9" x14ac:dyDescent="0.3">
      <c r="A58" s="13" t="s">
        <v>250</v>
      </c>
      <c r="B58" s="14" t="s">
        <v>29</v>
      </c>
      <c r="C58" s="10">
        <v>552.35402999999997</v>
      </c>
      <c r="D58" s="15">
        <f>IF(OR(1152.44948="",552.35403=""),"-",552.35403/1152.44948*100)</f>
        <v>47.928697924354999</v>
      </c>
      <c r="E58" s="15">
        <f>IF(1152.44948="","-",1152.44948/1874954.38713*100)</f>
        <v>6.146546752873594E-2</v>
      </c>
      <c r="F58" s="15">
        <f>IF(552.35403="","-",552.35403/1725483.75067*100)</f>
        <v>3.2011546314795643E-2</v>
      </c>
      <c r="G58" s="15">
        <f>IF(OR(1104691.54098="",530.97775="",1152.44948=""),"-",(1152.44948-530.97775)/1104691.54098*100)</f>
        <v>5.6257489710537345E-2</v>
      </c>
      <c r="H58" s="15">
        <f>IF(OR(1874954.38713="",552.35403="",1152.44948=""),"-",(552.35403-1152.44948)/1874954.38713*100)</f>
        <v>-3.2005869269095585E-2</v>
      </c>
      <c r="I58" s="13"/>
    </row>
    <row r="59" spans="1:9" x14ac:dyDescent="0.3">
      <c r="A59" s="13" t="s">
        <v>251</v>
      </c>
      <c r="B59" s="14" t="s">
        <v>30</v>
      </c>
      <c r="C59" s="10">
        <v>13351.070659999999</v>
      </c>
      <c r="D59" s="15">
        <f>IF(OR(17791.14478="",13351.07066=""),"-",13351.07066/17791.14478*100)</f>
        <v>75.04334782890794</v>
      </c>
      <c r="E59" s="15">
        <f>IF(17791.14478="","-",17791.14478/1874954.38713*100)</f>
        <v>0.94888413830871765</v>
      </c>
      <c r="F59" s="15">
        <f>IF(13351.07066="","-",13351.07066/1725483.75067*100)</f>
        <v>0.77375812173344549</v>
      </c>
      <c r="G59" s="15">
        <f>IF(OR(1104691.54098="",16365.57484="",17791.14478=""),"-",(17791.14478-16365.57484)/1104691.54098*100)</f>
        <v>0.12904687753246849</v>
      </c>
      <c r="H59" s="15">
        <f>IF(OR(1874954.38713="",13351.07066="",17791.14478=""),"-",(13351.07066-17791.14478)/1874954.38713*100)</f>
        <v>-0.23680971390437067</v>
      </c>
      <c r="I59" s="11"/>
    </row>
    <row r="60" spans="1:9" ht="26.4" x14ac:dyDescent="0.3">
      <c r="A60" s="11" t="s">
        <v>252</v>
      </c>
      <c r="B60" s="12" t="s">
        <v>158</v>
      </c>
      <c r="C60" s="9">
        <v>344792.31917999999</v>
      </c>
      <c r="D60" s="16">
        <f>IF(288538.77403="","-",344792.31918/288538.77403*100)</f>
        <v>119.49600892951435</v>
      </c>
      <c r="E60" s="16">
        <f>IF(288538.77403="","-",288538.77403/1874954.38713*100)</f>
        <v>15.38910898369466</v>
      </c>
      <c r="F60" s="16">
        <f>IF(344792.31918="","-",344792.31918/1725483.75067*100)</f>
        <v>19.982356776534012</v>
      </c>
      <c r="G60" s="16">
        <f>IF(1104691.54098="","-",(288538.77403-287784.40157)/1104691.54098*100)</f>
        <v>6.8288063410964578E-2</v>
      </c>
      <c r="H60" s="16">
        <f>IF(1874954.38713="","-",(344792.31918-288538.77403)/1874954.38713*100)</f>
        <v>3.0002620616338054</v>
      </c>
      <c r="I60" s="13"/>
    </row>
    <row r="61" spans="1:9" ht="26.4" x14ac:dyDescent="0.3">
      <c r="A61" s="13" t="s">
        <v>253</v>
      </c>
      <c r="B61" s="14" t="s">
        <v>159</v>
      </c>
      <c r="C61" s="10">
        <v>3196.93064</v>
      </c>
      <c r="D61" s="15" t="s">
        <v>309</v>
      </c>
      <c r="E61" s="15">
        <f>IF(1096.28174="","-",1096.28174/1874954.38713*100)</f>
        <v>5.846978185309791E-2</v>
      </c>
      <c r="F61" s="15">
        <f>IF(3196.93064="","-",3196.93064/1725483.75067*100)</f>
        <v>0.18527735417726432</v>
      </c>
      <c r="G61" s="15">
        <f>IF(OR(1104691.54098="",777.76164="",1096.28174=""),"-",(1096.28174-777.76164)/1104691.54098*100)</f>
        <v>2.883339721397998E-2</v>
      </c>
      <c r="H61" s="15">
        <f>IF(OR(1874954.38713="",3196.93064="",1096.28174=""),"-",(3196.93064-1096.28174)/1874954.38713*100)</f>
        <v>0.1120373335169754</v>
      </c>
      <c r="I61" s="13"/>
    </row>
    <row r="62" spans="1:9" ht="26.4" x14ac:dyDescent="0.3">
      <c r="A62" s="13" t="s">
        <v>254</v>
      </c>
      <c r="B62" s="14" t="s">
        <v>160</v>
      </c>
      <c r="C62" s="10">
        <v>11496.132</v>
      </c>
      <c r="D62" s="15" t="s">
        <v>294</v>
      </c>
      <c r="E62" s="15">
        <f>IF(4126.1455="","-",4126.1455/1874954.38713*100)</f>
        <v>0.22006644685985702</v>
      </c>
      <c r="F62" s="15">
        <f>IF(11496.132="","-",11496.132/1725483.75067*100)</f>
        <v>0.66625559328136752</v>
      </c>
      <c r="G62" s="15">
        <f>IF(OR(1104691.54098="",6307.93572="",4126.1455=""),"-",(4126.1455-6307.93572)/1104691.54098*100)</f>
        <v>-0.19750221116606714</v>
      </c>
      <c r="H62" s="15">
        <f>IF(OR(1874954.38713="",11496.132="",4126.1455=""),"-",(11496.132-4126.1455)/1874954.38713*100)</f>
        <v>0.39307550896111493</v>
      </c>
      <c r="I62" s="13"/>
    </row>
    <row r="63" spans="1:9" ht="26.25" customHeight="1" x14ac:dyDescent="0.3">
      <c r="A63" s="13" t="s">
        <v>255</v>
      </c>
      <c r="B63" s="14" t="s">
        <v>161</v>
      </c>
      <c r="C63" s="10">
        <v>1668.9061899999999</v>
      </c>
      <c r="D63" s="15">
        <f>IF(OR(1516.77602="",1668.90619=""),"-",1668.90619/1516.77602*100)</f>
        <v>110.02983749703532</v>
      </c>
      <c r="E63" s="15">
        <f>IF(1516.77602="","-",1516.77602/1874954.38713*100)</f>
        <v>8.0896689029418739E-2</v>
      </c>
      <c r="F63" s="15">
        <f>IF(1668.90619="","-",1668.90619/1725483.75067*100)</f>
        <v>9.6721060940270734E-2</v>
      </c>
      <c r="G63" s="15">
        <f>IF(OR(1104691.54098="",2063.45752="",1516.77602=""),"-",(1516.77602-2063.45752)/1104691.54098*100)</f>
        <v>-4.9487253203281054E-2</v>
      </c>
      <c r="H63" s="15">
        <f>IF(OR(1874954.38713="",1668.90619="",1516.77602=""),"-",(1668.90619-1516.77602)/1874954.38713*100)</f>
        <v>8.1138064501326962E-3</v>
      </c>
      <c r="I63" s="13"/>
    </row>
    <row r="64" spans="1:9" ht="39.6" x14ac:dyDescent="0.3">
      <c r="A64" s="13" t="s">
        <v>256</v>
      </c>
      <c r="B64" s="14" t="s">
        <v>162</v>
      </c>
      <c r="C64" s="10">
        <v>17512.864560000002</v>
      </c>
      <c r="D64" s="15">
        <f>IF(OR(11562.9707="",17512.86456=""),"-",17512.86456/11562.9707*100)</f>
        <v>151.4564467416665</v>
      </c>
      <c r="E64" s="15">
        <f>IF(11562.9707="","-",11562.9707/1874954.38713*100)</f>
        <v>0.61670677320846634</v>
      </c>
      <c r="F64" s="15">
        <f>IF(17512.86456="","-",17512.86456/1725483.75067*100)</f>
        <v>1.0149538964478693</v>
      </c>
      <c r="G64" s="15">
        <f>IF(OR(1104691.54098="",9871.04414="",11562.9707=""),"-",(11562.9707-9871.04414)/1104691.54098*100)</f>
        <v>0.15315827968584322</v>
      </c>
      <c r="H64" s="15">
        <f>IF(OR(1874954.38713="",17512.86456="",11562.9707=""),"-",(17512.86456-11562.9707)/1874954.38713*100)</f>
        <v>0.31733539230826452</v>
      </c>
      <c r="I64" s="13"/>
    </row>
    <row r="65" spans="1:9" ht="26.4" x14ac:dyDescent="0.3">
      <c r="A65" s="13" t="s">
        <v>257</v>
      </c>
      <c r="B65" s="14" t="s">
        <v>163</v>
      </c>
      <c r="C65" s="10">
        <v>3941.04135</v>
      </c>
      <c r="D65" s="15" t="s">
        <v>309</v>
      </c>
      <c r="E65" s="15">
        <f>IF(1374.45717="","-",1374.45717/1874954.38713*100)</f>
        <v>7.3306165709123558E-2</v>
      </c>
      <c r="F65" s="15">
        <f>IF(3941.04135="","-",3941.04135/1725483.75067*100)</f>
        <v>0.22840211323170712</v>
      </c>
      <c r="G65" s="15">
        <f>IF(OR(1104691.54098="",852.45727="",1374.45717=""),"-",(1374.45717-852.45727)/1104691.54098*100)</f>
        <v>4.7253000555876487E-2</v>
      </c>
      <c r="H65" s="15">
        <f>IF(OR(1874954.38713="",3941.04135="",1374.45717=""),"-",(3941.04135-1374.45717)/1874954.38713*100)</f>
        <v>0.13688781965137192</v>
      </c>
      <c r="I65" s="13"/>
    </row>
    <row r="66" spans="1:9" ht="52.8" x14ac:dyDescent="0.3">
      <c r="A66" s="13" t="s">
        <v>258</v>
      </c>
      <c r="B66" s="14" t="s">
        <v>164</v>
      </c>
      <c r="C66" s="10">
        <v>1398.3844300000001</v>
      </c>
      <c r="D66" s="15" t="s">
        <v>99</v>
      </c>
      <c r="E66" s="15">
        <f>IF(813.77315="","-",813.77315/1874954.38713*100)</f>
        <v>4.3402290508285146E-2</v>
      </c>
      <c r="F66" s="15">
        <f>IF(1398.38443="","-",1398.38443/1725483.75067*100)</f>
        <v>8.1043036740103283E-2</v>
      </c>
      <c r="G66" s="15">
        <f>IF(OR(1104691.54098="",1253.57811="",813.77315=""),"-",(813.77315-1253.57811)/1104691.54098*100)</f>
        <v>-3.981246743410724E-2</v>
      </c>
      <c r="H66" s="15">
        <f>IF(OR(1874954.38713="",1398.38443="",813.77315=""),"-",(1398.38443-813.77315)/1874954.38713*100)</f>
        <v>3.118002677893764E-2</v>
      </c>
      <c r="I66" s="13"/>
    </row>
    <row r="67" spans="1:9" ht="39.75" customHeight="1" x14ac:dyDescent="0.3">
      <c r="A67" s="13" t="s">
        <v>259</v>
      </c>
      <c r="B67" s="14" t="s">
        <v>165</v>
      </c>
      <c r="C67" s="10">
        <v>264247.94575999997</v>
      </c>
      <c r="D67" s="15">
        <f>IF(OR(229153.16416="",264247.94576=""),"-",264247.94576/229153.16416*100)</f>
        <v>115.31498887595373</v>
      </c>
      <c r="E67" s="15">
        <f>IF(229153.16416="","-",229153.16416/1874954.38713*100)</f>
        <v>12.221799406585331</v>
      </c>
      <c r="F67" s="15">
        <f>IF(264247.94576="","-",264247.94576/1725483.75067*100)</f>
        <v>15.314426789437647</v>
      </c>
      <c r="G67" s="15">
        <f>IF(OR(1104691.54098="",244742.59411="",229153.16416=""),"-",(229153.16416-244742.59411)/1104691.54098*100)</f>
        <v>-1.4112020751213716</v>
      </c>
      <c r="H67" s="15">
        <f>IF(OR(1874954.38713="",264247.94576="",229153.16416=""),"-",(264247.94576-229153.16416)/1874954.38713*100)</f>
        <v>1.8717672195599226</v>
      </c>
      <c r="I67" s="13"/>
    </row>
    <row r="68" spans="1:9" ht="26.4" x14ac:dyDescent="0.3">
      <c r="A68" s="13" t="s">
        <v>260</v>
      </c>
      <c r="B68" s="14" t="s">
        <v>166</v>
      </c>
      <c r="C68" s="10">
        <v>36879.213889999999</v>
      </c>
      <c r="D68" s="15">
        <f>IF(OR(38487.36392="",36879.21389=""),"-",36879.21389/38487.36392*100)</f>
        <v>95.821615548046594</v>
      </c>
      <c r="E68" s="15">
        <f>IF(38487.36392="","-",38487.36392/1874954.38713*100)</f>
        <v>2.0527093450477354</v>
      </c>
      <c r="F68" s="15">
        <f>IF(36879.21389="","-",36879.21389/1725483.75067*100)</f>
        <v>2.1373260614989804</v>
      </c>
      <c r="G68" s="15">
        <f>IF(OR(1104691.54098="",21588.80481="",38487.36392=""),"-",(38487.36392-21588.80481)/1104691.54098*100)</f>
        <v>1.5297083831210347</v>
      </c>
      <c r="H68" s="15">
        <f>IF(OR(1874954.38713="",36879.21389="",38487.36392=""),"-",(36879.21389-38487.36392)/1874954.38713*100)</f>
        <v>-8.5770088117269133E-2</v>
      </c>
      <c r="I68" s="13"/>
    </row>
    <row r="69" spans="1:9" x14ac:dyDescent="0.3">
      <c r="A69" s="13" t="s">
        <v>261</v>
      </c>
      <c r="B69" s="14" t="s">
        <v>31</v>
      </c>
      <c r="C69" s="10">
        <v>4450.9003599999996</v>
      </c>
      <c r="D69" s="15" t="s">
        <v>403</v>
      </c>
      <c r="E69" s="15">
        <f>IF(407.84167="","-",407.84167/1874954.38713*100)</f>
        <v>2.1752084893344251E-2</v>
      </c>
      <c r="F69" s="15">
        <f>IF(4450.90036="","-",4450.90036/1725483.75067*100)</f>
        <v>0.25795087077880213</v>
      </c>
      <c r="G69" s="15">
        <f>IF(OR(1104691.54098="",326.76825="",407.84167=""),"-",(407.84167-326.76825)/1104691.54098*100)</f>
        <v>7.3390097590570582E-3</v>
      </c>
      <c r="H69" s="15">
        <f>IF(OR(1874954.38713="",4450.90036="",407.84167=""),"-",(4450.90036-407.84167)/1874954.38713*100)</f>
        <v>0.21563504252435314</v>
      </c>
      <c r="I69" s="11"/>
    </row>
    <row r="70" spans="1:9" x14ac:dyDescent="0.3">
      <c r="A70" s="11" t="s">
        <v>262</v>
      </c>
      <c r="B70" s="12" t="s">
        <v>32</v>
      </c>
      <c r="C70" s="9">
        <v>254421.09202000001</v>
      </c>
      <c r="D70" s="16">
        <f>IF(256774.15414="","-",254421.09202/256774.15414*100)</f>
        <v>99.083606320160627</v>
      </c>
      <c r="E70" s="16">
        <f>IF(256774.15414="","-",256774.15414/1874954.38713*100)</f>
        <v>13.694954709434038</v>
      </c>
      <c r="F70" s="16">
        <f>IF(254421.09202="","-",254421.09202/1725483.75067*100)</f>
        <v>14.744913820324825</v>
      </c>
      <c r="G70" s="16">
        <f>IF(1104691.54098="","-",(256774.15414-237574.11148)/1104691.54098*100)</f>
        <v>1.7380455944260385</v>
      </c>
      <c r="H70" s="16">
        <f>IF(1874954.38713="","-",(254421.09202-256774.15414)/1874954.38713*100)</f>
        <v>-0.12549969941411904</v>
      </c>
      <c r="I70" s="13"/>
    </row>
    <row r="71" spans="1:9" ht="52.8" x14ac:dyDescent="0.3">
      <c r="A71" s="13" t="s">
        <v>263</v>
      </c>
      <c r="B71" s="14" t="s">
        <v>192</v>
      </c>
      <c r="C71" s="10">
        <v>6559.77232</v>
      </c>
      <c r="D71" s="15">
        <f>IF(OR(6947.09784="",6559.77232=""),"-",6559.77232/6947.09784*100)</f>
        <v>94.424642794436295</v>
      </c>
      <c r="E71" s="15">
        <f>IF(6947.09784="","-",6947.09784/1874954.38713*100)</f>
        <v>0.37052089841150482</v>
      </c>
      <c r="F71" s="15">
        <f>IF(6559.77232="","-",6559.77232/1725483.75067*100)</f>
        <v>0.3801700431808101</v>
      </c>
      <c r="G71" s="15">
        <f>IF(OR(1104691.54098="",7155.02647="",6947.09784=""),"-",(6947.09784-7155.02647)/1104691.54098*100)</f>
        <v>-1.8822324810737721E-2</v>
      </c>
      <c r="H71" s="15">
        <f>IF(OR(1874954.38713="",6559.77232="",6947.09784=""),"-",(6559.77232-6947.09784)/1874954.38713*100)</f>
        <v>-2.0657863607705201E-2</v>
      </c>
      <c r="I71" s="13"/>
    </row>
    <row r="72" spans="1:9" x14ac:dyDescent="0.3">
      <c r="A72" s="13" t="s">
        <v>264</v>
      </c>
      <c r="B72" s="14" t="s">
        <v>167</v>
      </c>
      <c r="C72" s="10">
        <v>60386.973330000001</v>
      </c>
      <c r="D72" s="15">
        <f>IF(OR(62926.28867="",60386.97333=""),"-",60386.97333/62926.28867*100)</f>
        <v>95.96461924948926</v>
      </c>
      <c r="E72" s="15">
        <f>IF(62926.28867="","-",62926.28867/1874954.38713*100)</f>
        <v>3.3561503736803706</v>
      </c>
      <c r="F72" s="15">
        <f>IF(60386.97333="","-",60386.97333/1725483.75067*100)</f>
        <v>3.4997126635676472</v>
      </c>
      <c r="G72" s="15">
        <f>IF(OR(1104691.54098="",67717.5413="",62926.28867=""),"-",(62926.28867-67717.5413)/1104691.54098*100)</f>
        <v>-0.4337185949436666</v>
      </c>
      <c r="H72" s="15">
        <f>IF(OR(1874954.38713="",60386.97333="",62926.28867=""),"-",(60386.97333-62926.28867)/1874954.38713*100)</f>
        <v>-0.13543344613769198</v>
      </c>
      <c r="I72" s="13"/>
    </row>
    <row r="73" spans="1:9" x14ac:dyDescent="0.3">
      <c r="A73" s="13" t="s">
        <v>265</v>
      </c>
      <c r="B73" s="14" t="s">
        <v>168</v>
      </c>
      <c r="C73" s="10">
        <v>5898.4156899999998</v>
      </c>
      <c r="D73" s="15">
        <f>IF(OR(6425.06499="",5898.41569=""),"-",5898.41569/6425.06499*100)</f>
        <v>91.803206647408558</v>
      </c>
      <c r="E73" s="15">
        <f>IF(6425.06499="","-",6425.06499/1874954.38713*100)</f>
        <v>0.34267846909251337</v>
      </c>
      <c r="F73" s="15">
        <f>IF(5898.41569="","-",5898.41569/1725483.75067*100)</f>
        <v>0.34184127713226292</v>
      </c>
      <c r="G73" s="15">
        <f>IF(OR(1104691.54098="",6396.44472="",6425.06499=""),"-",(6425.06499-6396.44472)/1104691.54098*100)</f>
        <v>2.5907928990394607E-3</v>
      </c>
      <c r="H73" s="15">
        <f>IF(OR(1874954.38713="",5898.41569="",6425.06499=""),"-",(5898.41569-6425.06499)/1874954.38713*100)</f>
        <v>-2.8088645975337258E-2</v>
      </c>
      <c r="I73" s="13"/>
    </row>
    <row r="74" spans="1:9" x14ac:dyDescent="0.3">
      <c r="A74" s="13" t="s">
        <v>266</v>
      </c>
      <c r="B74" s="14" t="s">
        <v>169</v>
      </c>
      <c r="C74" s="10">
        <v>118518.88731000001</v>
      </c>
      <c r="D74" s="15">
        <f>IF(OR(119264.40421="",118518.88731=""),"-",118518.88731/119264.40421*100)</f>
        <v>99.374904100734625</v>
      </c>
      <c r="E74" s="15">
        <f>IF(119264.40421="","-",119264.40421/1874954.38713*100)</f>
        <v>6.3609229658412385</v>
      </c>
      <c r="F74" s="15">
        <f>IF(118518.88731="","-",118518.88731/1725483.75067*100)</f>
        <v>6.8687338993473279</v>
      </c>
      <c r="G74" s="15">
        <f>IF(OR(1104691.54098="",105400.92067="",119264.40421=""),"-",(119264.40421-105400.92067)/1104691.54098*100)</f>
        <v>1.254964216318823</v>
      </c>
      <c r="H74" s="15">
        <f>IF(OR(1874954.38713="",118518.88731="",119264.40421=""),"-",(118518.88731-119264.40421)/1874954.38713*100)</f>
        <v>-3.9761868614902864E-2</v>
      </c>
      <c r="I74" s="13"/>
    </row>
    <row r="75" spans="1:9" x14ac:dyDescent="0.3">
      <c r="A75" s="13" t="s">
        <v>267</v>
      </c>
      <c r="B75" s="14" t="s">
        <v>170</v>
      </c>
      <c r="C75" s="10">
        <v>13949.03335</v>
      </c>
      <c r="D75" s="15">
        <f>IF(OR(17112.94213="",13949.03335=""),"-",13949.03335/17112.94213*100)</f>
        <v>81.51160241199274</v>
      </c>
      <c r="E75" s="15">
        <f>IF(17112.94213="","-",17112.94213/1874954.38713*100)</f>
        <v>0.91271245036498438</v>
      </c>
      <c r="F75" s="15">
        <f>IF(13949.03335="","-",13949.03335/1725483.75067*100)</f>
        <v>0.80841290708090607</v>
      </c>
      <c r="G75" s="15">
        <f>IF(OR(1104691.54098="",14500.67286="",17112.94213=""),"-",(17112.94213-14500.67286)/1104691.54098*100)</f>
        <v>0.23647046918478151</v>
      </c>
      <c r="H75" s="15">
        <f>IF(OR(1874954.38713="",13949.03335="",17112.94213=""),"-",(13949.03335-17112.94213)/1874954.38713*100)</f>
        <v>-0.16874590665872186</v>
      </c>
      <c r="I75" s="13"/>
    </row>
    <row r="76" spans="1:9" ht="26.4" x14ac:dyDescent="0.3">
      <c r="A76" s="13" t="s">
        <v>268</v>
      </c>
      <c r="B76" s="14" t="s">
        <v>323</v>
      </c>
      <c r="C76" s="10">
        <v>10437.30284</v>
      </c>
      <c r="D76" s="15">
        <f>IF(OR(9315.97236="",10437.30284=""),"-",10437.30284/9315.97236*100)</f>
        <v>112.03664455698321</v>
      </c>
      <c r="E76" s="15">
        <f>IF(9315.97236="","-",9315.97236/1874954.38713*100)</f>
        <v>0.49686394634164915</v>
      </c>
      <c r="F76" s="15">
        <f>IF(10437.30284="","-",10437.30284/1725483.75067*100)</f>
        <v>0.60489140137930764</v>
      </c>
      <c r="G76" s="15">
        <f>IF(OR(1104691.54098="",10636.79837="",9315.97236=""),"-",(9315.97236-10636.79837)/1104691.54098*100)</f>
        <v>-0.11956514203306584</v>
      </c>
      <c r="H76" s="15">
        <f>IF(OR(1874954.38713="",10437.30284="",9315.97236=""),"-",(10437.30284-9315.97236)/1874954.38713*100)</f>
        <v>5.9805747152944108E-2</v>
      </c>
      <c r="I76" s="13"/>
    </row>
    <row r="77" spans="1:9" ht="39.6" x14ac:dyDescent="0.3">
      <c r="A77" s="13" t="s">
        <v>269</v>
      </c>
      <c r="B77" s="14" t="s">
        <v>171</v>
      </c>
      <c r="C77" s="10">
        <v>3151.0480699999998</v>
      </c>
      <c r="D77" s="15" t="s">
        <v>99</v>
      </c>
      <c r="E77" s="15">
        <f>IF(1848.21961="","-",1848.21961/1874954.38713*100)</f>
        <v>9.8574110532314171E-2</v>
      </c>
      <c r="F77" s="15">
        <f>IF(3151.04807="","-",3151.04807/1725483.75067*100)</f>
        <v>0.18261824075575661</v>
      </c>
      <c r="G77" s="15">
        <f>IF(OR(1104691.54098="",1350.61728="",1848.21961=""),"-",(1848.21961-1350.61728)/1104691.54098*100)</f>
        <v>4.5044459158125209E-2</v>
      </c>
      <c r="H77" s="15">
        <f>IF(OR(1874954.38713="",3151.04807="",1848.21961=""),"-",(3151.04807-1848.21961)/1874954.38713*100)</f>
        <v>6.9485874906762099E-2</v>
      </c>
      <c r="I77" s="13"/>
    </row>
    <row r="78" spans="1:9" x14ac:dyDescent="0.3">
      <c r="A78" s="13" t="s">
        <v>270</v>
      </c>
      <c r="B78" s="14" t="s">
        <v>33</v>
      </c>
      <c r="C78" s="10">
        <v>35519.659110000001</v>
      </c>
      <c r="D78" s="15">
        <f>IF(OR(32934.16433="",35519.65911=""),"-",35519.65911/32934.16433*100)</f>
        <v>107.85049456270809</v>
      </c>
      <c r="E78" s="15">
        <f>IF(32934.16433="","-",32934.16433/1874954.38713*100)</f>
        <v>1.7565314951694615</v>
      </c>
      <c r="F78" s="15">
        <f>IF(35519.65911="","-",35519.65911/1725483.75067*100)</f>
        <v>2.058533387880809</v>
      </c>
      <c r="G78" s="15">
        <f>IF(OR(1104691.54098="",24416.08981="",32934.16433=""),"-",(32934.16433-24416.08981)/1104691.54098*100)</f>
        <v>0.77108171865273789</v>
      </c>
      <c r="H78" s="15">
        <f>IF(OR(1874954.38713="",35519.65911="",32934.16433=""),"-",(35519.65911-32934.16433)/1874954.38713*100)</f>
        <v>0.13789640952053386</v>
      </c>
      <c r="I78" s="13"/>
    </row>
    <row r="79" spans="1:9" ht="26.4" x14ac:dyDescent="0.3">
      <c r="A79" s="56" t="s">
        <v>273</v>
      </c>
      <c r="B79" s="53" t="s">
        <v>172</v>
      </c>
      <c r="C79" s="54">
        <v>3524.1102000000001</v>
      </c>
      <c r="D79" s="55" t="s">
        <v>194</v>
      </c>
      <c r="E79" s="55">
        <f>IF(1914.71395="","-",1914.71395/1874954.38713*100)</f>
        <v>0.10212056160634714</v>
      </c>
      <c r="F79" s="55">
        <f>IF(3524.1102="","-",3524.1102/1725483.75067*100)</f>
        <v>0.20423896768842933</v>
      </c>
      <c r="G79" s="55">
        <v>0.17332529999999999</v>
      </c>
      <c r="H79" s="55">
        <f>IF(1874954.38713="","-",(3524.1102-1914.71395)/1874954.38713*100)</f>
        <v>8.5836554800861539E-2</v>
      </c>
      <c r="I79" s="13"/>
    </row>
    <row r="80" spans="1:9" x14ac:dyDescent="0.3">
      <c r="A80" s="19" t="s">
        <v>276</v>
      </c>
      <c r="B80" s="20"/>
    </row>
    <row r="81" spans="1:2" x14ac:dyDescent="0.3">
      <c r="A81" s="20" t="s">
        <v>318</v>
      </c>
      <c r="B81" s="20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I80"/>
  <sheetViews>
    <sheetView zoomScaleNormal="100" workbookViewId="0">
      <selection activeCell="B1" sqref="B1:H1"/>
    </sheetView>
  </sheetViews>
  <sheetFormatPr defaultRowHeight="15.6" x14ac:dyDescent="0.3"/>
  <cols>
    <col min="1" max="1" width="4.69921875" customWidth="1"/>
    <col min="2" max="2" width="26.69921875" customWidth="1"/>
    <col min="3" max="3" width="11.59765625" customWidth="1"/>
    <col min="4" max="4" width="10.3984375" customWidth="1"/>
    <col min="5" max="5" width="7.8984375" customWidth="1"/>
    <col min="6" max="6" width="7.69921875" customWidth="1"/>
    <col min="7" max="7" width="9" customWidth="1"/>
    <col min="8" max="8" width="8.8984375" customWidth="1"/>
  </cols>
  <sheetData>
    <row r="1" spans="1:9" ht="16.2" x14ac:dyDescent="0.35">
      <c r="B1" s="83" t="s">
        <v>126</v>
      </c>
      <c r="C1" s="83"/>
      <c r="D1" s="83"/>
      <c r="E1" s="83"/>
      <c r="F1" s="83"/>
      <c r="G1" s="83"/>
      <c r="H1" s="83"/>
    </row>
    <row r="2" spans="1:9" ht="16.2" x14ac:dyDescent="0.35">
      <c r="B2" s="83" t="s">
        <v>275</v>
      </c>
      <c r="C2" s="83"/>
      <c r="D2" s="83"/>
      <c r="E2" s="83"/>
      <c r="F2" s="83"/>
      <c r="G2" s="83"/>
      <c r="H2" s="83"/>
    </row>
    <row r="3" spans="1:9" x14ac:dyDescent="0.3">
      <c r="A3" s="93"/>
      <c r="B3" s="93"/>
      <c r="C3" s="93"/>
      <c r="D3" s="93"/>
      <c r="E3" s="93"/>
      <c r="F3" s="93"/>
      <c r="G3" s="93"/>
      <c r="H3" s="93"/>
    </row>
    <row r="4" spans="1:9" ht="62.25" customHeight="1" x14ac:dyDescent="0.3">
      <c r="A4" s="87" t="s">
        <v>201</v>
      </c>
      <c r="B4" s="89"/>
      <c r="C4" s="76" t="s">
        <v>355</v>
      </c>
      <c r="D4" s="77"/>
      <c r="E4" s="78" t="s">
        <v>0</v>
      </c>
      <c r="F4" s="79"/>
      <c r="G4" s="91" t="s">
        <v>411</v>
      </c>
      <c r="H4" s="92"/>
    </row>
    <row r="5" spans="1:9" ht="40.5" customHeight="1" x14ac:dyDescent="0.3">
      <c r="A5" s="88"/>
      <c r="B5" s="90"/>
      <c r="C5" s="39" t="s">
        <v>95</v>
      </c>
      <c r="D5" s="38" t="s">
        <v>356</v>
      </c>
      <c r="E5" s="39" t="s">
        <v>357</v>
      </c>
      <c r="F5" s="39" t="s">
        <v>358</v>
      </c>
      <c r="G5" s="39" t="s">
        <v>366</v>
      </c>
      <c r="H5" s="37" t="s">
        <v>367</v>
      </c>
    </row>
    <row r="6" spans="1:9" s="1" customFormat="1" ht="13.8" x14ac:dyDescent="0.25">
      <c r="A6" s="60"/>
      <c r="B6" s="51" t="s">
        <v>114</v>
      </c>
      <c r="C6" s="52">
        <v>3706619.3768099998</v>
      </c>
      <c r="D6" s="48">
        <f>IF(3582158.92973="","-",3706619.37681/3582158.92973*100)</f>
        <v>103.4744535215075</v>
      </c>
      <c r="E6" s="48">
        <v>100</v>
      </c>
      <c r="F6" s="48">
        <v>100</v>
      </c>
      <c r="G6" s="48">
        <f>IF(2676462.27457="","-",(3582158.92973-2676462.27457)/2676462.27457*100)</f>
        <v>33.83932079915116</v>
      </c>
      <c r="H6" s="48">
        <f>IF(3582158.92973="","-",(3706619.37681-3582158.92973)/3582158.92973*100)</f>
        <v>3.4744535215075132</v>
      </c>
      <c r="I6" s="68"/>
    </row>
    <row r="7" spans="1:9" ht="13.5" customHeight="1" x14ac:dyDescent="0.3">
      <c r="A7" s="11" t="s">
        <v>202</v>
      </c>
      <c r="B7" s="12" t="s">
        <v>173</v>
      </c>
      <c r="C7" s="9">
        <v>415254.48084999999</v>
      </c>
      <c r="D7" s="16">
        <f>IF(392444.94103="","-",415254.48085/392444.94103*100)</f>
        <v>105.81216304130069</v>
      </c>
      <c r="E7" s="16">
        <f>IF(392444.94103="","-",392444.94103/3582158.92973*100)</f>
        <v>10.955542418090868</v>
      </c>
      <c r="F7" s="16">
        <f>IF(415254.48085="","-",415254.48085/3706619.37681*100)</f>
        <v>11.20305158517186</v>
      </c>
      <c r="G7" s="16">
        <f>IF(2676462.27457="","-",(392444.94103-319584.64445)/2676462.27457*100)</f>
        <v>2.7222612951533454</v>
      </c>
      <c r="H7" s="16">
        <f>IF(3582158.92973="","-",(415254.48085-392444.94103)/3582158.92973*100)</f>
        <v>0.63675398739829892</v>
      </c>
    </row>
    <row r="8" spans="1:9" x14ac:dyDescent="0.3">
      <c r="A8" s="13" t="s">
        <v>203</v>
      </c>
      <c r="B8" s="14" t="s">
        <v>21</v>
      </c>
      <c r="C8" s="10">
        <v>3722.3124699999998</v>
      </c>
      <c r="D8" s="15">
        <f>IF(OR(4218.86138="",3722.31247=""),"-",3722.31247/4218.86138*100)</f>
        <v>88.230262497982324</v>
      </c>
      <c r="E8" s="15">
        <f>IF(4218.86138="","-",4218.86138/3582158.92973*100)</f>
        <v>0.11777426582013743</v>
      </c>
      <c r="F8" s="15">
        <f>IF(3722.31247="","-",3722.31247/3706619.37681*100)</f>
        <v>0.10042338021778502</v>
      </c>
      <c r="G8" s="15">
        <f>IF(OR(2676462.27457="",2071.68156="",4218.86138=""),"-",(4218.86138-2071.68156)/2676462.27457*100)</f>
        <v>8.0224550160900965E-2</v>
      </c>
      <c r="H8" s="15">
        <f>IF(OR(3582158.92973="",3722.31247="",4218.86138=""),"-",(3722.31247-4218.86138)/3582158.92973*100)</f>
        <v>-1.38617219319587E-2</v>
      </c>
    </row>
    <row r="9" spans="1:9" x14ac:dyDescent="0.3">
      <c r="A9" s="13" t="s">
        <v>204</v>
      </c>
      <c r="B9" s="14" t="s">
        <v>174</v>
      </c>
      <c r="C9" s="10">
        <v>28613.44226</v>
      </c>
      <c r="D9" s="15">
        <f>IF(OR(37843.98647="",28613.44226=""),"-",28613.44226/37843.98647*100)</f>
        <v>75.608953836516889</v>
      </c>
      <c r="E9" s="15">
        <f>IF(37843.98647="","-",37843.98647/3582158.92973*100)</f>
        <v>1.0564574942757337</v>
      </c>
      <c r="F9" s="15">
        <f>IF(28613.44226="","-",28613.44226/3706619.37681*100)</f>
        <v>0.77195523335944383</v>
      </c>
      <c r="G9" s="15">
        <f>IF(OR(2676462.27457="",21958.34901="",37843.98647=""),"-",(37843.98647-21958.34901)/2676462.27457*100)</f>
        <v>0.59353115532152179</v>
      </c>
      <c r="H9" s="15">
        <f>IF(OR(3582158.92973="",28613.44226="",37843.98647=""),"-",(28613.44226-37843.98647)/3582158.92973*100)</f>
        <v>-0.25768103512637119</v>
      </c>
    </row>
    <row r="10" spans="1:9" s="2" customFormat="1" x14ac:dyDescent="0.3">
      <c r="A10" s="13" t="s">
        <v>205</v>
      </c>
      <c r="B10" s="14" t="s">
        <v>175</v>
      </c>
      <c r="C10" s="10">
        <v>51624.27994</v>
      </c>
      <c r="D10" s="15">
        <f>IF(OR(49043.87984="",51624.27994=""),"-",51624.27994/49043.87984*100)</f>
        <v>105.26141102298239</v>
      </c>
      <c r="E10" s="15">
        <f>IF(49043.87984="","-",49043.87984/3582158.92973*100)</f>
        <v>1.3691151286717649</v>
      </c>
      <c r="F10" s="15">
        <f>IF(51624.27994="","-",51624.27994/3706619.37681*100)</f>
        <v>1.3927591341852052</v>
      </c>
      <c r="G10" s="15">
        <f>IF(OR(2676462.27457="",36464.31252="",49043.87984=""),"-",(49043.87984-36464.31252)/2676462.27457*100)</f>
        <v>0.47000727189480129</v>
      </c>
      <c r="H10" s="15">
        <f>IF(OR(3582158.92973="",51624.27994="",49043.87984=""),"-",(51624.27994-49043.87984)/3582158.92973*100)</f>
        <v>7.2034774297255785E-2</v>
      </c>
    </row>
    <row r="11" spans="1:9" s="2" customFormat="1" x14ac:dyDescent="0.3">
      <c r="A11" s="13" t="s">
        <v>206</v>
      </c>
      <c r="B11" s="14" t="s">
        <v>176</v>
      </c>
      <c r="C11" s="10">
        <v>35075.4954</v>
      </c>
      <c r="D11" s="15">
        <f>IF(OR(32225.49738="",35075.4954=""),"-",35075.4954/32225.49738*100)</f>
        <v>108.8439225200874</v>
      </c>
      <c r="E11" s="15">
        <f>IF(32225.49738="","-",32225.49738/3582158.92973*100)</f>
        <v>0.89961104496357314</v>
      </c>
      <c r="F11" s="15">
        <f>IF(35075.4954="","-",35075.4954/3706619.37681*100)</f>
        <v>0.94629342358283253</v>
      </c>
      <c r="G11" s="15">
        <f>IF(OR(2676462.27457="",28585.69448="",32225.49738=""),"-",(32225.49738-28585.69448)/2676462.27457*100)</f>
        <v>0.13599305824644109</v>
      </c>
      <c r="H11" s="15">
        <f>IF(OR(3582158.92973="",35075.4954="",32225.49738=""),"-",(35075.4954-32225.49738)/3582158.92973*100)</f>
        <v>7.9560903798727142E-2</v>
      </c>
    </row>
    <row r="12" spans="1:9" s="2" customFormat="1" ht="26.4" x14ac:dyDescent="0.3">
      <c r="A12" s="13" t="s">
        <v>207</v>
      </c>
      <c r="B12" s="14" t="s">
        <v>177</v>
      </c>
      <c r="C12" s="10">
        <v>71119.794970000003</v>
      </c>
      <c r="D12" s="15">
        <f>IF(OR(66726.70894="",71119.79497=""),"-",71119.79497/66726.70894*100)</f>
        <v>106.58369954068951</v>
      </c>
      <c r="E12" s="15">
        <f>IF(66726.70894="","-",66726.70894/3582158.92973*100)</f>
        <v>1.8627512136941793</v>
      </c>
      <c r="F12" s="15">
        <f>IF(71119.79497="","-",71119.79497/3706619.37681*100)</f>
        <v>1.9187239837721699</v>
      </c>
      <c r="G12" s="15">
        <f>IF(OR(2676462.27457="",48942.5227="",66726.70894=""),"-",(66726.70894-48942.5227)/2676462.27457*100)</f>
        <v>0.66446616524259439</v>
      </c>
      <c r="H12" s="15">
        <f>IF(OR(3582158.92973="",71119.79497="",66726.70894=""),"-",(71119.79497-66726.70894)/3582158.92973*100)</f>
        <v>0.12263794310017194</v>
      </c>
    </row>
    <row r="13" spans="1:9" s="2" customFormat="1" x14ac:dyDescent="0.3">
      <c r="A13" s="13" t="s">
        <v>208</v>
      </c>
      <c r="B13" s="14" t="s">
        <v>178</v>
      </c>
      <c r="C13" s="10">
        <v>110058.30279</v>
      </c>
      <c r="D13" s="15">
        <f>IF(OR(94654.57221="",110058.30279=""),"-",110058.30279/94654.57221*100)</f>
        <v>116.27362547878342</v>
      </c>
      <c r="E13" s="15">
        <f>IF(94654.57221="","-",94654.57221/3582158.92973*100)</f>
        <v>2.6423889633823268</v>
      </c>
      <c r="F13" s="15">
        <f>IF(110058.30279="","-",110058.30279/3706619.37681*100)</f>
        <v>2.969236697961652</v>
      </c>
      <c r="G13" s="15">
        <f>IF(OR(2676462.27457="",87995.32269="",94654.57221=""),"-",(94654.57221-87995.32269)/2676462.27457*100)</f>
        <v>0.24880789777131726</v>
      </c>
      <c r="H13" s="15">
        <f>IF(OR(3582158.92973="",110058.30279="",94654.57221=""),"-",(110058.30279-94654.57221)/3582158.92973*100)</f>
        <v>0.43001248359354727</v>
      </c>
    </row>
    <row r="14" spans="1:9" s="2" customFormat="1" ht="26.4" x14ac:dyDescent="0.3">
      <c r="A14" s="13" t="s">
        <v>209</v>
      </c>
      <c r="B14" s="14" t="s">
        <v>136</v>
      </c>
      <c r="C14" s="10">
        <v>12638.308590000001</v>
      </c>
      <c r="D14" s="15">
        <f>IF(OR(8816.00947="",12638.30859=""),"-",12638.30859/8816.00947*100)</f>
        <v>143.35634090465646</v>
      </c>
      <c r="E14" s="15">
        <f>IF(8816.00947="","-",8816.00947/3582158.92973*100)</f>
        <v>0.246108831097131</v>
      </c>
      <c r="F14" s="15">
        <f>IF(12638.30859="","-",12638.30859/3706619.37681*100)</f>
        <v>0.34096591274167498</v>
      </c>
      <c r="G14" s="15">
        <f>IF(OR(2676462.27457="",8442.57686="",8816.00947=""),"-",(8816.00947-8442.57686)/2676462.27457*100)</f>
        <v>1.3952470526041594E-2</v>
      </c>
      <c r="H14" s="15">
        <f>IF(OR(3582158.92973="",12638.30859="",8816.00947=""),"-",(12638.30859-8816.00947)/3582158.92973*100)</f>
        <v>0.10670378380693735</v>
      </c>
    </row>
    <row r="15" spans="1:9" s="2" customFormat="1" ht="26.4" x14ac:dyDescent="0.3">
      <c r="A15" s="13" t="s">
        <v>210</v>
      </c>
      <c r="B15" s="14" t="s">
        <v>179</v>
      </c>
      <c r="C15" s="10">
        <v>32077.370589999999</v>
      </c>
      <c r="D15" s="15">
        <f>IF(OR(27094.85929="",32077.37059=""),"-",32077.37059/27094.85929*100)</f>
        <v>118.38913886457757</v>
      </c>
      <c r="E15" s="15">
        <f>IF(27094.85929="","-",27094.85929/3582158.92973*100)</f>
        <v>0.756383505631958</v>
      </c>
      <c r="F15" s="15">
        <f>IF(32077.37059="","-",32077.37059/3706619.37681*100)</f>
        <v>0.8654077294984226</v>
      </c>
      <c r="G15" s="15">
        <f>IF(OR(2676462.27457="",24662.56572="",27094.85929=""),"-",(27094.85929-24662.56572)/2676462.27457*100)</f>
        <v>9.0877184898515845E-2</v>
      </c>
      <c r="H15" s="15">
        <f>IF(OR(3582158.92973="",32077.37059="",27094.85929=""),"-",(32077.37059-27094.85929)/3582158.92973*100)</f>
        <v>0.13909241319942073</v>
      </c>
    </row>
    <row r="16" spans="1:9" s="2" customFormat="1" ht="26.4" x14ac:dyDescent="0.3">
      <c r="A16" s="13" t="s">
        <v>211</v>
      </c>
      <c r="B16" s="14" t="s">
        <v>137</v>
      </c>
      <c r="C16" s="10">
        <v>22592.9908</v>
      </c>
      <c r="D16" s="15">
        <f>IF(OR(23048.72254="",22592.9908=""),"-",22592.9908/23048.72254*100)</f>
        <v>98.022746209864351</v>
      </c>
      <c r="E16" s="15">
        <f>IF(23048.72254="","-",23048.72254/3582158.92973*100)</f>
        <v>0.64343104234454673</v>
      </c>
      <c r="F16" s="15">
        <f>IF(22592.9908="","-",22592.9908/3706619.37681*100)</f>
        <v>0.60953090952230538</v>
      </c>
      <c r="G16" s="15">
        <f>IF(OR(2676462.27457="",20065.01386="",23048.72254=""),"-",(23048.72254-20065.01386)/2676462.27457*100)</f>
        <v>0.11147957168495348</v>
      </c>
      <c r="H16" s="15">
        <f>IF(OR(3582158.92973="",22592.9908="",23048.72254=""),"-",(22592.9908-23048.72254)/3582158.92973*100)</f>
        <v>-1.2722264671666855E-2</v>
      </c>
    </row>
    <row r="17" spans="1:8" s="2" customFormat="1" ht="16.5" customHeight="1" x14ac:dyDescent="0.3">
      <c r="A17" s="13" t="s">
        <v>212</v>
      </c>
      <c r="B17" s="14" t="s">
        <v>180</v>
      </c>
      <c r="C17" s="10">
        <v>47732.183040000004</v>
      </c>
      <c r="D17" s="15">
        <f>IF(OR(48771.84351="",47732.18304=""),"-",47732.18304/48771.84351*100)</f>
        <v>97.868318285350796</v>
      </c>
      <c r="E17" s="15">
        <f>IF(48771.84351="","-",48771.84351/3582158.92973*100)</f>
        <v>1.3615209282095171</v>
      </c>
      <c r="F17" s="15">
        <f>IF(47732.18304="","-",47732.18304/3706619.37681*100)</f>
        <v>1.2877551803303686</v>
      </c>
      <c r="G17" s="15">
        <f>IF(OR(2676462.27457="",40396.60505="",48771.84351=""),"-",(48771.84351-40396.60505)/2676462.27457*100)</f>
        <v>0.31292196940625905</v>
      </c>
      <c r="H17" s="15">
        <f>IF(OR(3582158.92973="",47732.18304="",48771.84351=""),"-",(47732.18304-48771.84351)/3582158.92973*100)</f>
        <v>-2.9023292667764416E-2</v>
      </c>
    </row>
    <row r="18" spans="1:8" s="2" customFormat="1" x14ac:dyDescent="0.3">
      <c r="A18" s="11" t="s">
        <v>213</v>
      </c>
      <c r="B18" s="12" t="s">
        <v>181</v>
      </c>
      <c r="C18" s="9">
        <v>50851.001850000001</v>
      </c>
      <c r="D18" s="16">
        <f>IF(43329.06687="","-",50851.00185/43329.06687*100)</f>
        <v>117.3600207051955</v>
      </c>
      <c r="E18" s="16">
        <f>IF(43329.06687="","-",43329.06687/3582158.92973*100)</f>
        <v>1.2095796897896396</v>
      </c>
      <c r="F18" s="16">
        <f>IF(50851.00185="","-",50851.00185/3706619.37681*100)</f>
        <v>1.3718970490507585</v>
      </c>
      <c r="G18" s="16">
        <f>IF(2676462.27457="","-",(43329.06687-44373.46464)/2676462.27457*100)</f>
        <v>-3.9021576351857559E-2</v>
      </c>
      <c r="H18" s="16">
        <f>IF(3582158.92973="","-",(50851.00185-43329.06687)/3582158.92973*100)</f>
        <v>0.20998328459332075</v>
      </c>
    </row>
    <row r="19" spans="1:8" s="2" customFormat="1" x14ac:dyDescent="0.3">
      <c r="A19" s="13" t="s">
        <v>214</v>
      </c>
      <c r="B19" s="14" t="s">
        <v>182</v>
      </c>
      <c r="C19" s="10">
        <v>33832.293420000002</v>
      </c>
      <c r="D19" s="15">
        <f>IF(OR(29418.18995="",33832.29342=""),"-",33832.29342/29418.18995*100)</f>
        <v>115.00467390244722</v>
      </c>
      <c r="E19" s="15">
        <f>IF(29418.18995="","-",29418.18995/3582158.92973*100)</f>
        <v>0.82124189705389072</v>
      </c>
      <c r="F19" s="15">
        <f>IF(33832.29342="","-",33832.29342/3706619.37681*100)</f>
        <v>0.91275337391444911</v>
      </c>
      <c r="G19" s="15">
        <f>IF(OR(2676462.27457="",27593.72854="",29418.18995=""),"-",(29418.18995-27593.72854)/2676462.27457*100)</f>
        <v>6.8166901784300987E-2</v>
      </c>
      <c r="H19" s="15">
        <f>IF(OR(3582158.92973="",33832.29342="",29418.18995=""),"-",(33832.29342-29418.18995)/3582158.92973*100)</f>
        <v>0.12322466860320765</v>
      </c>
    </row>
    <row r="20" spans="1:8" s="2" customFormat="1" x14ac:dyDescent="0.3">
      <c r="A20" s="13" t="s">
        <v>215</v>
      </c>
      <c r="B20" s="14" t="s">
        <v>183</v>
      </c>
      <c r="C20" s="10">
        <v>17018.708429999999</v>
      </c>
      <c r="D20" s="15">
        <f>IF(OR(13910.87692="",17018.70843=""),"-",17018.70843/13910.87692*100)</f>
        <v>122.34101795215939</v>
      </c>
      <c r="E20" s="15">
        <f>IF(13910.87692="","-",13910.87692/3582158.92973*100)</f>
        <v>0.3883377927357487</v>
      </c>
      <c r="F20" s="15">
        <f>IF(17018.70843="","-",17018.70843/3706619.37681*100)</f>
        <v>0.45914367513630933</v>
      </c>
      <c r="G20" s="15">
        <f>IF(OR(2676462.27457="",16779.7361="",13910.87692=""),"-",(13910.87692-16779.7361)/2676462.27457*100)</f>
        <v>-0.1071884781361586</v>
      </c>
      <c r="H20" s="15">
        <f>IF(OR(3582158.92973="",17018.70843="",13910.87692=""),"-",(17018.70843-13910.87692)/3582158.92973*100)</f>
        <v>8.6758615990113155E-2</v>
      </c>
    </row>
    <row r="21" spans="1:8" s="2" customFormat="1" ht="26.4" x14ac:dyDescent="0.3">
      <c r="A21" s="11" t="s">
        <v>216</v>
      </c>
      <c r="B21" s="12" t="s">
        <v>22</v>
      </c>
      <c r="C21" s="9">
        <v>119152.30223</v>
      </c>
      <c r="D21" s="16">
        <f>IF(129050.95025="","-",119152.30223/129050.95025*100)</f>
        <v>92.329658944142494</v>
      </c>
      <c r="E21" s="16">
        <f>IF(129050.95025="","-",129050.95025/3582158.92973*100)</f>
        <v>3.6026025863605953</v>
      </c>
      <c r="F21" s="16">
        <f>IF(119152.30223="","-",119152.30223/3706619.37681*100)</f>
        <v>3.2145815395953918</v>
      </c>
      <c r="G21" s="16">
        <f>IF(2676462.27457="","-",(129050.95025-93896.9597)/2676462.27457*100)</f>
        <v>1.3134498806133117</v>
      </c>
      <c r="H21" s="16">
        <f>IF(3582158.92973="","-",(119152.30223-129050.95025)/3582158.92973*100)</f>
        <v>-0.2763319052610011</v>
      </c>
    </row>
    <row r="22" spans="1:8" s="2" customFormat="1" x14ac:dyDescent="0.3">
      <c r="A22" s="13" t="s">
        <v>218</v>
      </c>
      <c r="B22" s="14" t="s">
        <v>184</v>
      </c>
      <c r="C22" s="10">
        <v>57936.982479999999</v>
      </c>
      <c r="D22" s="15">
        <f>IF(OR(67371.88512="",57936.98248=""),"-",57936.98248/67371.88512*100)</f>
        <v>85.995786486907775</v>
      </c>
      <c r="E22" s="15">
        <f>IF(67371.88512="","-",67371.88512/3582158.92973*100)</f>
        <v>1.8807620332210684</v>
      </c>
      <c r="F22" s="15">
        <f>IF(57936.98248="","-",57936.98248/3706619.37681*100)</f>
        <v>1.5630680301968818</v>
      </c>
      <c r="G22" s="15">
        <f>IF(OR(2676462.27457="",38470.44922="",67371.88512=""),"-",(67371.88512-38470.44922)/2676462.27457*100)</f>
        <v>1.0798372229865749</v>
      </c>
      <c r="H22" s="15">
        <f>IF(OR(3582158.92973="",57936.98248="",67371.88512=""),"-",(57936.98248-67371.88512)/3582158.92973*100)</f>
        <v>-0.26338593080545281</v>
      </c>
    </row>
    <row r="23" spans="1:8" s="2" customFormat="1" ht="26.4" x14ac:dyDescent="0.3">
      <c r="A23" s="13" t="s">
        <v>271</v>
      </c>
      <c r="B23" s="14" t="s">
        <v>185</v>
      </c>
      <c r="C23" s="10">
        <v>1912.57428</v>
      </c>
      <c r="D23" s="15">
        <f>IF(OR(1585.62971="",1912.57428=""),"-",1912.57428/1585.62971*100)</f>
        <v>120.61922578380549</v>
      </c>
      <c r="E23" s="15">
        <f>IF(1585.62971="","-",1585.62971/3582158.92973*100)</f>
        <v>4.4264638758490668E-2</v>
      </c>
      <c r="F23" s="15">
        <f>IF(1912.57428="","-",1912.57428/3706619.37681*100)</f>
        <v>5.159888527982618E-2</v>
      </c>
      <c r="G23" s="15">
        <f>IF(OR(2676462.27457="",861.08716="",1585.62971=""),"-",(1585.62971-861.08716)/2676462.27457*100)</f>
        <v>2.7070904637219471E-2</v>
      </c>
      <c r="H23" s="15">
        <f>IF(OR(3582158.92973="",1912.57428="",1585.62971=""),"-",(1912.57428-1585.62971)/3582158.92973*100)</f>
        <v>9.1270258079990639E-3</v>
      </c>
    </row>
    <row r="24" spans="1:8" s="2" customFormat="1" x14ac:dyDescent="0.3">
      <c r="A24" s="13" t="s">
        <v>219</v>
      </c>
      <c r="B24" s="14" t="s">
        <v>186</v>
      </c>
      <c r="C24" s="10">
        <v>16564.964339999999</v>
      </c>
      <c r="D24" s="15">
        <f>IF(OR(23518.34231="",16564.96434=""),"-",16564.96434/23518.34231*100)</f>
        <v>70.434234359096706</v>
      </c>
      <c r="E24" s="15">
        <f>IF(23518.34231="","-",23518.34231/3582158.92973*100)</f>
        <v>0.65654100701145213</v>
      </c>
      <c r="F24" s="15">
        <f>IF(16564.96434="","-",16564.96434/3706619.37681*100)</f>
        <v>0.44690222156708687</v>
      </c>
      <c r="G24" s="15">
        <f>IF(OR(2676462.27457="",14162.7677="",23518.34231=""),"-",(23518.34231-14162.7677)/2676462.27457*100)</f>
        <v>0.34955002724643541</v>
      </c>
      <c r="H24" s="15">
        <f>IF(OR(3582158.92973="",16564.96434="",23518.34231=""),"-",(16564.96434-23518.34231)/3582158.92973*100)</f>
        <v>-0.19411137546943238</v>
      </c>
    </row>
    <row r="25" spans="1:8" s="2" customFormat="1" x14ac:dyDescent="0.3">
      <c r="A25" s="13" t="s">
        <v>220</v>
      </c>
      <c r="B25" s="14" t="s">
        <v>138</v>
      </c>
      <c r="C25" s="10">
        <v>189.41712999999999</v>
      </c>
      <c r="D25" s="15">
        <f>IF(OR(229.58756="",189.41713=""),"-",189.41713/229.58756*100)</f>
        <v>82.503220122205221</v>
      </c>
      <c r="E25" s="15">
        <f>IF(229.58756="","-",229.58756/3582158.92973*100)</f>
        <v>6.4091952507898588E-3</v>
      </c>
      <c r="F25" s="15">
        <f>IF(189.41713="","-",189.41713/3706619.37681*100)</f>
        <v>5.1102395672203236E-3</v>
      </c>
      <c r="G25" s="15">
        <f>IF(OR(2676462.27457="",194.64029="",229.58756=""),"-",(229.58756-194.64029)/2676462.27457*100)</f>
        <v>1.3057262316770234E-3</v>
      </c>
      <c r="H25" s="15">
        <f>IF(OR(3582158.92973="",189.41713="",229.58756=""),"-",(189.41713-229.58756)/3582158.92973*100)</f>
        <v>-1.1214027849687786E-3</v>
      </c>
    </row>
    <row r="26" spans="1:8" s="2" customFormat="1" ht="52.8" x14ac:dyDescent="0.3">
      <c r="A26" s="13" t="s">
        <v>221</v>
      </c>
      <c r="B26" s="14" t="s">
        <v>139</v>
      </c>
      <c r="C26" s="10">
        <v>3177.1444799999999</v>
      </c>
      <c r="D26" s="15">
        <f>IF(OR(3407.73481="",3177.14448=""),"-",3177.14448/3407.73481*100)</f>
        <v>93.233325277444351</v>
      </c>
      <c r="E26" s="15">
        <f>IF(3407.73481="","-",3407.73481/3582158.92973*100)</f>
        <v>9.5130754297851686E-2</v>
      </c>
      <c r="F26" s="15">
        <f>IF(3177.14448="","-",3177.14448/3706619.37681*100)</f>
        <v>8.5715423058472268E-2</v>
      </c>
      <c r="G26" s="15">
        <f>IF(OR(2676462.27457="",3874.00939="",3407.73481=""),"-",(3407.73481-3874.00939)/2676462.27457*100)</f>
        <v>-1.7421302158085222E-2</v>
      </c>
      <c r="H26" s="15">
        <f>IF(OR(3582158.92973="",3177.14448="",3407.73481=""),"-",(3177.14448-3407.73481)/3582158.92973*100)</f>
        <v>-6.4371887044492584E-3</v>
      </c>
    </row>
    <row r="27" spans="1:8" s="2" customFormat="1" ht="39.6" x14ac:dyDescent="0.3">
      <c r="A27" s="13" t="s">
        <v>222</v>
      </c>
      <c r="B27" s="14" t="s">
        <v>140</v>
      </c>
      <c r="C27" s="10">
        <v>9026.6659400000008</v>
      </c>
      <c r="D27" s="15">
        <f>IF(OR(7569.91955="",9026.66594=""),"-",9026.66594/7569.91955*100)</f>
        <v>119.24388205684433</v>
      </c>
      <c r="E27" s="15">
        <f>IF(7569.91955="","-",7569.91955/3582158.92973*100)</f>
        <v>0.21132282789503623</v>
      </c>
      <c r="F27" s="15">
        <f>IF(9026.66594="","-",9026.66594/3706619.37681*100)</f>
        <v>0.24352826719879053</v>
      </c>
      <c r="G27" s="15">
        <f>IF(OR(2676462.27457="",7652.45054="",7569.91955=""),"-",(7569.91955-7652.45054)/2676462.27457*100)</f>
        <v>-3.083585028795507E-3</v>
      </c>
      <c r="H27" s="15">
        <f>IF(OR(3582158.92973="",9026.66594="",7569.91955=""),"-",(9026.66594-7569.91955)/3582158.92973*100)</f>
        <v>4.0666715759308907E-2</v>
      </c>
    </row>
    <row r="28" spans="1:8" s="2" customFormat="1" ht="26.4" x14ac:dyDescent="0.3">
      <c r="A28" s="13" t="s">
        <v>223</v>
      </c>
      <c r="B28" s="14" t="s">
        <v>141</v>
      </c>
      <c r="C28" s="10">
        <v>1409.8720699999999</v>
      </c>
      <c r="D28" s="15" t="s">
        <v>307</v>
      </c>
      <c r="E28" s="15">
        <f>IF(573.7086="","-",573.7086/3582158.92973*100)</f>
        <v>1.6015721559379345E-2</v>
      </c>
      <c r="F28" s="15">
        <f>IF(1409.87207="","-",1409.87207/3706619.37681*100)</f>
        <v>3.8036602269461171E-2</v>
      </c>
      <c r="G28" s="15">
        <f>IF(OR(2676462.27457="",590.4167="",573.7086=""),"-",(573.7086-590.4167)/2676462.27457*100)</f>
        <v>-6.242606203998996E-4</v>
      </c>
      <c r="H28" s="15">
        <f>IF(OR(3582158.92973="",1409.87207="",573.7086=""),"-",(1409.87207-573.7086)/3582158.92973*100)</f>
        <v>2.3342444777094927E-2</v>
      </c>
    </row>
    <row r="29" spans="1:8" s="2" customFormat="1" ht="26.4" x14ac:dyDescent="0.3">
      <c r="A29" s="13" t="s">
        <v>224</v>
      </c>
      <c r="B29" s="14" t="s">
        <v>142</v>
      </c>
      <c r="C29" s="10">
        <v>28934.681509999999</v>
      </c>
      <c r="D29" s="15">
        <f>IF(OR(24794.14259="",28934.68151=""),"-",28934.68151/24794.14259*100)</f>
        <v>116.69966567696504</v>
      </c>
      <c r="E29" s="15">
        <f>IF(24794.14259="","-",24794.14259/3582158.92973*100)</f>
        <v>0.69215640836652725</v>
      </c>
      <c r="F29" s="15">
        <f>IF(28934.68151="","-",28934.68151/3706619.37681*100)</f>
        <v>0.78062187045765241</v>
      </c>
      <c r="G29" s="15">
        <f>IF(OR(2676462.27457="",28076.50428="",24794.14259=""),"-",(24794.14259-28076.50428)/2676462.27457*100)</f>
        <v>-0.12263807045542405</v>
      </c>
      <c r="H29" s="15">
        <f>IF(OR(3582158.92973="",28934.68151="",24794.14259=""),"-",(28934.68151-24794.14259)/3582158.92973*100)</f>
        <v>0.11558780615889888</v>
      </c>
    </row>
    <row r="30" spans="1:8" s="2" customFormat="1" ht="26.4" x14ac:dyDescent="0.3">
      <c r="A30" s="11" t="s">
        <v>225</v>
      </c>
      <c r="B30" s="12" t="s">
        <v>143</v>
      </c>
      <c r="C30" s="9">
        <v>969127.63266999996</v>
      </c>
      <c r="D30" s="16">
        <f>IF(885117.02157="","-",969127.63267/885117.02157*100)</f>
        <v>109.49146938231782</v>
      </c>
      <c r="E30" s="16">
        <f>IF(885117.02157="","-",885117.02157/3582158.92973*100)</f>
        <v>24.70903829040088</v>
      </c>
      <c r="F30" s="16">
        <f>IF(969127.63267="","-",969127.63267/3706619.37681*100)</f>
        <v>26.145863228720646</v>
      </c>
      <c r="G30" s="16">
        <f>IF(2676462.27457="","-",(885117.02157-318773.04455)/2676462.27457*100)</f>
        <v>21.160170363730934</v>
      </c>
      <c r="H30" s="16">
        <f>IF(3582158.92973="","-",(969127.63267-885117.02157)/3582158.92973*100)</f>
        <v>2.3452508039985864</v>
      </c>
    </row>
    <row r="31" spans="1:8" s="2" customFormat="1" x14ac:dyDescent="0.3">
      <c r="A31" s="13" t="s">
        <v>226</v>
      </c>
      <c r="B31" s="14" t="s">
        <v>187</v>
      </c>
      <c r="C31" s="10">
        <v>7536.8370400000003</v>
      </c>
      <c r="D31" s="15">
        <f>IF(OR(8275.47185="",7536.83704=""),"-",7536.83704/8275.47185*100)</f>
        <v>91.074408524512123</v>
      </c>
      <c r="E31" s="15">
        <f>IF(8275.47185="","-",8275.47185/3582158.92973*100)</f>
        <v>0.23101911479465687</v>
      </c>
      <c r="F31" s="15">
        <f>IF(7536.83704="","-",7536.83704/3706619.37681*100)</f>
        <v>0.20333452868544521</v>
      </c>
      <c r="G31" s="15">
        <f>IF(OR(2676462.27457="",3841.9466="",8275.47185=""),"-",(8275.47185-3841.9466)/2676462.27457*100)</f>
        <v>0.16564871069263581</v>
      </c>
      <c r="H31" s="15">
        <f>IF(OR(3582158.92973="",7536.83704="",8275.47185=""),"-",(7536.83704-8275.47185)/3582158.92973*100)</f>
        <v>-2.0619822416859463E-2</v>
      </c>
    </row>
    <row r="32" spans="1:8" s="2" customFormat="1" ht="26.4" x14ac:dyDescent="0.3">
      <c r="A32" s="13" t="s">
        <v>227</v>
      </c>
      <c r="B32" s="14" t="s">
        <v>144</v>
      </c>
      <c r="C32" s="10">
        <v>595419.61756000004</v>
      </c>
      <c r="D32" s="15">
        <f>IF(OR(468655.74793="",595419.61756=""),"-",595419.61756/468655.74793*100)</f>
        <v>127.04839750497072</v>
      </c>
      <c r="E32" s="15">
        <f>IF(468655.74793="","-",468655.74793/3582158.92973*100)</f>
        <v>13.083052905341757</v>
      </c>
      <c r="F32" s="15">
        <f>IF(595419.61756="","-",595419.61756/3706619.37681*100)</f>
        <v>16.063683832366721</v>
      </c>
      <c r="G32" s="15">
        <f>IF(OR(2676462.27457="",198110.10984="",468655.74793=""),"-",(468655.74793-198110.10984)/2676462.27457*100)</f>
        <v>10.108329964541191</v>
      </c>
      <c r="H32" s="15">
        <f>IF(OR(3582158.92973="",595419.61756="",468655.74793=""),"-",(595419.61756-468655.74793)/3582158.92973*100)</f>
        <v>3.5387561556224605</v>
      </c>
    </row>
    <row r="33" spans="1:8" s="2" customFormat="1" ht="26.4" x14ac:dyDescent="0.3">
      <c r="A33" s="13" t="s">
        <v>272</v>
      </c>
      <c r="B33" s="14" t="s">
        <v>188</v>
      </c>
      <c r="C33" s="10">
        <v>343429.88845000003</v>
      </c>
      <c r="D33" s="15">
        <f>IF(OR(403508.11729="",343429.88845=""),"-",343429.88845/403508.11729*100)</f>
        <v>85.111023479901405</v>
      </c>
      <c r="E33" s="15">
        <f>IF(403508.11729="","-",403508.11729/3582158.92973*100)</f>
        <v>11.264383440419095</v>
      </c>
      <c r="F33" s="15">
        <f>IF(343429.88845="","-",343429.88845/3706619.37681*100)</f>
        <v>9.265313039656192</v>
      </c>
      <c r="G33" s="15">
        <f>IF(OR(2676462.27457="",114553.36376="",403508.11729=""),"-",(403508.11729-114553.36376)/2676462.27457*100)</f>
        <v>10.796145205387715</v>
      </c>
      <c r="H33" s="15">
        <f>IF(OR(3582158.92973="",343429.88845="",403508.11729=""),"-",(343429.88845-403508.11729)/3582158.92973*100)</f>
        <v>-1.6771514055778733</v>
      </c>
    </row>
    <row r="34" spans="1:8" s="2" customFormat="1" x14ac:dyDescent="0.3">
      <c r="A34" s="13" t="s">
        <v>277</v>
      </c>
      <c r="B34" s="14" t="s">
        <v>279</v>
      </c>
      <c r="C34" s="10">
        <v>22741.28962</v>
      </c>
      <c r="D34" s="15" t="s">
        <v>342</v>
      </c>
      <c r="E34" s="15">
        <f>IF(4677.6845="","-",4677.6845/3582158.92973*100)</f>
        <v>0.13058282984536854</v>
      </c>
      <c r="F34" s="15">
        <f>IF(22741.28962="","-",22741.28962/3706619.37681*100)</f>
        <v>0.61353182801228612</v>
      </c>
      <c r="G34" s="15">
        <f>IF(OR(2676462.27457="",2267.62435="",4677.6845=""),"-",(4677.6845-2267.62435)/2676462.27457*100)</f>
        <v>9.0046483109394851E-2</v>
      </c>
      <c r="H34" s="15">
        <f>IF(OR(3582158.92973="",22741.28962="",4677.6845=""),"-",(22741.28962-4677.6845)/3582158.92973*100)</f>
        <v>0.50426587637085996</v>
      </c>
    </row>
    <row r="35" spans="1:8" s="2" customFormat="1" ht="26.4" x14ac:dyDescent="0.3">
      <c r="A35" s="11" t="s">
        <v>228</v>
      </c>
      <c r="B35" s="12" t="s">
        <v>145</v>
      </c>
      <c r="C35" s="9">
        <v>11588.675639999999</v>
      </c>
      <c r="D35" s="16">
        <f>IF(33143.25762="","-",11588.67564/33143.25762*100)</f>
        <v>34.965409172714871</v>
      </c>
      <c r="E35" s="16">
        <f>IF(33143.25762="","-",33143.25762/3582158.92973*100)</f>
        <v>0.92523135545239821</v>
      </c>
      <c r="F35" s="16">
        <f>IF(11588.67564="","-",11588.67564/3706619.37681*100)</f>
        <v>0.31264811576022877</v>
      </c>
      <c r="G35" s="16">
        <f>IF(2676462.27457="","-",(33143.25762-5928.43222)/2676462.27457*100)</f>
        <v>1.0168208107611878</v>
      </c>
      <c r="H35" s="16">
        <f>IF(3582158.92973="","-",(11588.67564-33143.25762)/3582158.92973*100)</f>
        <v>-0.60172042622421118</v>
      </c>
    </row>
    <row r="36" spans="1:8" s="2" customFormat="1" x14ac:dyDescent="0.3">
      <c r="A36" s="13" t="s">
        <v>229</v>
      </c>
      <c r="B36" s="14" t="s">
        <v>191</v>
      </c>
      <c r="C36" s="10">
        <v>1078.74396</v>
      </c>
      <c r="D36" s="15">
        <f>IF(OR(915.47905="",1078.74396=""),"-",1078.74396/915.47905*100)</f>
        <v>117.83382263089473</v>
      </c>
      <c r="E36" s="15">
        <f>IF(915.47905="","-",915.47905/3582158.92973*100)</f>
        <v>2.5556628501377042E-2</v>
      </c>
      <c r="F36" s="15">
        <f>IF(1078.74396="","-",1078.74396/3706619.37681*100)</f>
        <v>2.9103175976174584E-2</v>
      </c>
      <c r="G36" s="15">
        <f>IF(OR(2676462.27457="",654.91192="",915.47905=""),"-",(915.47905-654.91192)/2676462.27457*100)</f>
        <v>9.7355054272850808E-3</v>
      </c>
      <c r="H36" s="15">
        <f>IF(OR(3582158.92973="",1078.74396="",915.47905=""),"-",(1078.74396-915.47905)/3582158.92973*100)</f>
        <v>4.5577237973722694E-3</v>
      </c>
    </row>
    <row r="37" spans="1:8" s="2" customFormat="1" ht="26.4" x14ac:dyDescent="0.3">
      <c r="A37" s="13" t="s">
        <v>230</v>
      </c>
      <c r="B37" s="14" t="s">
        <v>146</v>
      </c>
      <c r="C37" s="10">
        <v>9336.7040699999998</v>
      </c>
      <c r="D37" s="15">
        <f>IF(OR(31143.90454="",9336.70407=""),"-",9336.70407/31143.90454*100)</f>
        <v>29.979234164452006</v>
      </c>
      <c r="E37" s="15">
        <f>IF(31143.90454="","-",31143.90454/3582158.92973*100)</f>
        <v>0.86941716297181215</v>
      </c>
      <c r="F37" s="15">
        <f>IF(9336.70407="","-",9336.70407/3706619.37681*100)</f>
        <v>0.25189271195240387</v>
      </c>
      <c r="G37" s="15">
        <f>IF(OR(2676462.27457="",4449.74381="",31143.90454=""),"-",(31143.90454-4449.74381)/2676462.27457*100)</f>
        <v>0.99736734508199565</v>
      </c>
      <c r="H37" s="15">
        <f>IF(OR(3582158.92973="",9336.70407="",31143.90454=""),"-",(9336.70407-31143.90454)/3582158.92973*100)</f>
        <v>-0.60877255581855727</v>
      </c>
    </row>
    <row r="38" spans="1:8" s="2" customFormat="1" ht="66" x14ac:dyDescent="0.3">
      <c r="A38" s="13" t="s">
        <v>231</v>
      </c>
      <c r="B38" s="14" t="s">
        <v>189</v>
      </c>
      <c r="C38" s="10">
        <v>1173.2276099999999</v>
      </c>
      <c r="D38" s="15">
        <f>IF(OR(1083.87403="",1173.22761=""),"-",1173.22761/1083.87403*100)</f>
        <v>108.24390819660104</v>
      </c>
      <c r="E38" s="15">
        <f>IF(1083.87403="","-",1083.87403/3582158.92973*100)</f>
        <v>3.0257563979208913E-2</v>
      </c>
      <c r="F38" s="15">
        <f>IF(1173.22761="","-",1173.22761/3706619.37681*100)</f>
        <v>3.1652227831650358E-2</v>
      </c>
      <c r="G38" s="15">
        <f>IF(OR(2676462.27457="",823.77649="",1083.87403=""),"-",(1083.87403-823.77649)/2676462.27457*100)</f>
        <v>9.717960251907052E-3</v>
      </c>
      <c r="H38" s="15">
        <f>IF(OR(3582158.92973="",1173.22761="",1083.87403=""),"-",(1173.22761-1083.87403)/3582158.92973*100)</f>
        <v>2.4944057969738058E-3</v>
      </c>
    </row>
    <row r="39" spans="1:8" s="2" customFormat="1" ht="39.6" x14ac:dyDescent="0.3">
      <c r="A39" s="11" t="s">
        <v>232</v>
      </c>
      <c r="B39" s="12" t="s">
        <v>147</v>
      </c>
      <c r="C39" s="9">
        <v>497113.68007</v>
      </c>
      <c r="D39" s="16">
        <f>IF(499483.47981="","-",497113.68007/499483.47981*100)</f>
        <v>99.525549925915186</v>
      </c>
      <c r="E39" s="16">
        <f>IF(499483.47981="","-",499483.47981/3582158.92973*100)</f>
        <v>13.943643752502288</v>
      </c>
      <c r="F39" s="16">
        <f>IF(497113.68007="","-",497113.68007/3706619.37681*100)</f>
        <v>13.411511394456349</v>
      </c>
      <c r="G39" s="16">
        <f>IF(2676462.27457="","-",(499483.47981-415121.532)/2676462.27457*100)</f>
        <v>3.1519946539711103</v>
      </c>
      <c r="H39" s="16">
        <f>IF(3582158.92973="","-",(497113.68007-499483.47981)/3582158.92973*100)</f>
        <v>-6.6155628113870643E-2</v>
      </c>
    </row>
    <row r="40" spans="1:8" s="2" customFormat="1" x14ac:dyDescent="0.3">
      <c r="A40" s="13" t="s">
        <v>233</v>
      </c>
      <c r="B40" s="14" t="s">
        <v>23</v>
      </c>
      <c r="C40" s="10">
        <v>6713.74611</v>
      </c>
      <c r="D40" s="15">
        <f>IF(OR(6645.74086="",6713.74611=""),"-",6713.74611/6645.74086*100)</f>
        <v>101.0232907275894</v>
      </c>
      <c r="E40" s="15">
        <f>IF(6645.74086="","-",6645.74086/3582158.92973*100)</f>
        <v>0.185523339147348</v>
      </c>
      <c r="F40" s="15">
        <f>IF(6713.74611="","-",6713.74611/3706619.37681*100)</f>
        <v>0.18112855482285858</v>
      </c>
      <c r="G40" s="15">
        <f>IF(OR(2676462.27457="",4906.59565="",6645.74086=""),"-",(6645.74086-4906.59565)/2676462.27457*100)</f>
        <v>6.4979253641055362E-2</v>
      </c>
      <c r="H40" s="15">
        <f>IF(OR(3582158.92973="",6713.74611="",6645.74086=""),"-",(6713.74611-6645.74086)/3582158.92973*100)</f>
        <v>1.8984431270090507E-3</v>
      </c>
    </row>
    <row r="41" spans="1:8" s="2" customFormat="1" x14ac:dyDescent="0.3">
      <c r="A41" s="13" t="s">
        <v>234</v>
      </c>
      <c r="B41" s="14" t="s">
        <v>24</v>
      </c>
      <c r="C41" s="10">
        <v>15749.76931</v>
      </c>
      <c r="D41" s="15">
        <f>IF(OR(12139.22576="",15749.76931=""),"-",15749.76931/12139.22576*100)</f>
        <v>129.74278278847993</v>
      </c>
      <c r="E41" s="15">
        <f>IF(12139.22576="","-",12139.22576/3582158.92973*100)</f>
        <v>0.33888015574214003</v>
      </c>
      <c r="F41" s="15">
        <f>IF(15749.76931="","-",15749.76931/3706619.37681*100)</f>
        <v>0.42490926930713357</v>
      </c>
      <c r="G41" s="15">
        <f>IF(OR(2676462.27457="",6034.84645="",12139.22576=""),"-",(12139.22576-6034.84645)/2676462.27457*100)</f>
        <v>0.22807641893554162</v>
      </c>
      <c r="H41" s="15">
        <f>IF(OR(3582158.92973="",15749.76931="",12139.22576=""),"-",(15749.76931-12139.22576)/3582158.92973*100)</f>
        <v>0.10079238863564714</v>
      </c>
    </row>
    <row r="42" spans="1:8" s="2" customFormat="1" x14ac:dyDescent="0.3">
      <c r="A42" s="13" t="s">
        <v>235</v>
      </c>
      <c r="B42" s="14" t="s">
        <v>148</v>
      </c>
      <c r="C42" s="10">
        <v>18419.609710000001</v>
      </c>
      <c r="D42" s="15">
        <f>IF(OR(18162.19015="",18419.60971=""),"-",18419.60971/18162.19015*100)</f>
        <v>101.41733765517262</v>
      </c>
      <c r="E42" s="15">
        <f>IF(18162.19015="","-",18162.19015/3582158.92973*100)</f>
        <v>0.50701798848910784</v>
      </c>
      <c r="F42" s="15">
        <f>IF(18419.60971="","-",18419.60971/3706619.37681*100)</f>
        <v>0.49693825660222851</v>
      </c>
      <c r="G42" s="15">
        <f>IF(OR(2676462.27457="",17676.83231="",18162.19015=""),"-",(18162.19015-17676.83231)/2676462.27457*100)</f>
        <v>1.8134305295895659E-2</v>
      </c>
      <c r="H42" s="15">
        <f>IF(OR(3582158.92973="",18419.60971="",18162.19015=""),"-",(18419.60971-18162.19015)/3582158.92973*100)</f>
        <v>7.1861568693548927E-3</v>
      </c>
    </row>
    <row r="43" spans="1:8" s="2" customFormat="1" x14ac:dyDescent="0.3">
      <c r="A43" s="13" t="s">
        <v>236</v>
      </c>
      <c r="B43" s="14" t="s">
        <v>149</v>
      </c>
      <c r="C43" s="10">
        <v>127143.43521</v>
      </c>
      <c r="D43" s="15">
        <f>IF(OR(131051.57579="",127143.43521=""),"-",127143.43521/131051.57579*100)</f>
        <v>97.017860673218834</v>
      </c>
      <c r="E43" s="15">
        <f>IF(131051.57579="","-",131051.57579/3582158.92973*100)</f>
        <v>3.6584523009948593</v>
      </c>
      <c r="F43" s="15">
        <f>IF(127143.43521="","-",127143.43521/3706619.37681*100)</f>
        <v>3.4301724100795723</v>
      </c>
      <c r="G43" s="15">
        <f>IF(OR(2676462.27457="",121619.25871="",131051.57579=""),"-",(131051.57579-121619.25871)/2676462.27457*100)</f>
        <v>0.35241733722981033</v>
      </c>
      <c r="H43" s="15">
        <f>IF(OR(3582158.92973="",127143.43521="",131051.57579=""),"-",(127143.43521-131051.57579)/3582158.92973*100)</f>
        <v>-0.10910014481949792</v>
      </c>
    </row>
    <row r="44" spans="1:8" s="2" customFormat="1" ht="39.6" x14ac:dyDescent="0.3">
      <c r="A44" s="13" t="s">
        <v>237</v>
      </c>
      <c r="B44" s="14" t="s">
        <v>150</v>
      </c>
      <c r="C44" s="10">
        <v>67581.475000000006</v>
      </c>
      <c r="D44" s="15">
        <f>IF(OR(58366.009="",67581.475=""),"-",67581.475/58366.009*100)</f>
        <v>115.78909738371867</v>
      </c>
      <c r="E44" s="15">
        <f>IF(58366.009="","-",58366.009/3582158.92973*100)</f>
        <v>1.6293528608011607</v>
      </c>
      <c r="F44" s="15">
        <f>IF(67581.475="","-",67581.475/3706619.37681*100)</f>
        <v>1.8232644933228119</v>
      </c>
      <c r="G44" s="15">
        <f>IF(OR(2676462.27457="",54006.55086="",58366.009=""),"-",(58366.009-54006.55086)/2676462.27457*100)</f>
        <v>0.16288135952524813</v>
      </c>
      <c r="H44" s="15">
        <f>IF(OR(3582158.92973="",67581.475="",58366.009=""),"-",(67581.475-58366.009)/3582158.92973*100)</f>
        <v>0.25726010991630149</v>
      </c>
    </row>
    <row r="45" spans="1:8" s="2" customFormat="1" x14ac:dyDescent="0.3">
      <c r="A45" s="13" t="s">
        <v>238</v>
      </c>
      <c r="B45" s="14" t="s">
        <v>151</v>
      </c>
      <c r="C45" s="10">
        <v>80858.082769999994</v>
      </c>
      <c r="D45" s="15">
        <f>IF(OR(79602.52111="",80858.08277=""),"-",80858.08277/79602.52111*100)</f>
        <v>101.57728881258041</v>
      </c>
      <c r="E45" s="15">
        <f>IF(79602.52111="","-",79602.52111/3582158.92973*100)</f>
        <v>2.2221940084607001</v>
      </c>
      <c r="F45" s="15">
        <f>IF(80858.08277="","-",80858.08277/3706619.37681*100)</f>
        <v>2.1814509273835472</v>
      </c>
      <c r="G45" s="15">
        <f>IF(OR(2676462.27457="",36115.08074="",79602.52111=""),"-",(79602.52111-36115.08074)/2676462.27457*100)</f>
        <v>1.624810511367536</v>
      </c>
      <c r="H45" s="15">
        <f>IF(OR(3582158.92973="",80858.08277="",79602.52111=""),"-",(80858.08277-79602.52111)/3582158.92973*100)</f>
        <v>3.5050417489282878E-2</v>
      </c>
    </row>
    <row r="46" spans="1:8" s="2" customFormat="1" x14ac:dyDescent="0.3">
      <c r="A46" s="13" t="s">
        <v>239</v>
      </c>
      <c r="B46" s="14" t="s">
        <v>25</v>
      </c>
      <c r="C46" s="10">
        <v>27522.852009999999</v>
      </c>
      <c r="D46" s="15">
        <f>IF(OR(29892.97972="",27522.85201=""),"-",27522.85201/29892.97972*100)</f>
        <v>92.071289874076157</v>
      </c>
      <c r="E46" s="15">
        <f>IF(29892.97972="","-",29892.97972/3582158.92973*100)</f>
        <v>0.83449618809216652</v>
      </c>
      <c r="F46" s="15">
        <f>IF(27522.85201="","-",27522.85201/3706619.37681*100)</f>
        <v>0.74253245915114119</v>
      </c>
      <c r="G46" s="15">
        <f>IF(OR(2676462.27457="",24528.48372="",29892.97972=""),"-",(29892.97972-24528.48372)/2676462.27457*100)</f>
        <v>0.20043234126518217</v>
      </c>
      <c r="H46" s="15">
        <f>IF(OR(3582158.92973="",27522.85201="",29892.97972=""),"-",(27522.85201-29892.97972)/3582158.92973*100)</f>
        <v>-6.6164783765712082E-2</v>
      </c>
    </row>
    <row r="47" spans="1:8" s="2" customFormat="1" x14ac:dyDescent="0.3">
      <c r="A47" s="13" t="s">
        <v>240</v>
      </c>
      <c r="B47" s="14" t="s">
        <v>26</v>
      </c>
      <c r="C47" s="10">
        <v>55256.336289999999</v>
      </c>
      <c r="D47" s="15">
        <f>IF(OR(58975.88427="",55256.33629=""),"-",55256.33629/58975.88427*100)</f>
        <v>93.693103501472947</v>
      </c>
      <c r="E47" s="15">
        <f>IF(58975.88427="","-",58975.88427/3582158.92973*100)</f>
        <v>1.6463782156769136</v>
      </c>
      <c r="F47" s="15">
        <f>IF(55256.33629="","-",55256.33629/3706619.37681*100)</f>
        <v>1.4907475160709609</v>
      </c>
      <c r="G47" s="15">
        <f>IF(OR(2676462.27457="",58903.75799="",58975.88427=""),"-",(58975.88427-58903.75799)/2676462.27457*100)</f>
        <v>2.694836414669504E-3</v>
      </c>
      <c r="H47" s="15">
        <f>IF(OR(3582158.92973="",55256.33629="",58975.88427=""),"-",(55256.33629-58975.88427)/3582158.92973*100)</f>
        <v>-0.10383537003703962</v>
      </c>
    </row>
    <row r="48" spans="1:8" s="2" customFormat="1" x14ac:dyDescent="0.3">
      <c r="A48" s="13" t="s">
        <v>241</v>
      </c>
      <c r="B48" s="14" t="s">
        <v>152</v>
      </c>
      <c r="C48" s="10">
        <v>97868.373659999997</v>
      </c>
      <c r="D48" s="15">
        <f>IF(OR(104647.35315="",97868.37366=""),"-",97868.37366/104647.35315*100)</f>
        <v>93.522072669833221</v>
      </c>
      <c r="E48" s="15">
        <f>IF(104647.35315="","-",104647.35315/3582158.92973*100)</f>
        <v>2.9213486950978926</v>
      </c>
      <c r="F48" s="15">
        <f>IF(97868.37366="","-",97868.37366/3706619.37681*100)</f>
        <v>2.640367507716094</v>
      </c>
      <c r="G48" s="15">
        <f>IF(OR(2676462.27457="",91330.12557="",104647.35315=""),"-",(104647.35315-91330.12557)/2676462.27457*100)</f>
        <v>0.49756829029617222</v>
      </c>
      <c r="H48" s="15">
        <f>IF(OR(3582158.92973="",97868.37366="",104647.35315=""),"-",(97868.37366-104647.35315)/3582158.92973*100)</f>
        <v>-0.18924284552921702</v>
      </c>
    </row>
    <row r="49" spans="1:8" s="2" customFormat="1" ht="26.4" x14ac:dyDescent="0.3">
      <c r="A49" s="11" t="s">
        <v>242</v>
      </c>
      <c r="B49" s="12" t="s">
        <v>304</v>
      </c>
      <c r="C49" s="9">
        <v>478267.78723999998</v>
      </c>
      <c r="D49" s="16">
        <f>IF(525076.47773="","-",478267.78724/525076.47773*100)</f>
        <v>91.085357566889599</v>
      </c>
      <c r="E49" s="16">
        <f>IF(525076.47773="","-",525076.47773/3582158.92973*100)</f>
        <v>14.658101106909205</v>
      </c>
      <c r="F49" s="16">
        <f>IF(478267.78724="","-",478267.78724/3706619.37681*100)</f>
        <v>12.90307254724406</v>
      </c>
      <c r="G49" s="16">
        <f>IF(2676462.27457="","-",(525076.47773-489344.0313)/2676462.27457*100)</f>
        <v>1.3350625850215221</v>
      </c>
      <c r="H49" s="16">
        <f>IF(3582158.92973="","-",(478267.78724-525076.47773)/3582158.92973*100)</f>
        <v>-1.3067173011647533</v>
      </c>
    </row>
    <row r="50" spans="1:8" s="2" customFormat="1" x14ac:dyDescent="0.3">
      <c r="A50" s="13" t="s">
        <v>243</v>
      </c>
      <c r="B50" s="14" t="s">
        <v>153</v>
      </c>
      <c r="C50" s="10">
        <v>18840.265220000001</v>
      </c>
      <c r="D50" s="15">
        <f>IF(OR(23280.32538="",18840.26522=""),"-",18840.26522/23280.32538*100)</f>
        <v>80.927843200102217</v>
      </c>
      <c r="E50" s="15">
        <f>IF(23280.32538="","-",23280.32538/3582158.92973*100)</f>
        <v>0.64989649640572256</v>
      </c>
      <c r="F50" s="15">
        <f>IF(18840.26522="","-",18840.26522/3706619.37681*100)</f>
        <v>0.50828702126449132</v>
      </c>
      <c r="G50" s="15">
        <f>IF(OR(2676462.27457="",24232.80555="",23280.32538=""),"-",(23280.32538-24232.80555)/2676462.27457*100)</f>
        <v>-3.558728172819204E-2</v>
      </c>
      <c r="H50" s="15">
        <f>IF(OR(3582158.92973="",18840.26522="",23280.32538=""),"-",(18840.26522-23280.32538)/3582158.92973*100)</f>
        <v>-0.1239492788315414</v>
      </c>
    </row>
    <row r="51" spans="1:8" s="2" customFormat="1" x14ac:dyDescent="0.3">
      <c r="A51" s="13" t="s">
        <v>244</v>
      </c>
      <c r="B51" s="14" t="s">
        <v>27</v>
      </c>
      <c r="C51" s="10">
        <v>29433.73589</v>
      </c>
      <c r="D51" s="15">
        <f>IF(OR(33908.82656="",29433.73589=""),"-",29433.73589/33908.82656*100)</f>
        <v>86.802578785551461</v>
      </c>
      <c r="E51" s="15">
        <f>IF(33908.82656="","-",33908.82656/3582158.92973*100)</f>
        <v>0.94660307443577985</v>
      </c>
      <c r="F51" s="15">
        <f>IF(29433.73589="","-",29433.73589/3706619.37681*100)</f>
        <v>0.79408573953259098</v>
      </c>
      <c r="G51" s="15">
        <f>IF(OR(2676462.27457="",25792.71111="",33908.82656=""),"-",(33908.82656-25792.71111)/2676462.27457*100)</f>
        <v>0.30324042027844145</v>
      </c>
      <c r="H51" s="15">
        <f>IF(OR(3582158.92973="",29433.73589="",33908.82656=""),"-",(29433.73589-33908.82656)/3582158.92973*100)</f>
        <v>-0.12492719496220971</v>
      </c>
    </row>
    <row r="52" spans="1:8" s="2" customFormat="1" x14ac:dyDescent="0.3">
      <c r="A52" s="13" t="s">
        <v>245</v>
      </c>
      <c r="B52" s="14" t="s">
        <v>154</v>
      </c>
      <c r="C52" s="10">
        <v>39359.862419999998</v>
      </c>
      <c r="D52" s="15">
        <f>IF(OR(40929.93371="",39359.86242=""),"-",39359.86242/40929.93371*100)</f>
        <v>96.164002362856507</v>
      </c>
      <c r="E52" s="15">
        <f>IF(40929.93371="","-",40929.93371/3582158.92973*100)</f>
        <v>1.1426051862273188</v>
      </c>
      <c r="F52" s="15">
        <f>IF(39359.86242="","-",39359.86242/3706619.37681*100)</f>
        <v>1.0618803394340959</v>
      </c>
      <c r="G52" s="15">
        <f>IF(OR(2676462.27457="",39858.90133="",40929.93371=""),"-",(40929.93371-39858.90133)/2676462.27457*100)</f>
        <v>4.0016718717698678E-2</v>
      </c>
      <c r="H52" s="15">
        <f>IF(OR(3582158.92973="",39359.86242="",40929.93371=""),"-",(39359.86242-40929.93371)/3582158.92973*100)</f>
        <v>-4.3830307945559012E-2</v>
      </c>
    </row>
    <row r="53" spans="1:8" s="2" customFormat="1" ht="26.4" x14ac:dyDescent="0.3">
      <c r="A53" s="13" t="s">
        <v>246</v>
      </c>
      <c r="B53" s="14" t="s">
        <v>155</v>
      </c>
      <c r="C53" s="10">
        <v>50214.093119999998</v>
      </c>
      <c r="D53" s="15">
        <f>IF(OR(57052.21111="",50214.09312=""),"-",50214.09312/57052.21111*100)</f>
        <v>88.014280503842855</v>
      </c>
      <c r="E53" s="15">
        <f>IF(57052.21111="","-",57052.21111/3582158.92973*100)</f>
        <v>1.5926767133779915</v>
      </c>
      <c r="F53" s="15">
        <f>IF(50214.09312="","-",50214.09312/3706619.37681*100)</f>
        <v>1.3547140403505735</v>
      </c>
      <c r="G53" s="15">
        <f>IF(OR(2676462.27457="",42062.44489="",57052.21111=""),"-",(57052.21111-42062.44489)/2676462.27457*100)</f>
        <v>0.56005893908623283</v>
      </c>
      <c r="H53" s="15">
        <f>IF(OR(3582158.92973="",50214.09312="",57052.21111=""),"-",(50214.09312-57052.21111)/3582158.92973*100)</f>
        <v>-0.19089376334610067</v>
      </c>
    </row>
    <row r="54" spans="1:8" s="2" customFormat="1" ht="27.75" customHeight="1" x14ac:dyDescent="0.3">
      <c r="A54" s="13" t="s">
        <v>247</v>
      </c>
      <c r="B54" s="14" t="s">
        <v>156</v>
      </c>
      <c r="C54" s="10">
        <v>127663.51162</v>
      </c>
      <c r="D54" s="15">
        <f>IF(OR(137552.30913="",127663.51162=""),"-",127663.51162/137552.30913*100)</f>
        <v>92.810882221792326</v>
      </c>
      <c r="E54" s="15">
        <f>IF(137552.30913="","-",137552.30913/3582158.92973*100)</f>
        <v>3.8399275919443312</v>
      </c>
      <c r="F54" s="15">
        <f>IF(127663.51162="","-",127663.51162/3706619.37681*100)</f>
        <v>3.4442034274873432</v>
      </c>
      <c r="G54" s="15">
        <f>IF(OR(2676462.27457="",126395.10499="",137552.30913=""),"-",(137552.30913-126395.10499)/2676462.27457*100)</f>
        <v>0.41686386712820445</v>
      </c>
      <c r="H54" s="15">
        <f>IF(OR(3582158.92973="",127663.51162="",137552.30913=""),"-",(127663.51162-137552.30913)/3582158.92973*100)</f>
        <v>-0.27605691718277159</v>
      </c>
    </row>
    <row r="55" spans="1:8" s="2" customFormat="1" x14ac:dyDescent="0.3">
      <c r="A55" s="13" t="s">
        <v>248</v>
      </c>
      <c r="B55" s="14" t="s">
        <v>28</v>
      </c>
      <c r="C55" s="10">
        <v>70478.442550000007</v>
      </c>
      <c r="D55" s="15">
        <f>IF(OR(59723.34072="",70478.44255=""),"-",70478.44255/59723.34072*100)</f>
        <v>118.0082053353696</v>
      </c>
      <c r="E55" s="15">
        <f>IF(59723.34072="","-",59723.34072/3582158.92973*100)</f>
        <v>1.6672443041074552</v>
      </c>
      <c r="F55" s="15">
        <f>IF(70478.44255="","-",70478.44255/3706619.37681*100)</f>
        <v>1.901421089819461</v>
      </c>
      <c r="G55" s="15">
        <f>IF(OR(2676462.27457="",59845.70472="",59723.34072=""),"-",(59723.34072-59845.70472)/2676462.27457*100)</f>
        <v>-4.5718559593618925E-3</v>
      </c>
      <c r="H55" s="15">
        <f>IF(OR(3582158.92973="",70478.44255="",59723.34072=""),"-",(70478.44255-59723.34072)/3582158.92973*100)</f>
        <v>0.30024077772592456</v>
      </c>
    </row>
    <row r="56" spans="1:8" s="2" customFormat="1" x14ac:dyDescent="0.3">
      <c r="A56" s="13" t="s">
        <v>249</v>
      </c>
      <c r="B56" s="14" t="s">
        <v>157</v>
      </c>
      <c r="C56" s="10">
        <v>54584.085370000001</v>
      </c>
      <c r="D56" s="15">
        <f>IF(OR(80811.54526="",54584.08537=""),"-",54584.08537/80811.54526*100)</f>
        <v>67.54490981998083</v>
      </c>
      <c r="E56" s="15">
        <f>IF(80811.54526="","-",80811.54526/3582158.92973*100)</f>
        <v>2.2559452789575434</v>
      </c>
      <c r="F56" s="15">
        <f>IF(54584.08537="","-",54584.08537/3706619.37681*100)</f>
        <v>1.4726110188571964</v>
      </c>
      <c r="G56" s="15">
        <f>IF(OR(2676462.27457="",62853.10974="",80811.54526=""),"-",(80811.54526-62853.10974)/2676462.27457*100)</f>
        <v>0.67097659812467192</v>
      </c>
      <c r="H56" s="15">
        <f>IF(OR(3582158.92973="",54584.08537="",80811.54526=""),"-",(54584.08537-80811.54526)/3582158.92973*100)</f>
        <v>-0.73216907469755543</v>
      </c>
    </row>
    <row r="57" spans="1:8" s="2" customFormat="1" x14ac:dyDescent="0.3">
      <c r="A57" s="13" t="s">
        <v>250</v>
      </c>
      <c r="B57" s="14" t="s">
        <v>29</v>
      </c>
      <c r="C57" s="10">
        <v>13782.73396</v>
      </c>
      <c r="D57" s="15">
        <f>IF(OR(14116.8369="",13782.73396=""),"-",13782.73396/14116.8369*100)</f>
        <v>97.633301692392564</v>
      </c>
      <c r="E57" s="15">
        <f>IF(14116.8369="","-",14116.8369/3582158.92973*100)</f>
        <v>0.39408739748641008</v>
      </c>
      <c r="F57" s="15">
        <f>IF(13782.73396="","-",13782.73396/3706619.37681*100)</f>
        <v>0.37184109181077368</v>
      </c>
      <c r="G57" s="15">
        <f>IF(OR(2676462.27457="",30427.53847="",14116.8369=""),"-",(14116.8369-30427.53847)/2676462.27457*100)</f>
        <v>-0.60941272085071607</v>
      </c>
      <c r="H57" s="15">
        <f>IF(OR(3582158.92973="",13782.73396="",14116.8369=""),"-",(13782.73396-14116.8369)/3582158.92973*100)</f>
        <v>-9.3268597668050204E-3</v>
      </c>
    </row>
    <row r="58" spans="1:8" s="2" customFormat="1" x14ac:dyDescent="0.3">
      <c r="A58" s="13" t="s">
        <v>251</v>
      </c>
      <c r="B58" s="14" t="s">
        <v>30</v>
      </c>
      <c r="C58" s="10">
        <v>73911.057090000002</v>
      </c>
      <c r="D58" s="15">
        <f>IF(OR(77701.14896="",73911.05709=""),"-",73911.05709/77701.14896*100)</f>
        <v>95.122219013838375</v>
      </c>
      <c r="E58" s="15">
        <f>IF(77701.14896="","-",77701.14896/3582158.92973*100)</f>
        <v>2.1691150639666512</v>
      </c>
      <c r="F58" s="15">
        <f>IF(73911.05709="","-",73911.05709/3706619.37681*100)</f>
        <v>1.9940287786875361</v>
      </c>
      <c r="G58" s="15">
        <f>IF(OR(2676462.27457="",77875.7105="",77701.14896=""),"-",(77701.14896-77875.7105)/2676462.27457*100)</f>
        <v>-6.5220997754597597E-3</v>
      </c>
      <c r="H58" s="15">
        <f>IF(OR(3582158.92973="",73911.05709="",77701.14896=""),"-",(73911.05709-77701.14896)/3582158.92973*100)</f>
        <v>-0.10580468215813296</v>
      </c>
    </row>
    <row r="59" spans="1:8" s="2" customFormat="1" ht="26.4" x14ac:dyDescent="0.3">
      <c r="A59" s="11" t="s">
        <v>252</v>
      </c>
      <c r="B59" s="12" t="s">
        <v>158</v>
      </c>
      <c r="C59" s="9">
        <v>828904.42212999996</v>
      </c>
      <c r="D59" s="16">
        <f>IF(755262.96771="","-",828904.42213/755262.96771*100)</f>
        <v>109.75043892901104</v>
      </c>
      <c r="E59" s="16">
        <f>IF(755262.96771="","-",755262.96771/3582158.92973*100)</f>
        <v>21.084016162480175</v>
      </c>
      <c r="F59" s="16">
        <f>IF(828904.42213="","-",828904.42213/3706619.37681*100)</f>
        <v>22.362814680027217</v>
      </c>
      <c r="G59" s="16">
        <f>IF(2676462.27457="","-",(755262.96771-679857.75282)/2676462.27457*100)</f>
        <v>2.8173464504413586</v>
      </c>
      <c r="H59" s="16">
        <f>IF(3582158.92973="","-",(828904.42213-755262.96771)/3582158.92973*100)</f>
        <v>2.0557841197054478</v>
      </c>
    </row>
    <row r="60" spans="1:8" s="2" customFormat="1" ht="26.4" x14ac:dyDescent="0.3">
      <c r="A60" s="13" t="s">
        <v>253</v>
      </c>
      <c r="B60" s="14" t="s">
        <v>159</v>
      </c>
      <c r="C60" s="10">
        <v>20665.820790000002</v>
      </c>
      <c r="D60" s="15" t="s">
        <v>194</v>
      </c>
      <c r="E60" s="15">
        <f>IF(11774.39836="","-",11774.39836/3582158.92973*100)</f>
        <v>0.3286955880789878</v>
      </c>
      <c r="F60" s="15">
        <f>IF(20665.82079="","-",20665.82079/3706619.37681*100)</f>
        <v>0.5575382495244352</v>
      </c>
      <c r="G60" s="15">
        <f>IF(OR(2676462.27457="",11750.99763="",11774.39836=""),"-",(11774.39836-11750.99763)/2676462.27457*100)</f>
        <v>8.7431570481444365E-4</v>
      </c>
      <c r="H60" s="15">
        <f>IF(OR(3582158.92973="",20665.82079="",11774.39836=""),"-",(20665.82079-11774.39836)/3582158.92973*100)</f>
        <v>0.24821406878980046</v>
      </c>
    </row>
    <row r="61" spans="1:8" s="2" customFormat="1" ht="26.4" x14ac:dyDescent="0.3">
      <c r="A61" s="13" t="s">
        <v>254</v>
      </c>
      <c r="B61" s="14" t="s">
        <v>160</v>
      </c>
      <c r="C61" s="10">
        <v>87695.643129999997</v>
      </c>
      <c r="D61" s="15">
        <f>IF(OR(124422.49935="",87695.64313=""),"-",87695.64313/124422.49935*100)</f>
        <v>70.482142368248446</v>
      </c>
      <c r="E61" s="15">
        <f>IF(124422.49935="","-",124422.49935/3582158.92973*100)</f>
        <v>3.4733941678957878</v>
      </c>
      <c r="F61" s="15">
        <f>IF(87695.64313="","-",87695.64313/3706619.37681*100)</f>
        <v>2.3659198373228394</v>
      </c>
      <c r="G61" s="15">
        <f>IF(OR(2676462.27457="",75187.00537="",124422.49935=""),"-",(124422.49935-75187.00537)/2676462.27457*100)</f>
        <v>1.8395736210371267</v>
      </c>
      <c r="H61" s="15">
        <f>IF(OR(3582158.92973="",87695.64313="",124422.49935=""),"-",(87695.64313-124422.49935)/3582158.92973*100)</f>
        <v>-1.0252715454690402</v>
      </c>
    </row>
    <row r="62" spans="1:8" s="2" customFormat="1" ht="26.4" x14ac:dyDescent="0.3">
      <c r="A62" s="13" t="s">
        <v>255</v>
      </c>
      <c r="B62" s="14" t="s">
        <v>161</v>
      </c>
      <c r="C62" s="10">
        <v>6645.5900700000002</v>
      </c>
      <c r="D62" s="15">
        <f>IF(OR(4887.22274="",6645.59007=""),"-",6645.59007/4887.22274*100)</f>
        <v>135.97886618934828</v>
      </c>
      <c r="E62" s="15">
        <f>IF(4887.22274="","-",4887.22274/3582158.92973*100)</f>
        <v>0.13643232575301642</v>
      </c>
      <c r="F62" s="15">
        <f>IF(6645.59007="","-",6645.59007/3706619.37681*100)</f>
        <v>0.17928978927745598</v>
      </c>
      <c r="G62" s="15">
        <f>IF(OR(2676462.27457="",6483.14341="",4887.22274=""),"-",(4887.22274-6483.14341)/2676462.27457*100)</f>
        <v>-5.9627990469486442E-2</v>
      </c>
      <c r="H62" s="15">
        <f>IF(OR(3582158.92973="",6645.59007="",4887.22274=""),"-",(6645.59007-4887.22274)/3582158.92973*100)</f>
        <v>4.9086803921693511E-2</v>
      </c>
    </row>
    <row r="63" spans="1:8" s="2" customFormat="1" ht="39.6" x14ac:dyDescent="0.3">
      <c r="A63" s="13" t="s">
        <v>256</v>
      </c>
      <c r="B63" s="14" t="s">
        <v>162</v>
      </c>
      <c r="C63" s="10">
        <v>97865.900370000003</v>
      </c>
      <c r="D63" s="15">
        <f>IF(OR(96580.03562="",97865.90037=""),"-",97865.90037/96580.03562*100)</f>
        <v>101.33139809044937</v>
      </c>
      <c r="E63" s="15">
        <f>IF(96580.03562="","-",96580.03562/3582158.92973*100)</f>
        <v>2.6961404425258033</v>
      </c>
      <c r="F63" s="15">
        <f>IF(97865.90037="","-",97865.90037/3706619.37681*100)</f>
        <v>2.6403007814151556</v>
      </c>
      <c r="G63" s="15">
        <f>IF(OR(2676462.27457="",94929.7535="",96580.03562=""),"-",(96580.03562-94929.7535)/2676462.27457*100)</f>
        <v>6.1659083921335039E-2</v>
      </c>
      <c r="H63" s="15">
        <f>IF(OR(3582158.92973="",97865.90037="",96580.03562=""),"-",(97865.90037-96580.03562)/3582158.92973*100)</f>
        <v>3.5896362367621927E-2</v>
      </c>
    </row>
    <row r="64" spans="1:8" s="2" customFormat="1" ht="26.4" x14ac:dyDescent="0.3">
      <c r="A64" s="13" t="s">
        <v>257</v>
      </c>
      <c r="B64" s="14" t="s">
        <v>163</v>
      </c>
      <c r="C64" s="10">
        <v>33529.723590000001</v>
      </c>
      <c r="D64" s="15">
        <f>IF(OR(35925.19001="",33529.72359=""),"-",33529.72359/35925.19001*100)</f>
        <v>93.332070284574129</v>
      </c>
      <c r="E64" s="15">
        <f>IF(35925.19001="","-",35925.19001/3582158.92973*100)</f>
        <v>1.0028921305484291</v>
      </c>
      <c r="F64" s="15">
        <f>IF(33529.72359="","-",33529.72359/3706619.37681*100)</f>
        <v>0.90459041464506762</v>
      </c>
      <c r="G64" s="15">
        <f>IF(OR(2676462.27457="",32091.81777="",35925.19001=""),"-",(35925.19001-32091.81777)/2676462.27457*100)</f>
        <v>0.14322534176633839</v>
      </c>
      <c r="H64" s="15">
        <f>IF(OR(3582158.92973="",33529.72359="",35925.19001=""),"-",(33529.72359-35925.19001)/3582158.92973*100)</f>
        <v>-6.6872142386506336E-2</v>
      </c>
    </row>
    <row r="65" spans="1:8" s="2" customFormat="1" ht="52.8" x14ac:dyDescent="0.3">
      <c r="A65" s="13" t="s">
        <v>258</v>
      </c>
      <c r="B65" s="14" t="s">
        <v>164</v>
      </c>
      <c r="C65" s="10">
        <v>86000.87801</v>
      </c>
      <c r="D65" s="15">
        <f>IF(OR(68390.08283="",86000.87801=""),"-",86000.87801/68390.08283*100)</f>
        <v>125.75051009044086</v>
      </c>
      <c r="E65" s="15">
        <f>IF(68390.08283="","-",68390.08283/3582158.92973*100)</f>
        <v>1.9091861687765708</v>
      </c>
      <c r="F65" s="15">
        <f>IF(86000.87801="","-",86000.87801/3706619.37681*100)</f>
        <v>2.3201971734150457</v>
      </c>
      <c r="G65" s="15">
        <f>IF(OR(2676462.27457="",71381.03019="",68390.08283=""),"-",(68390.08283-71381.03019)/2676462.27457*100)</f>
        <v>-0.11175002870087271</v>
      </c>
      <c r="H65" s="15">
        <f>IF(OR(3582158.92973="",86000.87801="",68390.08283=""),"-",(86000.87801-68390.08283)/3582158.92973*100)</f>
        <v>0.49162517703611186</v>
      </c>
    </row>
    <row r="66" spans="1:8" s="2" customFormat="1" ht="52.8" x14ac:dyDescent="0.3">
      <c r="A66" s="13" t="s">
        <v>259</v>
      </c>
      <c r="B66" s="14" t="s">
        <v>165</v>
      </c>
      <c r="C66" s="10">
        <v>264905.32205999998</v>
      </c>
      <c r="D66" s="15">
        <f>IF(OR(217332.9492="",264905.32206=""),"-",264905.32206/217332.9492*100)</f>
        <v>121.88916730533191</v>
      </c>
      <c r="E66" s="15">
        <f>IF(217332.9492="","-",217332.9492/3582158.92973*100)</f>
        <v>6.067093991733671</v>
      </c>
      <c r="F66" s="15">
        <f>IF(264905.32206="","-",264905.32206/3706619.37681*100)</f>
        <v>7.1468174940579807</v>
      </c>
      <c r="G66" s="15">
        <f>IF(OR(2676462.27457="",217016.04905="",217332.9492=""),"-",(217332.9492-217016.04905)/2676462.27457*100)</f>
        <v>1.1840262162892412E-2</v>
      </c>
      <c r="H66" s="15">
        <f>IF(OR(3582158.92973="",264905.32206="",217332.9492=""),"-",(264905.32206-217332.9492)/3582158.92973*100)</f>
        <v>1.3280363544223224</v>
      </c>
    </row>
    <row r="67" spans="1:8" s="2" customFormat="1" ht="26.4" x14ac:dyDescent="0.3">
      <c r="A67" s="13" t="s">
        <v>260</v>
      </c>
      <c r="B67" s="14" t="s">
        <v>166</v>
      </c>
      <c r="C67" s="10">
        <v>228361.50226000001</v>
      </c>
      <c r="D67" s="15">
        <f>IF(OR(192408.35659="",228361.50226=""),"-",228361.50226/192408.35659*100)</f>
        <v>118.68585455808034</v>
      </c>
      <c r="E67" s="15">
        <f>IF(192408.35659="","-",192408.35659/3582158.92973*100)</f>
        <v>5.3712959241733724</v>
      </c>
      <c r="F67" s="15">
        <f>IF(228361.50226="","-",228361.50226/3706619.37681*100)</f>
        <v>6.1609104967376789</v>
      </c>
      <c r="G67" s="15">
        <f>IF(OR(2676462.27457="",170150.99066="",192408.35659=""),"-",(192408.35659-170150.99066)/2676462.27457*100)</f>
        <v>0.83159647499891876</v>
      </c>
      <c r="H67" s="15">
        <f>IF(OR(3582158.92973="",228361.50226="",192408.35659=""),"-",(228361.50226-192408.35659)/3582158.92973*100)</f>
        <v>1.003672544275134</v>
      </c>
    </row>
    <row r="68" spans="1:8" s="2" customFormat="1" x14ac:dyDescent="0.3">
      <c r="A68" s="13" t="s">
        <v>261</v>
      </c>
      <c r="B68" s="14" t="s">
        <v>31</v>
      </c>
      <c r="C68" s="10">
        <v>3234.0418500000001</v>
      </c>
      <c r="D68" s="15">
        <f>IF(OR(3542.23301="",3234.04185=""),"-",3234.04185/3542.23301*100)</f>
        <v>91.299523234921239</v>
      </c>
      <c r="E68" s="15">
        <f>IF(3542.23301="","-",3542.23301/3582158.92973*100)</f>
        <v>9.8885422994534483E-2</v>
      </c>
      <c r="F68" s="15">
        <f>IF(3234.04185="","-",3234.04185/3706619.37681*100)</f>
        <v>8.7250443631557581E-2</v>
      </c>
      <c r="G68" s="15">
        <f>IF(OR(2676462.27457="",866.96524="",3542.23301=""),"-",(3542.23301-866.96524)/2676462.27457*100)</f>
        <v>9.9955370020293227E-2</v>
      </c>
      <c r="H68" s="15">
        <f>IF(OR(3582158.92973="",3234.04185="",3542.23301=""),"-",(3234.04185-3542.23301)/3582158.92973*100)</f>
        <v>-8.6035032516893189E-3</v>
      </c>
    </row>
    <row r="69" spans="1:8" s="2" customFormat="1" x14ac:dyDescent="0.3">
      <c r="A69" s="11" t="s">
        <v>262</v>
      </c>
      <c r="B69" s="12" t="s">
        <v>32</v>
      </c>
      <c r="C69" s="9">
        <v>333155.16655000002</v>
      </c>
      <c r="D69" s="16">
        <f>IF(307268.13625="","-",333155.16655/307268.13625*100)</f>
        <v>108.42489905264298</v>
      </c>
      <c r="E69" s="16">
        <f>IF(307268.13625="","-",307268.13625/3582158.92973*100)</f>
        <v>8.577736004392186</v>
      </c>
      <c r="F69" s="16">
        <f>IF(333155.16655="","-",333155.16655/3706619.37681*100)</f>
        <v>8.9881137684204546</v>
      </c>
      <c r="G69" s="16">
        <f>IF(2676462.27457="","-",(307268.13625-309502.95884)/2676462.27457*100)</f>
        <v>-8.3499125365368451E-2</v>
      </c>
      <c r="H69" s="16">
        <f>IF(3582158.92973="","-",(333155.16655-307268.13625)/3582158.92973*100)</f>
        <v>0.7226655993722545</v>
      </c>
    </row>
    <row r="70" spans="1:8" ht="39.6" x14ac:dyDescent="0.3">
      <c r="A70" s="13" t="s">
        <v>263</v>
      </c>
      <c r="B70" s="14" t="s">
        <v>192</v>
      </c>
      <c r="C70" s="10">
        <v>18187.075420000001</v>
      </c>
      <c r="D70" s="15">
        <f>IF(OR(24708.66615="",18187.07542=""),"-",18187.07542/24708.66615*100)</f>
        <v>73.606059143747032</v>
      </c>
      <c r="E70" s="15">
        <f>IF(24708.66615="","-",24708.66615/3582158.92973*100)</f>
        <v>0.68977023729827591</v>
      </c>
      <c r="F70" s="15">
        <f>IF(18187.07542="","-",18187.07542/3706619.37681*100)</f>
        <v>0.49066476946041887</v>
      </c>
      <c r="G70" s="15">
        <f>IF(OR(2676462.27457="",23124.92951="",24708.66615=""),"-",(24708.66615-23124.92951)/2676462.27457*100)</f>
        <v>5.9172761560946793E-2</v>
      </c>
      <c r="H70" s="15">
        <f>IF(OR(3582158.92973="",18187.07542="",24708.66615=""),"-",(18187.07542-24708.66615)/3582158.92973*100)</f>
        <v>-0.18205754847654276</v>
      </c>
    </row>
    <row r="71" spans="1:8" x14ac:dyDescent="0.3">
      <c r="A71" s="13" t="s">
        <v>264</v>
      </c>
      <c r="B71" s="14" t="s">
        <v>167</v>
      </c>
      <c r="C71" s="10">
        <v>25654.182529999998</v>
      </c>
      <c r="D71" s="15">
        <f>IF(OR(29554.12016="",25654.18253=""),"-",25654.18253/29554.12016*100)</f>
        <v>86.804081431331639</v>
      </c>
      <c r="E71" s="15">
        <f>IF(29554.12016="","-",29554.12016/3582158.92973*100)</f>
        <v>0.82503654192215303</v>
      </c>
      <c r="F71" s="15">
        <f>IF(25654.18253="","-",25654.18253/3706619.37681*100)</f>
        <v>0.69211807099758293</v>
      </c>
      <c r="G71" s="15">
        <f>IF(OR(2676462.27457="",27407.35517="",29554.12016=""),"-",(29554.12016-27407.35517)/2676462.27457*100)</f>
        <v>8.0209050969900136E-2</v>
      </c>
      <c r="H71" s="15">
        <f>IF(OR(3582158.92973="",25654.18253="",29554.12016=""),"-",(25654.18253-29554.12016)/3582158.92973*100)</f>
        <v>-0.10887115023380475</v>
      </c>
    </row>
    <row r="72" spans="1:8" x14ac:dyDescent="0.3">
      <c r="A72" s="13" t="s">
        <v>265</v>
      </c>
      <c r="B72" s="14" t="s">
        <v>168</v>
      </c>
      <c r="C72" s="10">
        <v>6959.2136099999998</v>
      </c>
      <c r="D72" s="15">
        <f>IF(OR(6572.57639="",6959.21361=""),"-",6959.21361/6572.57639*100)</f>
        <v>105.88258237041197</v>
      </c>
      <c r="E72" s="15">
        <f>IF(6572.57639="","-",6572.57639/3582158.92973*100)</f>
        <v>0.18348087058480675</v>
      </c>
      <c r="F72" s="15">
        <f>IF(6959.21361="","-",6959.21361/3706619.37681*100)</f>
        <v>0.18775096395220531</v>
      </c>
      <c r="G72" s="15">
        <f>IF(OR(2676462.27457="",4604.87518="",6572.57639=""),"-",(6572.57639-4604.87518)/2676462.27457*100)</f>
        <v>7.3518735111487085E-2</v>
      </c>
      <c r="H72" s="15">
        <f>IF(OR(3582158.92973="",6959.21361="",6572.57639=""),"-",(6959.21361-6572.57639)/3582158.92973*100)</f>
        <v>1.0793413346100247E-2</v>
      </c>
    </row>
    <row r="73" spans="1:8" x14ac:dyDescent="0.3">
      <c r="A73" s="13" t="s">
        <v>266</v>
      </c>
      <c r="B73" s="14" t="s">
        <v>169</v>
      </c>
      <c r="C73" s="10">
        <v>81338.794240000003</v>
      </c>
      <c r="D73" s="15">
        <f>IF(OR(75362.15906="",81338.79424=""),"-",81338.79424/75362.15906*100)</f>
        <v>107.93055195677404</v>
      </c>
      <c r="E73" s="15">
        <f>IF(75362.15906="","-",75362.15906/3582158.92973*100)</f>
        <v>2.1038195272279645</v>
      </c>
      <c r="F73" s="15">
        <f>IF(81338.79424="","-",81338.79424/3706619.37681*100)</f>
        <v>2.1944199274650642</v>
      </c>
      <c r="G73" s="15">
        <f>IF(OR(2676462.27457="",72867.75666="",75362.15906=""),"-",(75362.15906-72867.75666)/2676462.27457*100)</f>
        <v>9.3197741798948269E-2</v>
      </c>
      <c r="H73" s="15">
        <f>IF(OR(3582158.92973="",81338.79424="",75362.15906=""),"-",(81338.79424-75362.15906)/3582158.92973*100)</f>
        <v>0.16684450068357179</v>
      </c>
    </row>
    <row r="74" spans="1:8" x14ac:dyDescent="0.3">
      <c r="A74" s="13" t="s">
        <v>267</v>
      </c>
      <c r="B74" s="14" t="s">
        <v>170</v>
      </c>
      <c r="C74" s="10">
        <v>25477.517500000002</v>
      </c>
      <c r="D74" s="15">
        <f>IF(OR(24744.12835="",25477.5175=""),"-",25477.5175/24744.12835*100)</f>
        <v>102.96389163370957</v>
      </c>
      <c r="E74" s="15">
        <f>IF(24744.12835="","-",24744.12835/3582158.92973*100)</f>
        <v>0.69076020454137277</v>
      </c>
      <c r="F74" s="15">
        <f>IF(25477.5175="","-",25477.5175/3706619.37681*100)</f>
        <v>0.68735186729441122</v>
      </c>
      <c r="G74" s="15">
        <f>IF(OR(2676462.27457="",21034.4528="",24744.12835=""),"-",(24744.12835-21034.4528)/2676462.27457*100)</f>
        <v>0.13860369283912272</v>
      </c>
      <c r="H74" s="15">
        <f>IF(OR(3582158.92973="",25477.5175="",24744.12835=""),"-",(25477.5175-24744.12835)/3582158.92973*100)</f>
        <v>2.047338391139672E-2</v>
      </c>
    </row>
    <row r="75" spans="1:8" ht="26.4" x14ac:dyDescent="0.3">
      <c r="A75" s="13" t="s">
        <v>268</v>
      </c>
      <c r="B75" s="14" t="s">
        <v>314</v>
      </c>
      <c r="C75" s="10">
        <v>32171.02536</v>
      </c>
      <c r="D75" s="15">
        <f>IF(OR(27724.91107="",32171.02536=""),"-",32171.02536/27724.91107*100)</f>
        <v>116.03653219580914</v>
      </c>
      <c r="E75" s="15">
        <f>IF(27724.91107="","-",27724.91107/3582158.92973*100)</f>
        <v>0.77397211050291737</v>
      </c>
      <c r="F75" s="15">
        <f>IF(32171.02536="","-",32171.02536/3706619.37681*100)</f>
        <v>0.86793441919809711</v>
      </c>
      <c r="G75" s="15">
        <f>IF(OR(2676462.27457="",40045.73158="",27724.91107=""),"-",(27724.91107-40045.73158)/2676462.27457*100)</f>
        <v>-0.4603397786348199</v>
      </c>
      <c r="H75" s="15">
        <f>IF(OR(3582158.92973="",32171.02536="",27724.91107=""),"-",(32171.02536-27724.91107)/3582158.92973*100)</f>
        <v>0.12411828668738382</v>
      </c>
    </row>
    <row r="76" spans="1:8" ht="39.6" x14ac:dyDescent="0.3">
      <c r="A76" s="13" t="s">
        <v>269</v>
      </c>
      <c r="B76" s="14" t="s">
        <v>171</v>
      </c>
      <c r="C76" s="10">
        <v>7840.3607899999997</v>
      </c>
      <c r="D76" s="15">
        <f>IF(OR(5506.04415="",7840.36079=""),"-",7840.36079/5506.04415*100)</f>
        <v>142.39553073689029</v>
      </c>
      <c r="E76" s="15">
        <f>IF(5506.04415="","-",5506.04415/3582158.92973*100)</f>
        <v>0.153707422200137</v>
      </c>
      <c r="F76" s="15">
        <f>IF(7840.36079="","-",7840.36079/3706619.37681*100)</f>
        <v>0.21152322353496117</v>
      </c>
      <c r="G76" s="15">
        <f>IF(OR(2676462.27457="",8062.43499="",5506.04415=""),"-",(5506.04415-8062.43499)/2676462.27457*100)</f>
        <v>-9.551380059749616E-2</v>
      </c>
      <c r="H76" s="15">
        <f>IF(OR(3582158.92973="",7840.36079="",5506.04415=""),"-",(7840.36079-5506.04415)/3582158.92973*100)</f>
        <v>6.5165077423740822E-2</v>
      </c>
    </row>
    <row r="77" spans="1:8" x14ac:dyDescent="0.3">
      <c r="A77" s="13" t="s">
        <v>270</v>
      </c>
      <c r="B77" s="14" t="s">
        <v>33</v>
      </c>
      <c r="C77" s="10">
        <v>135526.99710000001</v>
      </c>
      <c r="D77" s="15">
        <f>IF(OR(113095.53092="",135526.9971=""),"-",135526.9971/113095.53092*100)</f>
        <v>119.83408716288469</v>
      </c>
      <c r="E77" s="15">
        <f>IF(113095.53092="","-",113095.53092/3582158.92973*100)</f>
        <v>3.1571890901145587</v>
      </c>
      <c r="F77" s="15">
        <f>IF(135526.9971="","-",135526.9971/3706619.37681*100)</f>
        <v>3.6563505265177132</v>
      </c>
      <c r="G77" s="15">
        <f>IF(OR(2676462.27457="",112355.42295="",113095.53092=""),"-",(113095.53092-112355.42295)/2676462.27457*100)</f>
        <v>2.7652471586543003E-2</v>
      </c>
      <c r="H77" s="15">
        <f>IF(OR(3582158.92973="",135526.9971="",113095.53092=""),"-",(135526.9971-113095.53092)/3582158.92973*100)</f>
        <v>0.62619963603040751</v>
      </c>
    </row>
    <row r="78" spans="1:8" ht="26.4" x14ac:dyDescent="0.3">
      <c r="A78" s="56" t="s">
        <v>273</v>
      </c>
      <c r="B78" s="53" t="s">
        <v>172</v>
      </c>
      <c r="C78" s="54">
        <v>3204.2275800000002</v>
      </c>
      <c r="D78" s="55">
        <f>IF(11982.63089="","-",3204.22758/11982.63089*100)</f>
        <v>26.740601537464197</v>
      </c>
      <c r="E78" s="55">
        <f>IF(11982.63089="","-",11982.63089/3582158.92973*100)</f>
        <v>0.3345086336217688</v>
      </c>
      <c r="F78" s="55">
        <f>IF(3204.22758="","-",3204.22758/3706619.37681*100)</f>
        <v>8.6446091553042892E-2</v>
      </c>
      <c r="G78" s="55">
        <f>IF(2676462.27457="","-",(11982.63089-79.45405)/2676462.27457*100)</f>
        <v>0.44473546117560586</v>
      </c>
      <c r="H78" s="55">
        <f>IF(3582158.92973="","-",(3204.22758-11982.63089)/3582158.92973*100)</f>
        <v>-0.24505901279655559</v>
      </c>
    </row>
    <row r="79" spans="1:8" x14ac:dyDescent="0.3">
      <c r="A79" s="19" t="s">
        <v>276</v>
      </c>
      <c r="B79" s="20"/>
    </row>
    <row r="80" spans="1:8" x14ac:dyDescent="0.3">
      <c r="A80" s="20" t="s">
        <v>318</v>
      </c>
      <c r="B80" s="20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2"/>
  <sheetViews>
    <sheetView zoomScale="99" zoomScaleNormal="99" workbookViewId="0">
      <selection activeCell="B1" sqref="B1:E1"/>
    </sheetView>
  </sheetViews>
  <sheetFormatPr defaultRowHeight="15.6" x14ac:dyDescent="0.3"/>
  <cols>
    <col min="1" max="1" width="5.59765625" customWidth="1"/>
    <col min="2" max="2" width="42.8984375" customWidth="1"/>
    <col min="3" max="4" width="13.5" customWidth="1"/>
    <col min="5" max="5" width="11.3984375" customWidth="1"/>
  </cols>
  <sheetData>
    <row r="1" spans="1:5" ht="16.2" x14ac:dyDescent="0.35">
      <c r="B1" s="83" t="s">
        <v>127</v>
      </c>
      <c r="C1" s="83"/>
      <c r="D1" s="83"/>
      <c r="E1" s="83"/>
    </row>
    <row r="2" spans="1:5" ht="16.2" x14ac:dyDescent="0.35">
      <c r="B2" s="83" t="s">
        <v>275</v>
      </c>
      <c r="C2" s="83"/>
      <c r="D2" s="83"/>
      <c r="E2" s="83"/>
    </row>
    <row r="3" spans="1:5" x14ac:dyDescent="0.3">
      <c r="A3" s="93"/>
      <c r="B3" s="93"/>
      <c r="C3" s="93"/>
      <c r="D3" s="93"/>
      <c r="E3" s="93"/>
    </row>
    <row r="4" spans="1:5" ht="66.75" customHeight="1" x14ac:dyDescent="0.3">
      <c r="A4" s="40" t="s">
        <v>274</v>
      </c>
      <c r="B4" s="42"/>
      <c r="C4" s="40" t="s">
        <v>404</v>
      </c>
      <c r="D4" s="40" t="s">
        <v>405</v>
      </c>
      <c r="E4" s="41" t="s">
        <v>368</v>
      </c>
    </row>
    <row r="5" spans="1:5" s="33" customFormat="1" ht="18" customHeight="1" x14ac:dyDescent="0.25">
      <c r="A5" s="24"/>
      <c r="B5" s="51" t="s">
        <v>280</v>
      </c>
      <c r="C5" s="48">
        <v>-1707204.5426</v>
      </c>
      <c r="D5" s="48">
        <v>-1981135.6261400001</v>
      </c>
      <c r="E5" s="48">
        <f>IF(-1707204.5426="","-",-1981135.62614/-1707204.5426*100)</f>
        <v>116.04559247029735</v>
      </c>
    </row>
    <row r="6" spans="1:5" x14ac:dyDescent="0.3">
      <c r="A6" s="24"/>
      <c r="B6" s="29" t="s">
        <v>117</v>
      </c>
      <c r="C6" s="71"/>
      <c r="D6" s="71"/>
      <c r="E6" s="16"/>
    </row>
    <row r="7" spans="1:5" x14ac:dyDescent="0.3">
      <c r="A7" s="11" t="s">
        <v>202</v>
      </c>
      <c r="B7" s="12" t="s">
        <v>173</v>
      </c>
      <c r="C7" s="44">
        <v>123540.79766</v>
      </c>
      <c r="D7" s="16">
        <v>-54021.769509999998</v>
      </c>
      <c r="E7" s="16" t="s">
        <v>20</v>
      </c>
    </row>
    <row r="8" spans="1:5" x14ac:dyDescent="0.3">
      <c r="A8" s="13" t="s">
        <v>203</v>
      </c>
      <c r="B8" s="14" t="s">
        <v>21</v>
      </c>
      <c r="C8" s="45">
        <v>-174.77489</v>
      </c>
      <c r="D8" s="15">
        <v>2160.83997</v>
      </c>
      <c r="E8" s="15" t="s">
        <v>20</v>
      </c>
    </row>
    <row r="9" spans="1:5" x14ac:dyDescent="0.3">
      <c r="A9" s="13" t="s">
        <v>204</v>
      </c>
      <c r="B9" s="14" t="s">
        <v>174</v>
      </c>
      <c r="C9" s="45">
        <v>-36979.486870000001</v>
      </c>
      <c r="D9" s="15">
        <v>-27069.8279</v>
      </c>
      <c r="E9" s="15">
        <f>IF(OR(-36979.48687="",-27069.8279="",-36979.48687=0,-27069.8279=0),"-",-27069.8279/-36979.48687*100)</f>
        <v>73.202281024512232</v>
      </c>
    </row>
    <row r="10" spans="1:5" x14ac:dyDescent="0.3">
      <c r="A10" s="13" t="s">
        <v>205</v>
      </c>
      <c r="B10" s="14" t="s">
        <v>175</v>
      </c>
      <c r="C10" s="45">
        <v>-43543.363400000002</v>
      </c>
      <c r="D10" s="15">
        <v>-44363.232889999999</v>
      </c>
      <c r="E10" s="15">
        <f>IF(OR(-43543.3634="",-44363.23289="",-43543.3634=0,-44363.23289=0),"-",-44363.23289/-43543.3634*100)</f>
        <v>101.88288048047293</v>
      </c>
    </row>
    <row r="11" spans="1:5" x14ac:dyDescent="0.3">
      <c r="A11" s="13" t="s">
        <v>206</v>
      </c>
      <c r="B11" s="14" t="s">
        <v>176</v>
      </c>
      <c r="C11" s="45">
        <v>-32169.697059999999</v>
      </c>
      <c r="D11" s="15">
        <v>-34904.286820000001</v>
      </c>
      <c r="E11" s="15">
        <f>IF(OR(-32169.69706="",-34904.28682="",-32169.69706=0,-34904.28682=0),"-",-34904.28682/-32169.69706*100)</f>
        <v>108.50051449007958</v>
      </c>
    </row>
    <row r="12" spans="1:5" x14ac:dyDescent="0.3">
      <c r="A12" s="13" t="s">
        <v>207</v>
      </c>
      <c r="B12" s="14" t="s">
        <v>177</v>
      </c>
      <c r="C12" s="45">
        <v>239534.80338</v>
      </c>
      <c r="D12" s="15">
        <v>96289.921730000002</v>
      </c>
      <c r="E12" s="15">
        <f>IF(OR(239534.80338="",96289.92173="",239534.80338=0,96289.92173=0),"-",96289.92173/239534.80338*100)</f>
        <v>40.198718671058778</v>
      </c>
    </row>
    <row r="13" spans="1:5" x14ac:dyDescent="0.3">
      <c r="A13" s="13" t="s">
        <v>208</v>
      </c>
      <c r="B13" s="14" t="s">
        <v>178</v>
      </c>
      <c r="C13" s="45">
        <v>58670.060689999998</v>
      </c>
      <c r="D13" s="15">
        <v>20349.187720000002</v>
      </c>
      <c r="E13" s="15">
        <f>IF(OR(58670.06069="",20349.18772="",58670.06069=0,20349.18772=0),"-",20349.18772/58670.06069*100)</f>
        <v>34.684108863498096</v>
      </c>
    </row>
    <row r="14" spans="1:5" x14ac:dyDescent="0.3">
      <c r="A14" s="13" t="s">
        <v>209</v>
      </c>
      <c r="B14" s="14" t="s">
        <v>136</v>
      </c>
      <c r="C14" s="45">
        <v>3683.98767</v>
      </c>
      <c r="D14" s="15">
        <v>-1988.32718</v>
      </c>
      <c r="E14" s="15" t="s">
        <v>20</v>
      </c>
    </row>
    <row r="15" spans="1:5" ht="17.25" customHeight="1" x14ac:dyDescent="0.3">
      <c r="A15" s="13" t="s">
        <v>210</v>
      </c>
      <c r="B15" s="14" t="s">
        <v>179</v>
      </c>
      <c r="C15" s="45">
        <v>-22297.940729999998</v>
      </c>
      <c r="D15" s="15">
        <v>-27986.5605</v>
      </c>
      <c r="E15" s="15">
        <f>IF(OR(-22297.94073="",-27986.5605="",-22297.94073=0,-27986.5605=0),"-",-27986.5605/-22297.94073*100)</f>
        <v>125.51186156103842</v>
      </c>
    </row>
    <row r="16" spans="1:5" ht="15.75" customHeight="1" x14ac:dyDescent="0.3">
      <c r="A16" s="13" t="s">
        <v>211</v>
      </c>
      <c r="B16" s="14" t="s">
        <v>137</v>
      </c>
      <c r="C16" s="45">
        <v>2508.2284199999999</v>
      </c>
      <c r="D16" s="15">
        <v>6283.6769999999997</v>
      </c>
      <c r="E16" s="15" t="s">
        <v>307</v>
      </c>
    </row>
    <row r="17" spans="1:5" x14ac:dyDescent="0.3">
      <c r="A17" s="13" t="s">
        <v>212</v>
      </c>
      <c r="B17" s="14" t="s">
        <v>180</v>
      </c>
      <c r="C17" s="45">
        <v>-45691.019549999997</v>
      </c>
      <c r="D17" s="15">
        <v>-42793.160640000002</v>
      </c>
      <c r="E17" s="15">
        <f>IF(OR(-45691.01955="",-42793.16064="",-45691.01955=0,-42793.16064=0),"-",-42793.16064/-45691.01955*100)</f>
        <v>93.657705740558384</v>
      </c>
    </row>
    <row r="18" spans="1:5" x14ac:dyDescent="0.3">
      <c r="A18" s="11" t="s">
        <v>213</v>
      </c>
      <c r="B18" s="12" t="s">
        <v>181</v>
      </c>
      <c r="C18" s="44">
        <v>20450.39847</v>
      </c>
      <c r="D18" s="16">
        <v>36122.049440000003</v>
      </c>
      <c r="E18" s="16" t="s">
        <v>194</v>
      </c>
    </row>
    <row r="19" spans="1:5" x14ac:dyDescent="0.3">
      <c r="A19" s="13" t="s">
        <v>214</v>
      </c>
      <c r="B19" s="14" t="s">
        <v>182</v>
      </c>
      <c r="C19" s="45">
        <v>29888.582920000001</v>
      </c>
      <c r="D19" s="15">
        <v>48630.525410000002</v>
      </c>
      <c r="E19" s="15" t="s">
        <v>100</v>
      </c>
    </row>
    <row r="20" spans="1:5" x14ac:dyDescent="0.3">
      <c r="A20" s="13" t="s">
        <v>215</v>
      </c>
      <c r="B20" s="14" t="s">
        <v>183</v>
      </c>
      <c r="C20" s="45">
        <v>-9438.1844500000007</v>
      </c>
      <c r="D20" s="15">
        <v>-12508.47597</v>
      </c>
      <c r="E20" s="15">
        <f>IF(OR(-9438.18445="",-12508.47597="",-9438.18445=0,-12508.47597=0),"-",-12508.47597/-9438.18445*100)</f>
        <v>132.53053101754116</v>
      </c>
    </row>
    <row r="21" spans="1:5" ht="16.5" customHeight="1" x14ac:dyDescent="0.3">
      <c r="A21" s="11" t="s">
        <v>216</v>
      </c>
      <c r="B21" s="12" t="s">
        <v>22</v>
      </c>
      <c r="C21" s="44">
        <v>135251.88576</v>
      </c>
      <c r="D21" s="16">
        <v>-10562.599459999999</v>
      </c>
      <c r="E21" s="16" t="s">
        <v>20</v>
      </c>
    </row>
    <row r="22" spans="1:5" x14ac:dyDescent="0.3">
      <c r="A22" s="13" t="s">
        <v>217</v>
      </c>
      <c r="B22" s="14" t="s">
        <v>190</v>
      </c>
      <c r="C22" s="45">
        <v>669.3578</v>
      </c>
      <c r="D22" s="15">
        <v>597.50760000000002</v>
      </c>
      <c r="E22" s="15">
        <f>IF(OR(669.3578="",597.5076="",669.3578=0,597.5076=0),"-",597.5076/669.3578*100)</f>
        <v>89.265800742144179</v>
      </c>
    </row>
    <row r="23" spans="1:5" x14ac:dyDescent="0.3">
      <c r="A23" s="13" t="s">
        <v>218</v>
      </c>
      <c r="B23" s="14" t="s">
        <v>184</v>
      </c>
      <c r="C23" s="45">
        <v>153610.8278</v>
      </c>
      <c r="D23" s="15">
        <v>18715.719489999999</v>
      </c>
      <c r="E23" s="15">
        <f>IF(OR(153610.8278="",18715.71949="",153610.8278=0,18715.71949=0),"-",18715.71949/153610.8278*100)</f>
        <v>12.183854327227316</v>
      </c>
    </row>
    <row r="24" spans="1:5" ht="17.25" customHeight="1" x14ac:dyDescent="0.3">
      <c r="A24" s="13" t="s">
        <v>271</v>
      </c>
      <c r="B24" s="14" t="s">
        <v>185</v>
      </c>
      <c r="C24" s="45">
        <v>-1581.07465</v>
      </c>
      <c r="D24" s="15">
        <v>-1902.29231</v>
      </c>
      <c r="E24" s="15">
        <f>IF(OR(-1581.07465="",-1902.29231="",-1581.07465=0,-1902.29231=0),"-",-1902.29231/-1581.07465*100)</f>
        <v>120.31641326992373</v>
      </c>
    </row>
    <row r="25" spans="1:5" x14ac:dyDescent="0.3">
      <c r="A25" s="13" t="s">
        <v>219</v>
      </c>
      <c r="B25" s="14" t="s">
        <v>186</v>
      </c>
      <c r="C25" s="45">
        <v>-22290.297269999999</v>
      </c>
      <c r="D25" s="15">
        <v>-15084.480009999999</v>
      </c>
      <c r="E25" s="15">
        <f>IF(OR(-22290.29727="",-15084.48001="",-22290.29727=0,-15084.48001=0),"-",-15084.48001/-22290.29727*100)</f>
        <v>67.672852574747196</v>
      </c>
    </row>
    <row r="26" spans="1:5" x14ac:dyDescent="0.3">
      <c r="A26" s="13" t="s">
        <v>220</v>
      </c>
      <c r="B26" s="14" t="s">
        <v>138</v>
      </c>
      <c r="C26" s="45">
        <v>1844.1362799999999</v>
      </c>
      <c r="D26" s="15">
        <v>1241.5107399999999</v>
      </c>
      <c r="E26" s="15">
        <f>IF(OR(1844.13628="",1241.51074="",1844.13628=0,1241.51074=0),"-",1241.51074/1844.13628*100)</f>
        <v>67.322071230006927</v>
      </c>
    </row>
    <row r="27" spans="1:5" ht="28.5" customHeight="1" x14ac:dyDescent="0.3">
      <c r="A27" s="13" t="s">
        <v>221</v>
      </c>
      <c r="B27" s="14" t="s">
        <v>139</v>
      </c>
      <c r="C27" s="45">
        <v>-3378.7535699999999</v>
      </c>
      <c r="D27" s="15">
        <v>-3111.4144900000001</v>
      </c>
      <c r="E27" s="15">
        <f>IF(OR(-3378.75357="",-3111.41449="",-3378.75357=0,-3111.41449=0),"-",-3111.41449/-3378.75357*100)</f>
        <v>92.087641952532223</v>
      </c>
    </row>
    <row r="28" spans="1:5" ht="26.4" x14ac:dyDescent="0.3">
      <c r="A28" s="13" t="s">
        <v>222</v>
      </c>
      <c r="B28" s="14" t="s">
        <v>140</v>
      </c>
      <c r="C28" s="45">
        <v>-4402.4834199999996</v>
      </c>
      <c r="D28" s="15">
        <v>-810.27171999999996</v>
      </c>
      <c r="E28" s="15">
        <f>IF(OR(-4402.48342="",-810.27172="",-4402.48342=0,-810.27172=0),"-",-810.27172/-4402.48342*100)</f>
        <v>18.40487839929219</v>
      </c>
    </row>
    <row r="29" spans="1:5" x14ac:dyDescent="0.3">
      <c r="A29" s="13" t="s">
        <v>223</v>
      </c>
      <c r="B29" s="14" t="s">
        <v>141</v>
      </c>
      <c r="C29" s="45">
        <v>33887.639320000002</v>
      </c>
      <c r="D29" s="15">
        <v>16250.164940000001</v>
      </c>
      <c r="E29" s="15">
        <f>IF(OR(33887.63932="",16250.16494="",33887.63932=0,16250.16494=0),"-",16250.16494/33887.63932*100)</f>
        <v>47.953074531247694</v>
      </c>
    </row>
    <row r="30" spans="1:5" x14ac:dyDescent="0.3">
      <c r="A30" s="13" t="s">
        <v>224</v>
      </c>
      <c r="B30" s="14" t="s">
        <v>142</v>
      </c>
      <c r="C30" s="45">
        <v>-23107.466530000002</v>
      </c>
      <c r="D30" s="15">
        <v>-26459.043699999998</v>
      </c>
      <c r="E30" s="15">
        <f>IF(OR(-23107.46653="",-26459.0437="",-23107.46653=0,-26459.0437=0),"-",-26459.0437/-23107.46653*100)</f>
        <v>114.50430390388624</v>
      </c>
    </row>
    <row r="31" spans="1:5" ht="15.75" customHeight="1" x14ac:dyDescent="0.3">
      <c r="A31" s="11" t="s">
        <v>225</v>
      </c>
      <c r="B31" s="12" t="s">
        <v>143</v>
      </c>
      <c r="C31" s="44">
        <v>-762416.20819999999</v>
      </c>
      <c r="D31" s="16">
        <v>-723997.31720000005</v>
      </c>
      <c r="E31" s="16">
        <f>IF(-762416.2082="","-",-723997.3172/-762416.2082*100)</f>
        <v>94.960903167221005</v>
      </c>
    </row>
    <row r="32" spans="1:5" x14ac:dyDescent="0.3">
      <c r="A32" s="13" t="s">
        <v>226</v>
      </c>
      <c r="B32" s="14" t="s">
        <v>187</v>
      </c>
      <c r="C32" s="45">
        <v>-8210.6646600000004</v>
      </c>
      <c r="D32" s="15">
        <v>-7436.3166499999998</v>
      </c>
      <c r="E32" s="15">
        <f>IF(OR(-8210.66466="",-7436.31665="",-8210.66466=0,-7436.31665=0),"-",-7436.31665/-8210.66466*100)</f>
        <v>90.568997248512645</v>
      </c>
    </row>
    <row r="33" spans="1:5" x14ac:dyDescent="0.3">
      <c r="A33" s="13" t="s">
        <v>227</v>
      </c>
      <c r="B33" s="14" t="s">
        <v>144</v>
      </c>
      <c r="C33" s="45">
        <v>-347309.09904</v>
      </c>
      <c r="D33" s="15">
        <v>-369553.65789999999</v>
      </c>
      <c r="E33" s="15">
        <f>IF(OR(-347309.09904="",-369553.6579="",-347309.09904=0,-369553.6579=0),"-",-369553.6579/-347309.09904*100)</f>
        <v>106.40483042957595</v>
      </c>
    </row>
    <row r="34" spans="1:5" x14ac:dyDescent="0.3">
      <c r="A34" s="13" t="s">
        <v>272</v>
      </c>
      <c r="B34" s="14" t="s">
        <v>188</v>
      </c>
      <c r="C34" s="45">
        <v>-402221.68440999999</v>
      </c>
      <c r="D34" s="15">
        <v>-341781.34406999999</v>
      </c>
      <c r="E34" s="15">
        <f>IF(OR(-402221.68441="",-341781.34407="",-402221.68441=0,-341781.34407=0),"-",-341781.34407/-402221.68441*100)</f>
        <v>84.973375955934088</v>
      </c>
    </row>
    <row r="35" spans="1:5" x14ac:dyDescent="0.3">
      <c r="A35" s="13" t="s">
        <v>277</v>
      </c>
      <c r="B35" s="14" t="s">
        <v>279</v>
      </c>
      <c r="C35" s="45">
        <v>-4674.7600899999998</v>
      </c>
      <c r="D35" s="15">
        <v>-5225.9985800000004</v>
      </c>
      <c r="E35" s="15">
        <f>IF(OR(-4674.76009="",-5225.99858="",-4674.76009=0,-5225.99858=0),"-",-5225.99858/-4674.76009*100)</f>
        <v>111.7918027746318</v>
      </c>
    </row>
    <row r="36" spans="1:5" ht="26.4" x14ac:dyDescent="0.3">
      <c r="A36" s="11" t="s">
        <v>228</v>
      </c>
      <c r="B36" s="12" t="s">
        <v>145</v>
      </c>
      <c r="C36" s="44">
        <v>150323.83824000001</v>
      </c>
      <c r="D36" s="16">
        <v>126444.26594</v>
      </c>
      <c r="E36" s="16">
        <f>IF(150323.83824="","-",126444.26594/150323.83824*100)</f>
        <v>84.114580508598365</v>
      </c>
    </row>
    <row r="37" spans="1:5" x14ac:dyDescent="0.3">
      <c r="A37" s="13" t="s">
        <v>229</v>
      </c>
      <c r="B37" s="14" t="s">
        <v>191</v>
      </c>
      <c r="C37" s="45">
        <v>-913.88310999999999</v>
      </c>
      <c r="D37" s="15">
        <v>-1076.81095</v>
      </c>
      <c r="E37" s="15">
        <f>IF(OR(-913.88311="",-1076.81095="",-913.88311=0,-1076.81095=0),"-",-1076.81095/-913.88311*100)</f>
        <v>117.82808306852286</v>
      </c>
    </row>
    <row r="38" spans="1:5" ht="14.25" customHeight="1" x14ac:dyDescent="0.3">
      <c r="A38" s="13" t="s">
        <v>230</v>
      </c>
      <c r="B38" s="14" t="s">
        <v>146</v>
      </c>
      <c r="C38" s="45">
        <v>152321.59538000001</v>
      </c>
      <c r="D38" s="15">
        <v>128694.2542</v>
      </c>
      <c r="E38" s="15">
        <f>IF(OR(152321.59538="",128694.2542="",152321.59538=0,128694.2542=0),"-",128694.2542/152321.59538*100)</f>
        <v>84.488515156989806</v>
      </c>
    </row>
    <row r="39" spans="1:5" ht="40.5" customHeight="1" x14ac:dyDescent="0.3">
      <c r="A39" s="13" t="s">
        <v>231</v>
      </c>
      <c r="B39" s="14" t="s">
        <v>189</v>
      </c>
      <c r="C39" s="45">
        <v>-1083.8740299999999</v>
      </c>
      <c r="D39" s="15">
        <v>-1173.17731</v>
      </c>
      <c r="E39" s="15">
        <f>IF(OR(-1083.87403="",-1173.17731="",-1083.87403=0,-1173.17731=0),"-",-1173.17731/-1083.87403*100)</f>
        <v>108.23926743590306</v>
      </c>
    </row>
    <row r="40" spans="1:5" ht="15" customHeight="1" x14ac:dyDescent="0.3">
      <c r="A40" s="11" t="s">
        <v>232</v>
      </c>
      <c r="B40" s="12" t="s">
        <v>147</v>
      </c>
      <c r="C40" s="44">
        <v>-440511.34662000003</v>
      </c>
      <c r="D40" s="16">
        <v>-440497.01819999999</v>
      </c>
      <c r="E40" s="16">
        <f>IF(-440511.34662="","-",-440497.0182/-440511.34662*100)</f>
        <v>99.996747321014539</v>
      </c>
    </row>
    <row r="41" spans="1:5" x14ac:dyDescent="0.3">
      <c r="A41" s="13" t="s">
        <v>233</v>
      </c>
      <c r="B41" s="14" t="s">
        <v>23</v>
      </c>
      <c r="C41" s="45">
        <v>14640.134609999999</v>
      </c>
      <c r="D41" s="15">
        <v>5524.1607100000001</v>
      </c>
      <c r="E41" s="15">
        <f>IF(OR(14640.13461="",5524.16071="",14640.13461=0,5524.16071=0),"-",5524.16071/14640.13461*100)</f>
        <v>37.732991240577128</v>
      </c>
    </row>
    <row r="42" spans="1:5" x14ac:dyDescent="0.3">
      <c r="A42" s="13" t="s">
        <v>234</v>
      </c>
      <c r="B42" s="14" t="s">
        <v>24</v>
      </c>
      <c r="C42" s="45">
        <v>-10080.48086</v>
      </c>
      <c r="D42" s="15">
        <v>-12040.840840000001</v>
      </c>
      <c r="E42" s="15">
        <f>IF(OR(-10080.48086="",-12040.84084="",-10080.48086=0,-12040.84084=0),"-",-12040.84084/-10080.48086*100)</f>
        <v>119.44708796361925</v>
      </c>
    </row>
    <row r="43" spans="1:5" x14ac:dyDescent="0.3">
      <c r="A43" s="13" t="s">
        <v>235</v>
      </c>
      <c r="B43" s="14" t="s">
        <v>148</v>
      </c>
      <c r="C43" s="45">
        <v>-17093.775389999999</v>
      </c>
      <c r="D43" s="15">
        <v>-16427.810600000001</v>
      </c>
      <c r="E43" s="15">
        <f>IF(OR(-17093.77539="",-16427.8106="",-17093.77539=0,-16427.8106=0),"-",-16427.8106/-17093.77539*100)</f>
        <v>96.104050891006835</v>
      </c>
    </row>
    <row r="44" spans="1:5" x14ac:dyDescent="0.3">
      <c r="A44" s="13" t="s">
        <v>236</v>
      </c>
      <c r="B44" s="14" t="s">
        <v>149</v>
      </c>
      <c r="C44" s="45">
        <v>-107201.34751000001</v>
      </c>
      <c r="D44" s="15">
        <v>-107808.84871999999</v>
      </c>
      <c r="E44" s="15">
        <f>IF(OR(-107201.34751="",-107808.84872="",-107201.34751=0,-107808.84872=0),"-",-107808.84872/-107201.34751*100)</f>
        <v>100.56669176657813</v>
      </c>
    </row>
    <row r="45" spans="1:5" ht="28.5" customHeight="1" x14ac:dyDescent="0.3">
      <c r="A45" s="13" t="s">
        <v>237</v>
      </c>
      <c r="B45" s="14" t="s">
        <v>150</v>
      </c>
      <c r="C45" s="45">
        <v>-53257.093520000002</v>
      </c>
      <c r="D45" s="15">
        <v>-60553.75778</v>
      </c>
      <c r="E45" s="15">
        <f>IF(OR(-53257.09352="",-60553.75778="",-53257.09352=0,-60553.75778=0),"-",-60553.75778/-53257.09352*100)</f>
        <v>113.70083077714301</v>
      </c>
    </row>
    <row r="46" spans="1:5" x14ac:dyDescent="0.3">
      <c r="A46" s="13" t="s">
        <v>238</v>
      </c>
      <c r="B46" s="14" t="s">
        <v>151</v>
      </c>
      <c r="C46" s="45">
        <v>-79531.303150000007</v>
      </c>
      <c r="D46" s="15">
        <v>-80592.710709999999</v>
      </c>
      <c r="E46" s="15">
        <f>IF(OR(-79531.30315="",-80592.71071="",-79531.30315=0,-80592.71071=0),"-",-80592.71071/-79531.30315*100)</f>
        <v>101.33457835840829</v>
      </c>
    </row>
    <row r="47" spans="1:5" x14ac:dyDescent="0.3">
      <c r="A47" s="13" t="s">
        <v>239</v>
      </c>
      <c r="B47" s="14" t="s">
        <v>25</v>
      </c>
      <c r="C47" s="45">
        <v>-28665.554069999998</v>
      </c>
      <c r="D47" s="15">
        <v>-20518.58958</v>
      </c>
      <c r="E47" s="15">
        <f>IF(OR(-28665.55407="",-20518.58958="",-28665.55407=0,-20518.58958=0),"-",-20518.58958/-28665.55407*100)</f>
        <v>71.579253378094577</v>
      </c>
    </row>
    <row r="48" spans="1:5" x14ac:dyDescent="0.3">
      <c r="A48" s="13" t="s">
        <v>240</v>
      </c>
      <c r="B48" s="14" t="s">
        <v>26</v>
      </c>
      <c r="C48" s="45">
        <v>-56648.258419999998</v>
      </c>
      <c r="D48" s="15">
        <v>-52986.160940000002</v>
      </c>
      <c r="E48" s="15">
        <f>IF(OR(-56648.25842="",-52986.16094="",-56648.25842=0,-52986.16094=0),"-",-52986.16094/-56648.25842*100)</f>
        <v>93.535374992733992</v>
      </c>
    </row>
    <row r="49" spans="1:5" x14ac:dyDescent="0.3">
      <c r="A49" s="13" t="s">
        <v>241</v>
      </c>
      <c r="B49" s="14" t="s">
        <v>152</v>
      </c>
      <c r="C49" s="45">
        <v>-102673.66830999999</v>
      </c>
      <c r="D49" s="15">
        <v>-95092.459740000006</v>
      </c>
      <c r="E49" s="15">
        <f>IF(OR(-102673.66831="",-95092.45974="",-102673.66831=0,-95092.45974=0),"-",-95092.45974/-102673.66831*100)</f>
        <v>92.616209496761883</v>
      </c>
    </row>
    <row r="50" spans="1:5" ht="26.4" x14ac:dyDescent="0.3">
      <c r="A50" s="11" t="s">
        <v>242</v>
      </c>
      <c r="B50" s="12" t="s">
        <v>304</v>
      </c>
      <c r="C50" s="44">
        <v>-406557.81517999998</v>
      </c>
      <c r="D50" s="16">
        <v>-352096.94228999998</v>
      </c>
      <c r="E50" s="16">
        <f>IF(-406557.81518="","-",-352096.94229/-406557.81518*100)</f>
        <v>86.604396507323827</v>
      </c>
    </row>
    <row r="51" spans="1:5" x14ac:dyDescent="0.3">
      <c r="A51" s="13" t="s">
        <v>243</v>
      </c>
      <c r="B51" s="14" t="s">
        <v>153</v>
      </c>
      <c r="C51" s="45">
        <v>-22003.089319999999</v>
      </c>
      <c r="D51" s="15">
        <v>-18458.11996</v>
      </c>
      <c r="E51" s="15">
        <f>IF(OR(-22003.08932="",-18458.11996="",-22003.08932=0,-18458.11996=0),"-",-18458.11996/-22003.08932*100)</f>
        <v>83.888765307252783</v>
      </c>
    </row>
    <row r="52" spans="1:5" x14ac:dyDescent="0.3">
      <c r="A52" s="13" t="s">
        <v>244</v>
      </c>
      <c r="B52" s="14" t="s">
        <v>27</v>
      </c>
      <c r="C52" s="45">
        <v>-33603.727639999997</v>
      </c>
      <c r="D52" s="15">
        <v>-28192.25794</v>
      </c>
      <c r="E52" s="15">
        <f>IF(OR(-33603.72764="",-28192.25794="",-33603.72764=0,-28192.25794=0),"-",-28192.25794/-33603.72764*100)</f>
        <v>83.896221996638005</v>
      </c>
    </row>
    <row r="53" spans="1:5" x14ac:dyDescent="0.3">
      <c r="A53" s="13" t="s">
        <v>245</v>
      </c>
      <c r="B53" s="14" t="s">
        <v>154</v>
      </c>
      <c r="C53" s="45">
        <v>-28645.22766</v>
      </c>
      <c r="D53" s="15">
        <v>-28406.85167</v>
      </c>
      <c r="E53" s="15">
        <f>IF(OR(-28645.22766="",-28406.85167="",-28645.22766=0,-28406.85167=0),"-",-28406.85167/-28645.22766*100)</f>
        <v>99.16783349453749</v>
      </c>
    </row>
    <row r="54" spans="1:5" ht="26.4" x14ac:dyDescent="0.3">
      <c r="A54" s="13" t="s">
        <v>246</v>
      </c>
      <c r="B54" s="14" t="s">
        <v>155</v>
      </c>
      <c r="C54" s="45">
        <v>-49262.826760000004</v>
      </c>
      <c r="D54" s="15">
        <v>-41717.847379999999</v>
      </c>
      <c r="E54" s="15">
        <f>IF(OR(-49262.82676="",-41717.84738="",-49262.82676=0,-41717.84738=0),"-",-41717.84738/-49262.82676*100)</f>
        <v>84.684233779848157</v>
      </c>
    </row>
    <row r="55" spans="1:5" ht="26.4" x14ac:dyDescent="0.3">
      <c r="A55" s="13" t="s">
        <v>247</v>
      </c>
      <c r="B55" s="14" t="s">
        <v>156</v>
      </c>
      <c r="C55" s="45">
        <v>-99009.032489999998</v>
      </c>
      <c r="D55" s="15">
        <v>-91808.488589999994</v>
      </c>
      <c r="E55" s="15">
        <f>IF(OR(-99009.03249="",-91808.48859="",-99009.03249=0,-91808.48859=0),"-",-91808.48859/-99009.03249*100)</f>
        <v>92.727386866721204</v>
      </c>
    </row>
    <row r="56" spans="1:5" x14ac:dyDescent="0.3">
      <c r="A56" s="13" t="s">
        <v>248</v>
      </c>
      <c r="B56" s="14" t="s">
        <v>28</v>
      </c>
      <c r="C56" s="45">
        <v>-24498.206870000002</v>
      </c>
      <c r="D56" s="15">
        <v>-20070.170829999999</v>
      </c>
      <c r="E56" s="15">
        <f>IF(OR(-24498.20687="",-20070.17083="",-24498.20687=0,-20070.17083=0),"-",-20070.17083/-24498.20687*100)</f>
        <v>81.925060623834938</v>
      </c>
    </row>
    <row r="57" spans="1:5" x14ac:dyDescent="0.3">
      <c r="A57" s="13" t="s">
        <v>249</v>
      </c>
      <c r="B57" s="14" t="s">
        <v>157</v>
      </c>
      <c r="C57" s="45">
        <v>-76661.312839999999</v>
      </c>
      <c r="D57" s="15">
        <v>-49652.83956</v>
      </c>
      <c r="E57" s="15">
        <f>IF(OR(-76661.31284="",-49652.83956="",-76661.31284=0,-49652.83956=0),"-",-49652.83956/-76661.31284*100)</f>
        <v>64.76909632845782</v>
      </c>
    </row>
    <row r="58" spans="1:5" x14ac:dyDescent="0.3">
      <c r="A58" s="13" t="s">
        <v>250</v>
      </c>
      <c r="B58" s="14" t="s">
        <v>29</v>
      </c>
      <c r="C58" s="45">
        <v>-12964.387419999999</v>
      </c>
      <c r="D58" s="15">
        <v>-13230.379929999999</v>
      </c>
      <c r="E58" s="15">
        <f>IF(OR(-12964.38742="",-13230.37993="",-12964.38742=0,-13230.37993=0),"-",-13230.37993/-12964.38742*100)</f>
        <v>102.05171676364482</v>
      </c>
    </row>
    <row r="59" spans="1:5" x14ac:dyDescent="0.3">
      <c r="A59" s="13" t="s">
        <v>251</v>
      </c>
      <c r="B59" s="14" t="s">
        <v>30</v>
      </c>
      <c r="C59" s="45">
        <v>-59910.004180000004</v>
      </c>
      <c r="D59" s="15">
        <v>-60559.986429999997</v>
      </c>
      <c r="E59" s="15">
        <f>IF(OR(-59910.00418="",-60559.98643="",-59910.00418=0,-60559.98643=0),"-",-60559.98643/-59910.00418*100)</f>
        <v>101.08493107102299</v>
      </c>
    </row>
    <row r="60" spans="1:5" x14ac:dyDescent="0.3">
      <c r="A60" s="11" t="s">
        <v>252</v>
      </c>
      <c r="B60" s="12" t="s">
        <v>158</v>
      </c>
      <c r="C60" s="44">
        <v>-466724.19368000003</v>
      </c>
      <c r="D60" s="16">
        <v>-484112.10294999997</v>
      </c>
      <c r="E60" s="16">
        <f>IF(-466724.19368="","-",-484112.10295/-466724.19368*100)</f>
        <v>103.72552130475619</v>
      </c>
    </row>
    <row r="61" spans="1:5" ht="16.5" customHeight="1" x14ac:dyDescent="0.3">
      <c r="A61" s="13" t="s">
        <v>253</v>
      </c>
      <c r="B61" s="14" t="s">
        <v>159</v>
      </c>
      <c r="C61" s="45">
        <v>-10678.116620000001</v>
      </c>
      <c r="D61" s="15">
        <v>-17468.890149999999</v>
      </c>
      <c r="E61" s="15" t="s">
        <v>100</v>
      </c>
    </row>
    <row r="62" spans="1:5" ht="15" customHeight="1" x14ac:dyDescent="0.3">
      <c r="A62" s="13" t="s">
        <v>254</v>
      </c>
      <c r="B62" s="14" t="s">
        <v>160</v>
      </c>
      <c r="C62" s="45">
        <v>-120296.35385</v>
      </c>
      <c r="D62" s="15">
        <v>-76199.511129999999</v>
      </c>
      <c r="E62" s="15">
        <f>IF(OR(-120296.35385="",-76199.51113="",-120296.35385=0,-76199.51113=0),"-",-76199.51113/-120296.35385*100)</f>
        <v>63.343159365424107</v>
      </c>
    </row>
    <row r="63" spans="1:5" x14ac:dyDescent="0.3">
      <c r="A63" s="13" t="s">
        <v>255</v>
      </c>
      <c r="B63" s="14" t="s">
        <v>161</v>
      </c>
      <c r="C63" s="45">
        <v>-3370.4467199999999</v>
      </c>
      <c r="D63" s="15">
        <v>-4976.6838799999996</v>
      </c>
      <c r="E63" s="15">
        <f>IF(OR(-3370.44672="",-4976.68388="",-3370.44672=0,-4976.68388=0),"-",-4976.68388/-3370.44672*100)</f>
        <v>147.65650649418959</v>
      </c>
    </row>
    <row r="64" spans="1:5" ht="26.4" x14ac:dyDescent="0.3">
      <c r="A64" s="13" t="s">
        <v>256</v>
      </c>
      <c r="B64" s="14" t="s">
        <v>162</v>
      </c>
      <c r="C64" s="45">
        <v>-85017.064920000004</v>
      </c>
      <c r="D64" s="15">
        <v>-80353.035810000001</v>
      </c>
      <c r="E64" s="15">
        <f>IF(OR(-85017.06492="",-80353.03581="",-85017.06492=0,-80353.03581=0),"-",-80353.03581/-85017.06492*100)</f>
        <v>94.514008317755042</v>
      </c>
    </row>
    <row r="65" spans="1:5" ht="27.75" customHeight="1" x14ac:dyDescent="0.3">
      <c r="A65" s="13" t="s">
        <v>257</v>
      </c>
      <c r="B65" s="14" t="s">
        <v>163</v>
      </c>
      <c r="C65" s="45">
        <v>-34550.732839999997</v>
      </c>
      <c r="D65" s="15">
        <v>-29588.682239999998</v>
      </c>
      <c r="E65" s="15">
        <f>IF(OR(-34550.73284="",-29588.68224="",-34550.73284=0,-29588.68224=0),"-",-29588.68224/-34550.73284*100)</f>
        <v>85.638363669509943</v>
      </c>
    </row>
    <row r="66" spans="1:5" ht="29.25" customHeight="1" x14ac:dyDescent="0.3">
      <c r="A66" s="13" t="s">
        <v>258</v>
      </c>
      <c r="B66" s="14" t="s">
        <v>164</v>
      </c>
      <c r="C66" s="45">
        <v>-67576.309680000006</v>
      </c>
      <c r="D66" s="15">
        <v>-84602.493579999995</v>
      </c>
      <c r="E66" s="15">
        <f>IF(OR(-67576.30968="",-84602.49358="",-67576.30968=0,-84602.49358=0),"-",-84602.49358/-67576.30968*100)</f>
        <v>125.19549229696851</v>
      </c>
    </row>
    <row r="67" spans="1:5" ht="15" customHeight="1" x14ac:dyDescent="0.3">
      <c r="A67" s="13" t="s">
        <v>259</v>
      </c>
      <c r="B67" s="14" t="s">
        <v>165</v>
      </c>
      <c r="C67" s="45">
        <v>11820.214959999999</v>
      </c>
      <c r="D67" s="15">
        <v>-657.37630000000001</v>
      </c>
      <c r="E67" s="15" t="s">
        <v>20</v>
      </c>
    </row>
    <row r="68" spans="1:5" x14ac:dyDescent="0.3">
      <c r="A68" s="13" t="s">
        <v>260</v>
      </c>
      <c r="B68" s="14" t="s">
        <v>166</v>
      </c>
      <c r="C68" s="45">
        <v>-153920.99267000001</v>
      </c>
      <c r="D68" s="15">
        <v>-191482.28836999999</v>
      </c>
      <c r="E68" s="15">
        <f>IF(OR(-153920.99267="",-191482.28837="",-153920.99267=0,-191482.28837=0),"-",-191482.28837/-153920.99267*100)</f>
        <v>124.40297132213134</v>
      </c>
    </row>
    <row r="69" spans="1:5" x14ac:dyDescent="0.3">
      <c r="A69" s="13" t="s">
        <v>261</v>
      </c>
      <c r="B69" s="14" t="s">
        <v>31</v>
      </c>
      <c r="C69" s="45">
        <v>-3134.3913400000001</v>
      </c>
      <c r="D69" s="15">
        <v>1216.85851</v>
      </c>
      <c r="E69" s="15" t="s">
        <v>20</v>
      </c>
    </row>
    <row r="70" spans="1:5" x14ac:dyDescent="0.3">
      <c r="A70" s="11" t="s">
        <v>262</v>
      </c>
      <c r="B70" s="12" t="s">
        <v>32</v>
      </c>
      <c r="C70" s="44">
        <v>-50493.982109999997</v>
      </c>
      <c r="D70" s="16">
        <v>-78734.074529999998</v>
      </c>
      <c r="E70" s="16">
        <f>IF(-50493.98211="","-",-78734.07453/-50493.98211*100)</f>
        <v>155.92763976998211</v>
      </c>
    </row>
    <row r="71" spans="1:5" ht="26.4" x14ac:dyDescent="0.3">
      <c r="A71" s="13" t="s">
        <v>263</v>
      </c>
      <c r="B71" s="14" t="s">
        <v>192</v>
      </c>
      <c r="C71" s="45">
        <v>-17761.568309999999</v>
      </c>
      <c r="D71" s="15">
        <v>-11627.303099999999</v>
      </c>
      <c r="E71" s="15">
        <f>IF(OR(-17761.56831="",-11627.3031="",-17761.56831=0,-11627.3031=0),"-",-11627.3031/-17761.56831*100)</f>
        <v>65.463268203932614</v>
      </c>
    </row>
    <row r="72" spans="1:5" x14ac:dyDescent="0.3">
      <c r="A72" s="13" t="s">
        <v>264</v>
      </c>
      <c r="B72" s="14" t="s">
        <v>167</v>
      </c>
      <c r="C72" s="45">
        <v>33372.168510000003</v>
      </c>
      <c r="D72" s="15">
        <v>34732.790800000002</v>
      </c>
      <c r="E72" s="15">
        <f>IF(OR(33372.16851="",34732.7908="",33372.16851=0,34732.7908=0),"-",34732.7908/33372.16851*100)</f>
        <v>104.07711680345942</v>
      </c>
    </row>
    <row r="73" spans="1:5" x14ac:dyDescent="0.3">
      <c r="A73" s="13" t="s">
        <v>265</v>
      </c>
      <c r="B73" s="14" t="s">
        <v>168</v>
      </c>
      <c r="C73" s="45">
        <v>-147.51140000000001</v>
      </c>
      <c r="D73" s="15">
        <v>-1060.79792</v>
      </c>
      <c r="E73" s="15" t="s">
        <v>347</v>
      </c>
    </row>
    <row r="74" spans="1:5" x14ac:dyDescent="0.3">
      <c r="A74" s="13" t="s">
        <v>266</v>
      </c>
      <c r="B74" s="14" t="s">
        <v>169</v>
      </c>
      <c r="C74" s="45">
        <v>43902.245150000002</v>
      </c>
      <c r="D74" s="15">
        <v>37180.093070000003</v>
      </c>
      <c r="E74" s="15">
        <f>IF(OR(43902.24515="",37180.09307="",43902.24515=0,37180.09307=0),"-",37180.09307/43902.24515*100)</f>
        <v>84.688363756722367</v>
      </c>
    </row>
    <row r="75" spans="1:5" x14ac:dyDescent="0.3">
      <c r="A75" s="13" t="s">
        <v>267</v>
      </c>
      <c r="B75" s="14" t="s">
        <v>170</v>
      </c>
      <c r="C75" s="45">
        <v>-7631.1862199999996</v>
      </c>
      <c r="D75" s="15">
        <v>-11528.48415</v>
      </c>
      <c r="E75" s="15">
        <f>IF(OR(-7631.18622="",-11528.48415="",-7631.18622=0,-11528.48415=0),"-",-11528.48415/-7631.18622*100)</f>
        <v>151.0706699803219</v>
      </c>
    </row>
    <row r="76" spans="1:5" x14ac:dyDescent="0.3">
      <c r="A76" s="13" t="s">
        <v>268</v>
      </c>
      <c r="B76" s="14" t="s">
        <v>314</v>
      </c>
      <c r="C76" s="45">
        <v>-18408.938709999999</v>
      </c>
      <c r="D76" s="15">
        <v>-21733.722519999999</v>
      </c>
      <c r="E76" s="15">
        <f>IF(OR(-18408.93871="",-21733.72252="",-18408.93871=0,-21733.72252=0),"-",-21733.72252/-18408.93871*100)</f>
        <v>118.06070334838982</v>
      </c>
    </row>
    <row r="77" spans="1:5" ht="26.4" x14ac:dyDescent="0.3">
      <c r="A77" s="13" t="s">
        <v>269</v>
      </c>
      <c r="B77" s="14" t="s">
        <v>171</v>
      </c>
      <c r="C77" s="45">
        <v>-3657.8245400000001</v>
      </c>
      <c r="D77" s="15">
        <v>-4689.3127199999999</v>
      </c>
      <c r="E77" s="15">
        <f>IF(OR(-3657.82454="",-4689.31272="",-3657.82454=0,-4689.31272=0),"-",-4689.31272/-3657.82454*100)</f>
        <v>128.19949860142827</v>
      </c>
    </row>
    <row r="78" spans="1:5" x14ac:dyDescent="0.3">
      <c r="A78" s="13" t="s">
        <v>270</v>
      </c>
      <c r="B78" s="14" t="s">
        <v>33</v>
      </c>
      <c r="C78" s="45">
        <v>-80161.366590000005</v>
      </c>
      <c r="D78" s="15">
        <v>-100007.33799</v>
      </c>
      <c r="E78" s="15">
        <f>IF(OR(-80161.36659="",-100007.33799="",-80161.36659=0,-100007.33799=0),"-",-100007.33799/-80161.36659*100)</f>
        <v>124.75752628009182</v>
      </c>
    </row>
    <row r="79" spans="1:5" x14ac:dyDescent="0.3">
      <c r="A79" s="56" t="s">
        <v>273</v>
      </c>
      <c r="B79" s="53" t="s">
        <v>172</v>
      </c>
      <c r="C79" s="57">
        <v>-10067.916939999999</v>
      </c>
      <c r="D79" s="55">
        <v>319.88261999999997</v>
      </c>
      <c r="E79" s="55" t="s">
        <v>20</v>
      </c>
    </row>
    <row r="80" spans="1:5" x14ac:dyDescent="0.3">
      <c r="A80" s="19" t="s">
        <v>276</v>
      </c>
      <c r="B80" s="20"/>
    </row>
    <row r="81" spans="3:5" x14ac:dyDescent="0.3">
      <c r="C81" s="15"/>
      <c r="D81" s="15"/>
      <c r="E81" s="22"/>
    </row>
    <row r="82" spans="3:5" x14ac:dyDescent="0.3">
      <c r="C82" s="15"/>
      <c r="D82" s="15"/>
      <c r="E82" s="22"/>
    </row>
  </sheetData>
  <mergeCells count="3">
    <mergeCell ref="B1:E1"/>
    <mergeCell ref="B2:E2"/>
    <mergeCell ref="A3:E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2023-07-13T08:29:29Z</cp:lastPrinted>
  <dcterms:created xsi:type="dcterms:W3CDTF">2016-09-01T07:59:47Z</dcterms:created>
  <dcterms:modified xsi:type="dcterms:W3CDTF">2023-07-15T10:35:11Z</dcterms:modified>
</cp:coreProperties>
</file>