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rinaVicol\Desktop\COM_EXT\"/>
    </mc:Choice>
  </mc:AlternateContent>
  <xr:revisionPtr revIDLastSave="0" documentId="13_ncr:1_{45AE24C5-01B2-4E82-A60C-D4C6346E5CE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. Export_Tari" sheetId="1" r:id="rId1"/>
    <sheet name="2. Import_Tari" sheetId="2" r:id="rId2"/>
    <sheet name="3. Balanta Comerciala_Tari" sheetId="3" r:id="rId3"/>
    <sheet name="4. Export_Moduri_Transport" sheetId="7" r:id="rId4"/>
    <sheet name="5. Import_Moduri_Transport" sheetId="8" r:id="rId5"/>
    <sheet name="6. Export_Grupe_Marfuri_CSCI" sheetId="5" r:id="rId6"/>
    <sheet name="7. Import_Grupe_Marfuri_CSCI" sheetId="6" r:id="rId7"/>
    <sheet name="8. Balanta_Comerciala_CSCI" sheetId="4" r:id="rId8"/>
  </sheets>
  <definedNames>
    <definedName name="_xlnm.Print_Titles" localSheetId="0">'1. Export_Tari'!$3:$4</definedName>
    <definedName name="_xlnm.Print_Titles" localSheetId="1">'2. Import_Tari'!$3:$4</definedName>
    <definedName name="_xlnm.Print_Titles" localSheetId="2">'3. Balanta Comerciala_Tari'!$3:$4</definedName>
    <definedName name="_xlnm.Print_Titles" localSheetId="5">'6. Export_Grupe_Marfuri_CSCI'!$4:$5</definedName>
    <definedName name="_xlnm.Print_Titles" localSheetId="6">'7. Import_Grupe_Marfuri_CSCI'!$4:$5</definedName>
    <definedName name="_xlnm.Print_Titles" localSheetId="7">'8. Balanta_Comerciala_CSCI'!$4:$4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3" l="1"/>
  <c r="D35" i="3" l="1"/>
  <c r="D7" i="8"/>
  <c r="D8" i="8"/>
  <c r="D9" i="8"/>
  <c r="D10" i="8"/>
  <c r="D11" i="8"/>
  <c r="D12" i="8"/>
  <c r="D13" i="8"/>
  <c r="D14" i="8"/>
  <c r="D16" i="8"/>
  <c r="D17" i="8"/>
  <c r="D18" i="8"/>
  <c r="D19" i="8"/>
  <c r="D20" i="8"/>
  <c r="D22" i="8"/>
  <c r="D23" i="8"/>
  <c r="D25" i="8"/>
  <c r="D26" i="8"/>
  <c r="D27" i="8"/>
  <c r="D28" i="8"/>
  <c r="D29" i="8"/>
  <c r="D30" i="8"/>
  <c r="D31" i="8"/>
  <c r="D32" i="8"/>
  <c r="D34" i="8"/>
  <c r="D36" i="8"/>
  <c r="D37" i="8"/>
  <c r="D38" i="8"/>
  <c r="D39" i="8"/>
  <c r="D5" i="8"/>
  <c r="D7" i="7"/>
  <c r="D8" i="7"/>
  <c r="D9" i="7"/>
  <c r="D10" i="7"/>
  <c r="D11" i="7"/>
  <c r="D14" i="7"/>
  <c r="D16" i="7"/>
  <c r="D17" i="7"/>
  <c r="D18" i="7"/>
  <c r="D19" i="7"/>
  <c r="D20" i="7"/>
  <c r="D22" i="7"/>
  <c r="D23" i="7"/>
  <c r="D26" i="7"/>
  <c r="D27" i="7"/>
  <c r="D28" i="7"/>
  <c r="D29" i="7"/>
  <c r="D30" i="7"/>
  <c r="D32" i="7"/>
  <c r="D34" i="7"/>
  <c r="D35" i="7"/>
  <c r="D36" i="7"/>
  <c r="D37" i="7"/>
  <c r="D38" i="7"/>
  <c r="D5" i="7"/>
  <c r="H35" i="2" l="1"/>
  <c r="G35" i="2"/>
  <c r="F35" i="2"/>
  <c r="E35" i="2"/>
  <c r="D35" i="2"/>
  <c r="H5" i="2"/>
  <c r="G5" i="2"/>
  <c r="D5" i="2"/>
  <c r="D115" i="1" l="1"/>
  <c r="D113" i="1"/>
  <c r="D111" i="1"/>
  <c r="D110" i="1"/>
  <c r="D108" i="1"/>
  <c r="D106" i="1"/>
  <c r="D105" i="1"/>
  <c r="D104" i="1"/>
  <c r="D102" i="1"/>
  <c r="D101" i="1"/>
  <c r="D100" i="1"/>
  <c r="D98" i="1"/>
  <c r="D94" i="1"/>
  <c r="D93" i="1"/>
  <c r="D92" i="1"/>
  <c r="D91" i="1"/>
  <c r="D89" i="1"/>
  <c r="D87" i="1"/>
  <c r="D85" i="1"/>
  <c r="D84" i="1"/>
  <c r="D83" i="1"/>
  <c r="D82" i="1"/>
  <c r="D81" i="1"/>
  <c r="D80" i="1"/>
  <c r="D79" i="1"/>
  <c r="D78" i="1"/>
  <c r="D76" i="1"/>
  <c r="D75" i="1"/>
  <c r="D74" i="1"/>
  <c r="D72" i="1"/>
  <c r="D71" i="1"/>
  <c r="D65" i="1"/>
  <c r="D64" i="1"/>
  <c r="D63" i="1"/>
  <c r="D61" i="1"/>
  <c r="D59" i="1"/>
  <c r="D58" i="1"/>
  <c r="D57" i="1"/>
  <c r="D56" i="1"/>
  <c r="D54" i="1"/>
  <c r="D53" i="1"/>
  <c r="D51" i="1"/>
  <c r="D49" i="1"/>
  <c r="D48" i="1"/>
  <c r="D47" i="1"/>
  <c r="D46" i="1"/>
  <c r="D44" i="1"/>
  <c r="D41" i="1"/>
  <c r="D38" i="1"/>
  <c r="D37" i="1"/>
  <c r="D36" i="1"/>
  <c r="D35" i="1"/>
  <c r="D34" i="1"/>
  <c r="D32" i="1"/>
  <c r="D30" i="1"/>
  <c r="D29" i="1"/>
  <c r="D28" i="1"/>
  <c r="D27" i="1"/>
  <c r="D26" i="1"/>
  <c r="D23" i="1"/>
  <c r="D22" i="1"/>
  <c r="D21" i="1"/>
  <c r="D20" i="1"/>
  <c r="D18" i="1"/>
  <c r="D17" i="1"/>
  <c r="D16" i="1"/>
  <c r="D15" i="1"/>
  <c r="D13" i="1"/>
  <c r="D12" i="1"/>
  <c r="D11" i="1"/>
  <c r="D10" i="1"/>
  <c r="D9" i="1"/>
  <c r="D8" i="1"/>
  <c r="D7" i="1"/>
  <c r="D5" i="1"/>
  <c r="E79" i="4" l="1"/>
  <c r="E78" i="4"/>
  <c r="E77" i="4"/>
  <c r="E75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8" i="4"/>
  <c r="E27" i="4"/>
  <c r="E26" i="4"/>
  <c r="E25" i="4"/>
  <c r="E24" i="4"/>
  <c r="E23" i="4"/>
  <c r="E22" i="4"/>
  <c r="E21" i="4"/>
  <c r="E20" i="4"/>
  <c r="E19" i="4"/>
  <c r="E18" i="4"/>
  <c r="E16" i="4"/>
  <c r="E14" i="4"/>
  <c r="E13" i="4"/>
  <c r="E12" i="4"/>
  <c r="E11" i="4"/>
  <c r="E10" i="4"/>
  <c r="E9" i="4"/>
  <c r="E6" i="4"/>
  <c r="I79" i="6"/>
  <c r="H79" i="6"/>
  <c r="G79" i="6"/>
  <c r="F79" i="6"/>
  <c r="E79" i="6"/>
  <c r="I78" i="6"/>
  <c r="H78" i="6"/>
  <c r="G78" i="6"/>
  <c r="F78" i="6"/>
  <c r="E78" i="6"/>
  <c r="I77" i="6"/>
  <c r="H77" i="6"/>
  <c r="G77" i="6"/>
  <c r="F77" i="6"/>
  <c r="E77" i="6"/>
  <c r="I76" i="6"/>
  <c r="H76" i="6"/>
  <c r="G76" i="6"/>
  <c r="F76" i="6"/>
  <c r="E76" i="6"/>
  <c r="I75" i="6"/>
  <c r="H75" i="6"/>
  <c r="G75" i="6"/>
  <c r="F75" i="6"/>
  <c r="E75" i="6"/>
  <c r="I74" i="6"/>
  <c r="H74" i="6"/>
  <c r="G74" i="6"/>
  <c r="F74" i="6"/>
  <c r="E74" i="6"/>
  <c r="I73" i="6"/>
  <c r="H73" i="6"/>
  <c r="G73" i="6"/>
  <c r="F73" i="6"/>
  <c r="E73" i="6"/>
  <c r="I72" i="6"/>
  <c r="H72" i="6"/>
  <c r="G72" i="6"/>
  <c r="F72" i="6"/>
  <c r="E72" i="6"/>
  <c r="I71" i="6"/>
  <c r="H71" i="6"/>
  <c r="G71" i="6"/>
  <c r="F71" i="6"/>
  <c r="E71" i="6"/>
  <c r="I70" i="6"/>
  <c r="H70" i="6"/>
  <c r="G70" i="6"/>
  <c r="F70" i="6"/>
  <c r="E70" i="6"/>
  <c r="I69" i="6"/>
  <c r="H69" i="6"/>
  <c r="G69" i="6"/>
  <c r="F69" i="6"/>
  <c r="E69" i="6"/>
  <c r="I68" i="6"/>
  <c r="H68" i="6"/>
  <c r="G68" i="6"/>
  <c r="F68" i="6"/>
  <c r="E68" i="6"/>
  <c r="I67" i="6"/>
  <c r="H67" i="6"/>
  <c r="G67" i="6"/>
  <c r="F67" i="6"/>
  <c r="E67" i="6"/>
  <c r="I66" i="6"/>
  <c r="H66" i="6"/>
  <c r="G66" i="6"/>
  <c r="F66" i="6"/>
  <c r="E66" i="6"/>
  <c r="I65" i="6"/>
  <c r="H65" i="6"/>
  <c r="G65" i="6"/>
  <c r="F65" i="6"/>
  <c r="E65" i="6"/>
  <c r="I64" i="6"/>
  <c r="H64" i="6"/>
  <c r="G64" i="6"/>
  <c r="F64" i="6"/>
  <c r="E64" i="6"/>
  <c r="I63" i="6"/>
  <c r="H63" i="6"/>
  <c r="G63" i="6"/>
  <c r="F63" i="6"/>
  <c r="E63" i="6"/>
  <c r="I62" i="6"/>
  <c r="H62" i="6"/>
  <c r="G62" i="6"/>
  <c r="F62" i="6"/>
  <c r="E62" i="6"/>
  <c r="I61" i="6"/>
  <c r="H61" i="6"/>
  <c r="G61" i="6"/>
  <c r="F61" i="6"/>
  <c r="E61" i="6"/>
  <c r="I60" i="6"/>
  <c r="H60" i="6"/>
  <c r="G60" i="6"/>
  <c r="F60" i="6"/>
  <c r="E60" i="6"/>
  <c r="I59" i="6"/>
  <c r="H59" i="6"/>
  <c r="G59" i="6"/>
  <c r="F59" i="6"/>
  <c r="E59" i="6"/>
  <c r="I58" i="6"/>
  <c r="H58" i="6"/>
  <c r="G58" i="6"/>
  <c r="F58" i="6"/>
  <c r="E58" i="6"/>
  <c r="I57" i="6"/>
  <c r="H57" i="6"/>
  <c r="G57" i="6"/>
  <c r="F57" i="6"/>
  <c r="E57" i="6"/>
  <c r="I56" i="6"/>
  <c r="H56" i="6"/>
  <c r="G56" i="6"/>
  <c r="F56" i="6"/>
  <c r="E56" i="6"/>
  <c r="I55" i="6"/>
  <c r="H55" i="6"/>
  <c r="G55" i="6"/>
  <c r="F55" i="6"/>
  <c r="E55" i="6"/>
  <c r="I54" i="6"/>
  <c r="H54" i="6"/>
  <c r="G54" i="6"/>
  <c r="F54" i="6"/>
  <c r="E54" i="6"/>
  <c r="I53" i="6"/>
  <c r="H53" i="6"/>
  <c r="G53" i="6"/>
  <c r="F53" i="6"/>
  <c r="E53" i="6"/>
  <c r="I52" i="6"/>
  <c r="H52" i="6"/>
  <c r="G52" i="6"/>
  <c r="F52" i="6"/>
  <c r="E52" i="6"/>
  <c r="I51" i="6"/>
  <c r="H51" i="6"/>
  <c r="G51" i="6"/>
  <c r="F51" i="6"/>
  <c r="E51" i="6"/>
  <c r="I50" i="6"/>
  <c r="H50" i="6"/>
  <c r="G50" i="6"/>
  <c r="F50" i="6"/>
  <c r="E50" i="6"/>
  <c r="I49" i="6"/>
  <c r="H49" i="6"/>
  <c r="G49" i="6"/>
  <c r="F49" i="6"/>
  <c r="E49" i="6"/>
  <c r="I48" i="6"/>
  <c r="H48" i="6"/>
  <c r="G48" i="6"/>
  <c r="F48" i="6"/>
  <c r="E48" i="6"/>
  <c r="I47" i="6"/>
  <c r="H47" i="6"/>
  <c r="G47" i="6"/>
  <c r="F47" i="6"/>
  <c r="E47" i="6"/>
  <c r="I46" i="6"/>
  <c r="H46" i="6"/>
  <c r="G46" i="6"/>
  <c r="F46" i="6"/>
  <c r="E46" i="6"/>
  <c r="I45" i="6"/>
  <c r="H45" i="6"/>
  <c r="G45" i="6"/>
  <c r="F45" i="6"/>
  <c r="E45" i="6"/>
  <c r="I44" i="6"/>
  <c r="H44" i="6"/>
  <c r="G44" i="6"/>
  <c r="F44" i="6"/>
  <c r="E44" i="6"/>
  <c r="I43" i="6"/>
  <c r="H43" i="6"/>
  <c r="G43" i="6"/>
  <c r="F43" i="6"/>
  <c r="E43" i="6"/>
  <c r="I42" i="6"/>
  <c r="H42" i="6"/>
  <c r="G42" i="6"/>
  <c r="F42" i="6"/>
  <c r="E42" i="6"/>
  <c r="I41" i="6"/>
  <c r="H41" i="6"/>
  <c r="G41" i="6"/>
  <c r="F41" i="6"/>
  <c r="E41" i="6"/>
  <c r="I40" i="6"/>
  <c r="H40" i="6"/>
  <c r="G40" i="6"/>
  <c r="F40" i="6"/>
  <c r="E40" i="6"/>
  <c r="I39" i="6"/>
  <c r="H39" i="6"/>
  <c r="G39" i="6"/>
  <c r="F39" i="6"/>
  <c r="E39" i="6"/>
  <c r="I38" i="6"/>
  <c r="H38" i="6"/>
  <c r="G38" i="6"/>
  <c r="F38" i="6"/>
  <c r="E38" i="6"/>
  <c r="I37" i="6"/>
  <c r="H37" i="6"/>
  <c r="G37" i="6"/>
  <c r="F37" i="6"/>
  <c r="E37" i="6"/>
  <c r="I36" i="6"/>
  <c r="H36" i="6"/>
  <c r="G36" i="6"/>
  <c r="F36" i="6"/>
  <c r="E36" i="6"/>
  <c r="I35" i="6"/>
  <c r="H35" i="6"/>
  <c r="G35" i="6"/>
  <c r="F35" i="6"/>
  <c r="E35" i="6"/>
  <c r="I34" i="6"/>
  <c r="H34" i="6"/>
  <c r="G34" i="6"/>
  <c r="F34" i="6"/>
  <c r="E34" i="6"/>
  <c r="I33" i="6"/>
  <c r="H33" i="6"/>
  <c r="G33" i="6"/>
  <c r="F33" i="6"/>
  <c r="E33" i="6"/>
  <c r="I32" i="6"/>
  <c r="H32" i="6"/>
  <c r="G32" i="6"/>
  <c r="F32" i="6"/>
  <c r="E32" i="6"/>
  <c r="I31" i="6"/>
  <c r="H31" i="6"/>
  <c r="G31" i="6"/>
  <c r="F31" i="6"/>
  <c r="E31" i="6"/>
  <c r="I30" i="6"/>
  <c r="H30" i="6"/>
  <c r="G30" i="6"/>
  <c r="F30" i="6"/>
  <c r="E30" i="6"/>
  <c r="I29" i="6"/>
  <c r="H29" i="6"/>
  <c r="G29" i="6"/>
  <c r="F29" i="6"/>
  <c r="E29" i="6"/>
  <c r="I28" i="6"/>
  <c r="H28" i="6"/>
  <c r="G28" i="6"/>
  <c r="F28" i="6"/>
  <c r="E28" i="6"/>
  <c r="I27" i="6"/>
  <c r="H27" i="6"/>
  <c r="G27" i="6"/>
  <c r="F27" i="6"/>
  <c r="E27" i="6"/>
  <c r="I26" i="6"/>
  <c r="H26" i="6"/>
  <c r="G26" i="6"/>
  <c r="F26" i="6"/>
  <c r="E26" i="6"/>
  <c r="I25" i="6"/>
  <c r="H25" i="6"/>
  <c r="G25" i="6"/>
  <c r="F25" i="6"/>
  <c r="E25" i="6"/>
  <c r="I24" i="6"/>
  <c r="H24" i="6"/>
  <c r="G24" i="6"/>
  <c r="F24" i="6"/>
  <c r="E24" i="6"/>
  <c r="I23" i="6"/>
  <c r="H23" i="6"/>
  <c r="G23" i="6"/>
  <c r="F23" i="6"/>
  <c r="E23" i="6"/>
  <c r="I22" i="6"/>
  <c r="H22" i="6"/>
  <c r="G22" i="6"/>
  <c r="F22" i="6"/>
  <c r="E22" i="6"/>
  <c r="I21" i="6"/>
  <c r="H21" i="6"/>
  <c r="G21" i="6"/>
  <c r="F21" i="6"/>
  <c r="E21" i="6"/>
  <c r="I20" i="6"/>
  <c r="H20" i="6"/>
  <c r="G20" i="6"/>
  <c r="F20" i="6"/>
  <c r="E20" i="6"/>
  <c r="I19" i="6"/>
  <c r="H19" i="6"/>
  <c r="G19" i="6"/>
  <c r="F19" i="6"/>
  <c r="E19" i="6"/>
  <c r="I18" i="6"/>
  <c r="H18" i="6"/>
  <c r="G18" i="6"/>
  <c r="F18" i="6"/>
  <c r="E18" i="6"/>
  <c r="I17" i="6"/>
  <c r="H17" i="6"/>
  <c r="G17" i="6"/>
  <c r="F17" i="6"/>
  <c r="E17" i="6"/>
  <c r="I16" i="6"/>
  <c r="H16" i="6"/>
  <c r="G16" i="6"/>
  <c r="F16" i="6"/>
  <c r="E16" i="6"/>
  <c r="I15" i="6"/>
  <c r="H15" i="6"/>
  <c r="G15" i="6"/>
  <c r="F15" i="6"/>
  <c r="E15" i="6"/>
  <c r="I14" i="6"/>
  <c r="H14" i="6"/>
  <c r="G14" i="6"/>
  <c r="F14" i="6"/>
  <c r="E14" i="6"/>
  <c r="I13" i="6"/>
  <c r="H13" i="6"/>
  <c r="G13" i="6"/>
  <c r="F13" i="6"/>
  <c r="E13" i="6"/>
  <c r="I12" i="6"/>
  <c r="H12" i="6"/>
  <c r="G12" i="6"/>
  <c r="F12" i="6"/>
  <c r="E12" i="6"/>
  <c r="I11" i="6"/>
  <c r="H11" i="6"/>
  <c r="G11" i="6"/>
  <c r="F11" i="6"/>
  <c r="E11" i="6"/>
  <c r="I10" i="6"/>
  <c r="H10" i="6"/>
  <c r="G10" i="6"/>
  <c r="F10" i="6"/>
  <c r="E10" i="6"/>
  <c r="I9" i="6"/>
  <c r="H9" i="6"/>
  <c r="G9" i="6"/>
  <c r="F9" i="6"/>
  <c r="E9" i="6"/>
  <c r="I8" i="6"/>
  <c r="H8" i="6"/>
  <c r="G8" i="6"/>
  <c r="F8" i="6"/>
  <c r="E8" i="6"/>
  <c r="I6" i="6"/>
  <c r="H6" i="6"/>
  <c r="E6" i="6"/>
  <c r="I80" i="5"/>
  <c r="H80" i="5"/>
  <c r="G80" i="5"/>
  <c r="F80" i="5"/>
  <c r="I79" i="5"/>
  <c r="H79" i="5"/>
  <c r="G79" i="5"/>
  <c r="F79" i="5"/>
  <c r="E79" i="5"/>
  <c r="I78" i="5"/>
  <c r="H78" i="5"/>
  <c r="G78" i="5"/>
  <c r="F78" i="5"/>
  <c r="E78" i="5"/>
  <c r="I77" i="5"/>
  <c r="H77" i="5"/>
  <c r="G77" i="5"/>
  <c r="F77" i="5"/>
  <c r="E77" i="5"/>
  <c r="I76" i="5"/>
  <c r="H76" i="5"/>
  <c r="G76" i="5"/>
  <c r="F76" i="5"/>
  <c r="E76" i="5"/>
  <c r="I75" i="5"/>
  <c r="H75" i="5"/>
  <c r="G75" i="5"/>
  <c r="F75" i="5"/>
  <c r="E75" i="5"/>
  <c r="I74" i="5"/>
  <c r="H74" i="5"/>
  <c r="G74" i="5"/>
  <c r="F74" i="5"/>
  <c r="E74" i="5"/>
  <c r="I73" i="5"/>
  <c r="H73" i="5"/>
  <c r="G73" i="5"/>
  <c r="F73" i="5"/>
  <c r="E73" i="5"/>
  <c r="I72" i="5"/>
  <c r="H72" i="5"/>
  <c r="G72" i="5"/>
  <c r="F72" i="5"/>
  <c r="E72" i="5"/>
  <c r="I71" i="5"/>
  <c r="H71" i="5"/>
  <c r="G71" i="5"/>
  <c r="F71" i="5"/>
  <c r="E71" i="5"/>
  <c r="I70" i="5"/>
  <c r="H70" i="5"/>
  <c r="G70" i="5"/>
  <c r="F70" i="5"/>
  <c r="I69" i="5"/>
  <c r="H69" i="5"/>
  <c r="G69" i="5"/>
  <c r="F69" i="5"/>
  <c r="E69" i="5"/>
  <c r="I68" i="5"/>
  <c r="H68" i="5"/>
  <c r="G68" i="5"/>
  <c r="F68" i="5"/>
  <c r="E68" i="5"/>
  <c r="I67" i="5"/>
  <c r="H67" i="5"/>
  <c r="G67" i="5"/>
  <c r="F67" i="5"/>
  <c r="E67" i="5"/>
  <c r="I66" i="5"/>
  <c r="H66" i="5"/>
  <c r="G66" i="5"/>
  <c r="F66" i="5"/>
  <c r="I65" i="5"/>
  <c r="H65" i="5"/>
  <c r="G65" i="5"/>
  <c r="F65" i="5"/>
  <c r="E65" i="5"/>
  <c r="I64" i="5"/>
  <c r="H64" i="5"/>
  <c r="G64" i="5"/>
  <c r="F64" i="5"/>
  <c r="E64" i="5"/>
  <c r="I63" i="5"/>
  <c r="H63" i="5"/>
  <c r="G63" i="5"/>
  <c r="F63" i="5"/>
  <c r="I62" i="5"/>
  <c r="H62" i="5"/>
  <c r="G62" i="5"/>
  <c r="F62" i="5"/>
  <c r="E62" i="5"/>
  <c r="I61" i="5"/>
  <c r="H61" i="5"/>
  <c r="G61" i="5"/>
  <c r="F61" i="5"/>
  <c r="E61" i="5"/>
  <c r="I60" i="5"/>
  <c r="H60" i="5"/>
  <c r="G60" i="5"/>
  <c r="F60" i="5"/>
  <c r="E60" i="5"/>
  <c r="I59" i="5"/>
  <c r="H59" i="5"/>
  <c r="G59" i="5"/>
  <c r="F59" i="5"/>
  <c r="E59" i="5"/>
  <c r="I58" i="5"/>
  <c r="H58" i="5"/>
  <c r="G58" i="5"/>
  <c r="F58" i="5"/>
  <c r="E58" i="5"/>
  <c r="I57" i="5"/>
  <c r="H57" i="5"/>
  <c r="G57" i="5"/>
  <c r="F57" i="5"/>
  <c r="E57" i="5"/>
  <c r="I56" i="5"/>
  <c r="H56" i="5"/>
  <c r="G56" i="5"/>
  <c r="F56" i="5"/>
  <c r="E56" i="5"/>
  <c r="I55" i="5"/>
  <c r="H55" i="5"/>
  <c r="G55" i="5"/>
  <c r="F55" i="5"/>
  <c r="E55" i="5"/>
  <c r="I54" i="5"/>
  <c r="H54" i="5"/>
  <c r="G54" i="5"/>
  <c r="F54" i="5"/>
  <c r="E54" i="5"/>
  <c r="I53" i="5"/>
  <c r="H53" i="5"/>
  <c r="G53" i="5"/>
  <c r="F53" i="5"/>
  <c r="I52" i="5"/>
  <c r="H52" i="5"/>
  <c r="G52" i="5"/>
  <c r="F52" i="5"/>
  <c r="E52" i="5"/>
  <c r="I51" i="5"/>
  <c r="H51" i="5"/>
  <c r="G51" i="5"/>
  <c r="F51" i="5"/>
  <c r="E51" i="5"/>
  <c r="I50" i="5"/>
  <c r="H50" i="5"/>
  <c r="G50" i="5"/>
  <c r="F50" i="5"/>
  <c r="E50" i="5"/>
  <c r="I49" i="5"/>
  <c r="H49" i="5"/>
  <c r="G49" i="5"/>
  <c r="F49" i="5"/>
  <c r="E49" i="5"/>
  <c r="I48" i="5"/>
  <c r="H48" i="5"/>
  <c r="G48" i="5"/>
  <c r="F48" i="5"/>
  <c r="I47" i="5"/>
  <c r="H47" i="5"/>
  <c r="G47" i="5"/>
  <c r="F47" i="5"/>
  <c r="I46" i="5"/>
  <c r="H46" i="5"/>
  <c r="G46" i="5"/>
  <c r="F46" i="5"/>
  <c r="E46" i="5"/>
  <c r="I45" i="5"/>
  <c r="H45" i="5"/>
  <c r="G45" i="5"/>
  <c r="F45" i="5"/>
  <c r="E45" i="5"/>
  <c r="I44" i="5"/>
  <c r="H44" i="5"/>
  <c r="G44" i="5"/>
  <c r="F44" i="5"/>
  <c r="I43" i="5"/>
  <c r="H43" i="5"/>
  <c r="G43" i="5"/>
  <c r="F43" i="5"/>
  <c r="E43" i="5"/>
  <c r="I42" i="5"/>
  <c r="H42" i="5"/>
  <c r="G42" i="5"/>
  <c r="F42" i="5"/>
  <c r="E42" i="5"/>
  <c r="I41" i="5"/>
  <c r="H41" i="5"/>
  <c r="G41" i="5"/>
  <c r="F41" i="5"/>
  <c r="E41" i="5"/>
  <c r="I40" i="5"/>
  <c r="H40" i="5"/>
  <c r="G40" i="5"/>
  <c r="F40" i="5"/>
  <c r="E40" i="5"/>
  <c r="I39" i="5"/>
  <c r="H39" i="5"/>
  <c r="G39" i="5"/>
  <c r="F39" i="5"/>
  <c r="E39" i="5"/>
  <c r="I38" i="5"/>
  <c r="H38" i="5"/>
  <c r="G38" i="5"/>
  <c r="F38" i="5"/>
  <c r="E38" i="5"/>
  <c r="I37" i="5"/>
  <c r="H37" i="5"/>
  <c r="G37" i="5"/>
  <c r="F37" i="5"/>
  <c r="E37" i="5"/>
  <c r="I36" i="5"/>
  <c r="H36" i="5"/>
  <c r="G36" i="5"/>
  <c r="F36" i="5"/>
  <c r="I35" i="5"/>
  <c r="H35" i="5"/>
  <c r="G35" i="5"/>
  <c r="F35" i="5"/>
  <c r="E35" i="5"/>
  <c r="I34" i="5"/>
  <c r="H34" i="5"/>
  <c r="G34" i="5"/>
  <c r="F34" i="5"/>
  <c r="E34" i="5"/>
  <c r="I33" i="5"/>
  <c r="H33" i="5"/>
  <c r="G33" i="5"/>
  <c r="F33" i="5"/>
  <c r="E33" i="5"/>
  <c r="I32" i="5"/>
  <c r="H32" i="5"/>
  <c r="G32" i="5"/>
  <c r="F32" i="5"/>
  <c r="E32" i="5"/>
  <c r="I31" i="5"/>
  <c r="H31" i="5"/>
  <c r="G31" i="5"/>
  <c r="F31" i="5"/>
  <c r="E31" i="5"/>
  <c r="I30" i="5"/>
  <c r="H30" i="5"/>
  <c r="G30" i="5"/>
  <c r="F30" i="5"/>
  <c r="E30" i="5"/>
  <c r="I29" i="5"/>
  <c r="H29" i="5"/>
  <c r="G29" i="5"/>
  <c r="F29" i="5"/>
  <c r="E29" i="5"/>
  <c r="I28" i="5"/>
  <c r="H28" i="5"/>
  <c r="G28" i="5"/>
  <c r="F28" i="5"/>
  <c r="I27" i="5"/>
  <c r="H27" i="5"/>
  <c r="G27" i="5"/>
  <c r="F27" i="5"/>
  <c r="E27" i="5"/>
  <c r="I26" i="5"/>
  <c r="H26" i="5"/>
  <c r="G26" i="5"/>
  <c r="F26" i="5"/>
  <c r="E26" i="5"/>
  <c r="I25" i="5"/>
  <c r="H25" i="5"/>
  <c r="G25" i="5"/>
  <c r="F25" i="5"/>
  <c r="E25" i="5"/>
  <c r="I24" i="5"/>
  <c r="H24" i="5"/>
  <c r="G24" i="5"/>
  <c r="F24" i="5"/>
  <c r="E24" i="5"/>
  <c r="I23" i="5"/>
  <c r="H23" i="5"/>
  <c r="G23" i="5"/>
  <c r="F23" i="5"/>
  <c r="E23" i="5"/>
  <c r="I22" i="5"/>
  <c r="H22" i="5"/>
  <c r="G22" i="5"/>
  <c r="F22" i="5"/>
  <c r="E22" i="5"/>
  <c r="I21" i="5"/>
  <c r="H21" i="5"/>
  <c r="G21" i="5"/>
  <c r="F21" i="5"/>
  <c r="E21" i="5"/>
  <c r="I20" i="5"/>
  <c r="H20" i="5"/>
  <c r="G20" i="5"/>
  <c r="F20" i="5"/>
  <c r="E20" i="5"/>
  <c r="I19" i="5"/>
  <c r="H19" i="5"/>
  <c r="G19" i="5"/>
  <c r="F19" i="5"/>
  <c r="E19" i="5"/>
  <c r="I18" i="5"/>
  <c r="H18" i="5"/>
  <c r="G18" i="5"/>
  <c r="F18" i="5"/>
  <c r="E18" i="5"/>
  <c r="I17" i="5"/>
  <c r="H17" i="5"/>
  <c r="G17" i="5"/>
  <c r="F17" i="5"/>
  <c r="E17" i="5"/>
  <c r="I16" i="5"/>
  <c r="H16" i="5"/>
  <c r="G16" i="5"/>
  <c r="F16" i="5"/>
  <c r="E16" i="5"/>
  <c r="I15" i="5"/>
  <c r="H15" i="5"/>
  <c r="G15" i="5"/>
  <c r="F15" i="5"/>
  <c r="E15" i="5"/>
  <c r="I14" i="5"/>
  <c r="H14" i="5"/>
  <c r="G14" i="5"/>
  <c r="F14" i="5"/>
  <c r="E14" i="5"/>
  <c r="I13" i="5"/>
  <c r="H13" i="5"/>
  <c r="G13" i="5"/>
  <c r="F13" i="5"/>
  <c r="E13" i="5"/>
  <c r="I12" i="5"/>
  <c r="H12" i="5"/>
  <c r="G12" i="5"/>
  <c r="F12" i="5"/>
  <c r="I11" i="5"/>
  <c r="H11" i="5"/>
  <c r="G11" i="5"/>
  <c r="F11" i="5"/>
  <c r="E11" i="5"/>
  <c r="I10" i="5"/>
  <c r="H10" i="5"/>
  <c r="G10" i="5"/>
  <c r="F10" i="5"/>
  <c r="E10" i="5"/>
  <c r="I9" i="5"/>
  <c r="H9" i="5"/>
  <c r="G9" i="5"/>
  <c r="F9" i="5"/>
  <c r="E9" i="5"/>
  <c r="I8" i="5"/>
  <c r="H8" i="5"/>
  <c r="G8" i="5"/>
  <c r="F8" i="5"/>
  <c r="E8" i="5"/>
  <c r="I6" i="5"/>
  <c r="H6" i="5"/>
  <c r="E6" i="5"/>
  <c r="F39" i="8"/>
  <c r="E39" i="8"/>
  <c r="F38" i="8"/>
  <c r="E38" i="8"/>
  <c r="F37" i="8"/>
  <c r="E37" i="8"/>
  <c r="F36" i="8"/>
  <c r="E36" i="8"/>
  <c r="F35" i="8"/>
  <c r="E35" i="8"/>
  <c r="F34" i="8"/>
  <c r="E34" i="8"/>
  <c r="F32" i="8"/>
  <c r="E32" i="8"/>
  <c r="F31" i="8"/>
  <c r="E31" i="8"/>
  <c r="F30" i="8"/>
  <c r="E30" i="8"/>
  <c r="F29" i="8"/>
  <c r="E29" i="8"/>
  <c r="F28" i="8"/>
  <c r="E28" i="8"/>
  <c r="F27" i="8"/>
  <c r="E27" i="8"/>
  <c r="F26" i="8"/>
  <c r="E26" i="8"/>
  <c r="F25" i="8"/>
  <c r="E25" i="8"/>
  <c r="F23" i="8"/>
  <c r="E23" i="8"/>
  <c r="F22" i="8"/>
  <c r="E22" i="8"/>
  <c r="F21" i="8"/>
  <c r="F20" i="8"/>
  <c r="E20" i="8"/>
  <c r="F19" i="8"/>
  <c r="E19" i="8"/>
  <c r="F18" i="8"/>
  <c r="E18" i="8"/>
  <c r="F17" i="8"/>
  <c r="E17" i="8"/>
  <c r="F16" i="8"/>
  <c r="E16" i="8"/>
  <c r="F14" i="8"/>
  <c r="E14" i="8"/>
  <c r="F13" i="8"/>
  <c r="E13" i="8"/>
  <c r="F12" i="8"/>
  <c r="E12" i="8"/>
  <c r="F11" i="8"/>
  <c r="E11" i="8"/>
  <c r="F10" i="8"/>
  <c r="E10" i="8"/>
  <c r="F9" i="8"/>
  <c r="E9" i="8"/>
  <c r="F8" i="8"/>
  <c r="E8" i="8"/>
  <c r="F7" i="8"/>
  <c r="E7" i="8"/>
  <c r="F39" i="7" l="1"/>
  <c r="E39" i="7"/>
  <c r="F38" i="7"/>
  <c r="E38" i="7"/>
  <c r="F37" i="7"/>
  <c r="E37" i="7"/>
  <c r="F36" i="7"/>
  <c r="E36" i="7"/>
  <c r="F35" i="7"/>
  <c r="E35" i="7"/>
  <c r="F34" i="7"/>
  <c r="E34" i="7"/>
  <c r="F32" i="7"/>
  <c r="E32" i="7"/>
  <c r="F31" i="7"/>
  <c r="E31" i="7"/>
  <c r="F30" i="7"/>
  <c r="E30" i="7"/>
  <c r="F29" i="7"/>
  <c r="E29" i="7"/>
  <c r="F28" i="7"/>
  <c r="E28" i="7"/>
  <c r="F27" i="7"/>
  <c r="E27" i="7"/>
  <c r="F26" i="7"/>
  <c r="E26" i="7"/>
  <c r="F25" i="7"/>
  <c r="E25" i="7"/>
  <c r="F23" i="7"/>
  <c r="E23" i="7"/>
  <c r="F22" i="7"/>
  <c r="E22" i="7"/>
  <c r="F21" i="7"/>
  <c r="F20" i="7"/>
  <c r="E20" i="7"/>
  <c r="F19" i="7"/>
  <c r="E19" i="7"/>
  <c r="F18" i="7"/>
  <c r="E18" i="7"/>
  <c r="F17" i="7"/>
  <c r="E17" i="7"/>
  <c r="F16" i="7"/>
  <c r="E16" i="7"/>
  <c r="F14" i="7"/>
  <c r="E14" i="7"/>
  <c r="F13" i="7"/>
  <c r="E13" i="7"/>
  <c r="F12" i="7"/>
  <c r="E12" i="7"/>
  <c r="F11" i="7"/>
  <c r="E11" i="7"/>
  <c r="F10" i="7"/>
  <c r="E10" i="7"/>
  <c r="F9" i="7"/>
  <c r="E9" i="7"/>
  <c r="F8" i="7"/>
  <c r="E8" i="7"/>
  <c r="F7" i="7"/>
  <c r="E7" i="7"/>
  <c r="D150" i="3" l="1"/>
  <c r="D148" i="3"/>
  <c r="D147" i="3"/>
  <c r="D144" i="3"/>
  <c r="D143" i="3"/>
  <c r="D142" i="3"/>
  <c r="D141" i="3"/>
  <c r="D139" i="3"/>
  <c r="D138" i="3"/>
  <c r="D134" i="3"/>
  <c r="D133" i="3"/>
  <c r="D132" i="3"/>
  <c r="D128" i="3"/>
  <c r="D127" i="3"/>
  <c r="D126" i="3"/>
  <c r="D125" i="3"/>
  <c r="D122" i="3"/>
  <c r="D121" i="3"/>
  <c r="D119" i="3"/>
  <c r="D118" i="3"/>
  <c r="D116" i="3"/>
  <c r="D112" i="3"/>
  <c r="D111" i="3"/>
  <c r="D109" i="3"/>
  <c r="D107" i="3"/>
  <c r="D106" i="3"/>
  <c r="D105" i="3"/>
  <c r="D104" i="3"/>
  <c r="D103" i="3"/>
  <c r="D102" i="3"/>
  <c r="D100" i="3"/>
  <c r="D99" i="3"/>
  <c r="D94" i="3"/>
  <c r="D92" i="3"/>
  <c r="D90" i="3"/>
  <c r="D87" i="3"/>
  <c r="D84" i="3"/>
  <c r="D82" i="3"/>
  <c r="D80" i="3"/>
  <c r="D78" i="3"/>
  <c r="D77" i="3"/>
  <c r="D76" i="3"/>
  <c r="D74" i="3"/>
  <c r="D73" i="3"/>
  <c r="D71" i="3"/>
  <c r="D69" i="3"/>
  <c r="D68" i="3"/>
  <c r="D67" i="3"/>
  <c r="D66" i="3"/>
  <c r="D65" i="3"/>
  <c r="D64" i="3"/>
  <c r="D63" i="3"/>
  <c r="D62" i="3"/>
  <c r="D60" i="3"/>
  <c r="D59" i="3"/>
  <c r="D58" i="3"/>
  <c r="D57" i="3"/>
  <c r="D56" i="3"/>
  <c r="D54" i="3"/>
  <c r="D53" i="3"/>
  <c r="D52" i="3"/>
  <c r="D51" i="3"/>
  <c r="D50" i="3"/>
  <c r="D48" i="3"/>
  <c r="D47" i="3"/>
  <c r="D45" i="3"/>
  <c r="D43" i="3"/>
  <c r="D42" i="3"/>
  <c r="D41" i="3"/>
  <c r="D40" i="3"/>
  <c r="D38" i="3"/>
  <c r="D37" i="3"/>
  <c r="D36" i="3"/>
  <c r="D28" i="3"/>
  <c r="D27" i="3"/>
  <c r="D26" i="3"/>
  <c r="D25" i="3"/>
  <c r="D24" i="3"/>
  <c r="D23" i="3"/>
  <c r="D21" i="3"/>
  <c r="D19" i="3"/>
  <c r="D18" i="3"/>
  <c r="D17" i="3"/>
  <c r="D15" i="3"/>
  <c r="D12" i="3"/>
  <c r="D11" i="3"/>
  <c r="D10" i="3"/>
  <c r="D8" i="3"/>
  <c r="D7" i="3"/>
  <c r="H131" i="2"/>
  <c r="G131" i="2"/>
  <c r="F131" i="2"/>
  <c r="E131" i="2"/>
  <c r="H130" i="2"/>
  <c r="G130" i="2"/>
  <c r="F130" i="2"/>
  <c r="E130" i="2"/>
  <c r="H129" i="2"/>
  <c r="G129" i="2"/>
  <c r="F129" i="2"/>
  <c r="E129" i="2"/>
  <c r="D129" i="2"/>
  <c r="H128" i="2"/>
  <c r="G128" i="2"/>
  <c r="F128" i="2"/>
  <c r="E128" i="2"/>
  <c r="D128" i="2"/>
  <c r="H127" i="2"/>
  <c r="G127" i="2"/>
  <c r="F127" i="2"/>
  <c r="E127" i="2"/>
  <c r="D127" i="2"/>
  <c r="H126" i="2"/>
  <c r="G126" i="2"/>
  <c r="F126" i="2"/>
  <c r="E126" i="2"/>
  <c r="D126" i="2"/>
  <c r="H125" i="2"/>
  <c r="G125" i="2"/>
  <c r="F125" i="2"/>
  <c r="E125" i="2"/>
  <c r="H124" i="2"/>
  <c r="G124" i="2"/>
  <c r="F124" i="2"/>
  <c r="E124" i="2"/>
  <c r="D124" i="2"/>
  <c r="H123" i="2"/>
  <c r="G123" i="2"/>
  <c r="F123" i="2"/>
  <c r="E123" i="2"/>
  <c r="D123" i="2"/>
  <c r="H122" i="2"/>
  <c r="G122" i="2"/>
  <c r="F122" i="2"/>
  <c r="E122" i="2"/>
  <c r="D122" i="2"/>
  <c r="H121" i="2"/>
  <c r="G121" i="2"/>
  <c r="F121" i="2"/>
  <c r="E121" i="2"/>
  <c r="H120" i="2"/>
  <c r="G120" i="2"/>
  <c r="F120" i="2"/>
  <c r="E120" i="2"/>
  <c r="D120" i="2"/>
  <c r="H119" i="2"/>
  <c r="G119" i="2"/>
  <c r="F119" i="2"/>
  <c r="E119" i="2"/>
  <c r="D119" i="2"/>
  <c r="H118" i="2"/>
  <c r="G118" i="2"/>
  <c r="F118" i="2"/>
  <c r="E118" i="2"/>
  <c r="H117" i="2"/>
  <c r="G117" i="2"/>
  <c r="F117" i="2"/>
  <c r="E117" i="2"/>
  <c r="H116" i="2"/>
  <c r="G116" i="2"/>
  <c r="F116" i="2"/>
  <c r="E116" i="2"/>
  <c r="D116" i="2"/>
  <c r="H115" i="2"/>
  <c r="G115" i="2"/>
  <c r="F115" i="2"/>
  <c r="E115" i="2"/>
  <c r="D115" i="2"/>
  <c r="H114" i="2"/>
  <c r="G114" i="2"/>
  <c r="F114" i="2"/>
  <c r="E114" i="2"/>
  <c r="D114" i="2"/>
  <c r="H113" i="2"/>
  <c r="G113" i="2"/>
  <c r="F113" i="2"/>
  <c r="E113" i="2"/>
  <c r="H112" i="2"/>
  <c r="G112" i="2"/>
  <c r="F112" i="2"/>
  <c r="E112" i="2"/>
  <c r="D112" i="2"/>
  <c r="H111" i="2"/>
  <c r="G111" i="2"/>
  <c r="F111" i="2"/>
  <c r="E111" i="2"/>
  <c r="D111" i="2"/>
  <c r="H110" i="2"/>
  <c r="G110" i="2"/>
  <c r="F110" i="2"/>
  <c r="E110" i="2"/>
  <c r="D110" i="2"/>
  <c r="H109" i="2"/>
  <c r="G109" i="2"/>
  <c r="F109" i="2"/>
  <c r="E109" i="2"/>
  <c r="H108" i="2"/>
  <c r="G108" i="2"/>
  <c r="F108" i="2"/>
  <c r="E108" i="2"/>
  <c r="H107" i="2"/>
  <c r="G107" i="2"/>
  <c r="F107" i="2"/>
  <c r="E107" i="2"/>
  <c r="D107" i="2"/>
  <c r="H106" i="2"/>
  <c r="G106" i="2"/>
  <c r="F106" i="2"/>
  <c r="E106" i="2"/>
  <c r="D106" i="2"/>
  <c r="H105" i="2"/>
  <c r="G105" i="2"/>
  <c r="F105" i="2"/>
  <c r="E105" i="2"/>
  <c r="H104" i="2"/>
  <c r="G104" i="2"/>
  <c r="F104" i="2"/>
  <c r="E104" i="2"/>
  <c r="H103" i="2"/>
  <c r="G103" i="2"/>
  <c r="F103" i="2"/>
  <c r="E103" i="2"/>
  <c r="D103" i="2"/>
  <c r="H102" i="2"/>
  <c r="G102" i="2"/>
  <c r="F102" i="2"/>
  <c r="E102" i="2"/>
  <c r="H101" i="2"/>
  <c r="G101" i="2"/>
  <c r="F101" i="2"/>
  <c r="E101" i="2"/>
  <c r="H100" i="2"/>
  <c r="G100" i="2"/>
  <c r="F100" i="2"/>
  <c r="E100" i="2"/>
  <c r="H99" i="2"/>
  <c r="G99" i="2"/>
  <c r="F99" i="2"/>
  <c r="E99" i="2"/>
  <c r="H98" i="2"/>
  <c r="G98" i="2"/>
  <c r="F98" i="2"/>
  <c r="E98" i="2"/>
  <c r="D98" i="2"/>
  <c r="H97" i="2"/>
  <c r="G97" i="2"/>
  <c r="F97" i="2"/>
  <c r="E97" i="2"/>
  <c r="D97" i="2"/>
  <c r="H96" i="2"/>
  <c r="G96" i="2"/>
  <c r="F96" i="2"/>
  <c r="E96" i="2"/>
  <c r="H95" i="2"/>
  <c r="G95" i="2"/>
  <c r="F95" i="2"/>
  <c r="E95" i="2"/>
  <c r="D95" i="2"/>
  <c r="H94" i="2"/>
  <c r="G94" i="2"/>
  <c r="F94" i="2"/>
  <c r="E94" i="2"/>
  <c r="H93" i="2"/>
  <c r="G93" i="2"/>
  <c r="F93" i="2"/>
  <c r="E93" i="2"/>
  <c r="D93" i="2"/>
  <c r="H92" i="2"/>
  <c r="G92" i="2"/>
  <c r="F92" i="2"/>
  <c r="E92" i="2"/>
  <c r="D92" i="2"/>
  <c r="H91" i="2"/>
  <c r="G91" i="2"/>
  <c r="F91" i="2"/>
  <c r="E91" i="2"/>
  <c r="H90" i="2"/>
  <c r="G90" i="2"/>
  <c r="F90" i="2"/>
  <c r="E90" i="2"/>
  <c r="D90" i="2"/>
  <c r="H89" i="2"/>
  <c r="G89" i="2"/>
  <c r="F89" i="2"/>
  <c r="E89" i="2"/>
  <c r="D89" i="2"/>
  <c r="H88" i="2"/>
  <c r="G88" i="2"/>
  <c r="F88" i="2"/>
  <c r="E88" i="2"/>
  <c r="H87" i="2"/>
  <c r="G87" i="2"/>
  <c r="F87" i="2"/>
  <c r="E87" i="2"/>
  <c r="H86" i="2"/>
  <c r="G86" i="2"/>
  <c r="F86" i="2"/>
  <c r="E86" i="2"/>
  <c r="D86" i="2"/>
  <c r="H85" i="2"/>
  <c r="G85" i="2"/>
  <c r="F85" i="2"/>
  <c r="E85" i="2"/>
  <c r="D85" i="2"/>
  <c r="H84" i="2"/>
  <c r="G84" i="2"/>
  <c r="F84" i="2"/>
  <c r="E84" i="2"/>
  <c r="D84" i="2"/>
  <c r="H83" i="2"/>
  <c r="G83" i="2"/>
  <c r="F83" i="2"/>
  <c r="E83" i="2"/>
  <c r="D83" i="2"/>
  <c r="H82" i="2"/>
  <c r="G82" i="2"/>
  <c r="F82" i="2"/>
  <c r="E82" i="2"/>
  <c r="D82" i="2"/>
  <c r="H81" i="2"/>
  <c r="G81" i="2"/>
  <c r="F81" i="2"/>
  <c r="E81" i="2"/>
  <c r="H80" i="2"/>
  <c r="G80" i="2"/>
  <c r="F80" i="2"/>
  <c r="E80" i="2"/>
  <c r="D80" i="2"/>
  <c r="H79" i="2"/>
  <c r="G79" i="2"/>
  <c r="F79" i="2"/>
  <c r="E79" i="2"/>
  <c r="D79" i="2"/>
  <c r="H78" i="2"/>
  <c r="G78" i="2"/>
  <c r="F78" i="2"/>
  <c r="E78" i="2"/>
  <c r="D78" i="2"/>
  <c r="H77" i="2"/>
  <c r="G77" i="2"/>
  <c r="F77" i="2"/>
  <c r="E77" i="2"/>
  <c r="H76" i="2"/>
  <c r="G76" i="2"/>
  <c r="F76" i="2"/>
  <c r="E76" i="2"/>
  <c r="D76" i="2"/>
  <c r="H75" i="2"/>
  <c r="G75" i="2"/>
  <c r="F75" i="2"/>
  <c r="E75" i="2"/>
  <c r="D75" i="2"/>
  <c r="H74" i="2"/>
  <c r="G74" i="2"/>
  <c r="F74" i="2"/>
  <c r="E74" i="2"/>
  <c r="D74" i="2"/>
  <c r="H73" i="2"/>
  <c r="G73" i="2"/>
  <c r="F73" i="2"/>
  <c r="E73" i="2"/>
  <c r="H72" i="2"/>
  <c r="G72" i="2"/>
  <c r="F72" i="2"/>
  <c r="E72" i="2"/>
  <c r="H71" i="2"/>
  <c r="G71" i="2"/>
  <c r="F71" i="2"/>
  <c r="E71" i="2"/>
  <c r="H70" i="2"/>
  <c r="G70" i="2"/>
  <c r="F70" i="2"/>
  <c r="E70" i="2"/>
  <c r="H69" i="2"/>
  <c r="G69" i="2"/>
  <c r="F69" i="2"/>
  <c r="E69" i="2"/>
  <c r="D69" i="2"/>
  <c r="H68" i="2"/>
  <c r="G68" i="2"/>
  <c r="F68" i="2"/>
  <c r="E68" i="2"/>
  <c r="D68" i="2"/>
  <c r="H67" i="2"/>
  <c r="G67" i="2"/>
  <c r="F67" i="2"/>
  <c r="E67" i="2"/>
  <c r="D67" i="2"/>
  <c r="H66" i="2"/>
  <c r="G66" i="2"/>
  <c r="F66" i="2"/>
  <c r="E66" i="2"/>
  <c r="D66" i="2"/>
  <c r="H65" i="2"/>
  <c r="G65" i="2"/>
  <c r="F65" i="2"/>
  <c r="E65" i="2"/>
  <c r="D65" i="2"/>
  <c r="H64" i="2"/>
  <c r="G64" i="2"/>
  <c r="F64" i="2"/>
  <c r="E64" i="2"/>
  <c r="H63" i="2"/>
  <c r="G63" i="2"/>
  <c r="F63" i="2"/>
  <c r="E63" i="2"/>
  <c r="D63" i="2"/>
  <c r="H62" i="2"/>
  <c r="G62" i="2"/>
  <c r="F62" i="2"/>
  <c r="E62" i="2"/>
  <c r="D62" i="2"/>
  <c r="H61" i="2"/>
  <c r="G61" i="2"/>
  <c r="F61" i="2"/>
  <c r="E61" i="2"/>
  <c r="D61" i="2"/>
  <c r="H60" i="2"/>
  <c r="G60" i="2"/>
  <c r="F60" i="2"/>
  <c r="E60" i="2"/>
  <c r="H59" i="2"/>
  <c r="G59" i="2"/>
  <c r="F59" i="2"/>
  <c r="E59" i="2"/>
  <c r="D59" i="2"/>
  <c r="H58" i="2"/>
  <c r="G58" i="2"/>
  <c r="F58" i="2"/>
  <c r="E58" i="2"/>
  <c r="D58" i="2"/>
  <c r="H57" i="2"/>
  <c r="G57" i="2"/>
  <c r="F57" i="2"/>
  <c r="E57" i="2"/>
  <c r="D57" i="2"/>
  <c r="H56" i="2"/>
  <c r="G56" i="2"/>
  <c r="F56" i="2"/>
  <c r="E56" i="2"/>
  <c r="D56" i="2"/>
  <c r="H55" i="2"/>
  <c r="G55" i="2"/>
  <c r="F55" i="2"/>
  <c r="E55" i="2"/>
  <c r="D55" i="2"/>
  <c r="H54" i="2"/>
  <c r="G54" i="2"/>
  <c r="F54" i="2"/>
  <c r="E54" i="2"/>
  <c r="D54" i="2"/>
  <c r="H53" i="2"/>
  <c r="G53" i="2"/>
  <c r="F53" i="2"/>
  <c r="E53" i="2"/>
  <c r="D53" i="2"/>
  <c r="H52" i="2"/>
  <c r="G52" i="2"/>
  <c r="F52" i="2"/>
  <c r="E52" i="2"/>
  <c r="D52" i="2"/>
  <c r="H51" i="2"/>
  <c r="G51" i="2"/>
  <c r="F51" i="2"/>
  <c r="E51" i="2"/>
  <c r="D51" i="2"/>
  <c r="H50" i="2"/>
  <c r="G50" i="2"/>
  <c r="F50" i="2"/>
  <c r="E50" i="2"/>
  <c r="D50" i="2"/>
  <c r="H49" i="2"/>
  <c r="G49" i="2"/>
  <c r="F49" i="2"/>
  <c r="E49" i="2"/>
  <c r="D49" i="2"/>
  <c r="H48" i="2"/>
  <c r="G48" i="2"/>
  <c r="F48" i="2"/>
  <c r="E48" i="2"/>
  <c r="D48" i="2"/>
  <c r="H47" i="2"/>
  <c r="G47" i="2"/>
  <c r="F47" i="2"/>
  <c r="E47" i="2"/>
  <c r="D47" i="2"/>
  <c r="H46" i="2"/>
  <c r="G46" i="2"/>
  <c r="F46" i="2"/>
  <c r="E46" i="2"/>
  <c r="D46" i="2"/>
  <c r="H45" i="2"/>
  <c r="G45" i="2"/>
  <c r="F45" i="2"/>
  <c r="E45" i="2"/>
  <c r="H44" i="2"/>
  <c r="G44" i="2"/>
  <c r="F44" i="2"/>
  <c r="E44" i="2"/>
  <c r="D44" i="2"/>
  <c r="H43" i="2"/>
  <c r="G43" i="2"/>
  <c r="F43" i="2"/>
  <c r="E43" i="2"/>
  <c r="D43" i="2"/>
  <c r="H42" i="2"/>
  <c r="G42" i="2"/>
  <c r="F42" i="2"/>
  <c r="E42" i="2"/>
  <c r="D42" i="2"/>
  <c r="H41" i="2"/>
  <c r="G41" i="2"/>
  <c r="F41" i="2"/>
  <c r="E41" i="2"/>
  <c r="D41" i="2"/>
  <c r="H40" i="2"/>
  <c r="G40" i="2"/>
  <c r="F40" i="2"/>
  <c r="E40" i="2"/>
  <c r="H39" i="2"/>
  <c r="G39" i="2"/>
  <c r="F39" i="2"/>
  <c r="E39" i="2"/>
  <c r="D39" i="2"/>
  <c r="H38" i="2"/>
  <c r="G38" i="2"/>
  <c r="F38" i="2"/>
  <c r="E38" i="2"/>
  <c r="D38" i="2"/>
  <c r="H37" i="2"/>
  <c r="G37" i="2"/>
  <c r="F37" i="2"/>
  <c r="E37" i="2"/>
  <c r="D37" i="2"/>
  <c r="H36" i="2"/>
  <c r="G36" i="2"/>
  <c r="F36" i="2"/>
  <c r="E36" i="2"/>
  <c r="D36" i="2"/>
  <c r="H34" i="2"/>
  <c r="G34" i="2"/>
  <c r="F34" i="2"/>
  <c r="E34" i="2"/>
  <c r="D34" i="2"/>
  <c r="H33" i="2"/>
  <c r="G33" i="2"/>
  <c r="F33" i="2"/>
  <c r="E33" i="2"/>
  <c r="D33" i="2"/>
  <c r="H32" i="2"/>
  <c r="G32" i="2"/>
  <c r="F32" i="2"/>
  <c r="E32" i="2"/>
  <c r="D32" i="2"/>
  <c r="H31" i="2"/>
  <c r="G31" i="2"/>
  <c r="F31" i="2"/>
  <c r="E31" i="2"/>
  <c r="D31" i="2"/>
  <c r="H30" i="2"/>
  <c r="G30" i="2"/>
  <c r="F30" i="2"/>
  <c r="E30" i="2"/>
  <c r="D30" i="2"/>
  <c r="H29" i="2"/>
  <c r="G29" i="2"/>
  <c r="F29" i="2"/>
  <c r="E29" i="2"/>
  <c r="D29" i="2"/>
  <c r="H28" i="2"/>
  <c r="G28" i="2"/>
  <c r="F28" i="2"/>
  <c r="E28" i="2"/>
  <c r="D28" i="2"/>
  <c r="H27" i="2"/>
  <c r="G27" i="2"/>
  <c r="F27" i="2"/>
  <c r="E27" i="2"/>
  <c r="D27" i="2"/>
  <c r="H26" i="2"/>
  <c r="G26" i="2"/>
  <c r="F26" i="2"/>
  <c r="E26" i="2"/>
  <c r="D26" i="2"/>
  <c r="H25" i="2"/>
  <c r="G25" i="2"/>
  <c r="F25" i="2"/>
  <c r="E25" i="2"/>
  <c r="D25" i="2"/>
  <c r="H24" i="2"/>
  <c r="G24" i="2"/>
  <c r="F24" i="2"/>
  <c r="E24" i="2"/>
  <c r="D24" i="2"/>
  <c r="H23" i="2"/>
  <c r="G23" i="2"/>
  <c r="F23" i="2"/>
  <c r="E23" i="2"/>
  <c r="D23" i="2"/>
  <c r="H22" i="2"/>
  <c r="G22" i="2"/>
  <c r="F22" i="2"/>
  <c r="E22" i="2"/>
  <c r="D22" i="2"/>
  <c r="H21" i="2"/>
  <c r="G21" i="2"/>
  <c r="F21" i="2"/>
  <c r="E21" i="2"/>
  <c r="D21" i="2"/>
  <c r="H20" i="2"/>
  <c r="G20" i="2"/>
  <c r="F20" i="2"/>
  <c r="E20" i="2"/>
  <c r="D20" i="2"/>
  <c r="H19" i="2"/>
  <c r="G19" i="2"/>
  <c r="F19" i="2"/>
  <c r="E19" i="2"/>
  <c r="D19" i="2"/>
  <c r="H18" i="2"/>
  <c r="G18" i="2"/>
  <c r="F18" i="2"/>
  <c r="E18" i="2"/>
  <c r="D18" i="2"/>
  <c r="H17" i="2"/>
  <c r="G17" i="2"/>
  <c r="F17" i="2"/>
  <c r="E17" i="2"/>
  <c r="D17" i="2"/>
  <c r="H16" i="2"/>
  <c r="G16" i="2"/>
  <c r="F16" i="2"/>
  <c r="E16" i="2"/>
  <c r="H15" i="2"/>
  <c r="G15" i="2"/>
  <c r="F15" i="2"/>
  <c r="E15" i="2"/>
  <c r="D15" i="2"/>
  <c r="H14" i="2"/>
  <c r="G14" i="2"/>
  <c r="F14" i="2"/>
  <c r="E14" i="2"/>
  <c r="D14" i="2"/>
  <c r="H13" i="2"/>
  <c r="G13" i="2"/>
  <c r="F13" i="2"/>
  <c r="E13" i="2"/>
  <c r="D13" i="2"/>
  <c r="H12" i="2"/>
  <c r="G12" i="2"/>
  <c r="F12" i="2"/>
  <c r="E12" i="2"/>
  <c r="D12" i="2"/>
  <c r="H11" i="2"/>
  <c r="G11" i="2"/>
  <c r="F11" i="2"/>
  <c r="E11" i="2"/>
  <c r="D11" i="2"/>
  <c r="H10" i="2"/>
  <c r="G10" i="2"/>
  <c r="F10" i="2"/>
  <c r="E10" i="2"/>
  <c r="D10" i="2"/>
  <c r="H9" i="2"/>
  <c r="G9" i="2"/>
  <c r="F9" i="2"/>
  <c r="E9" i="2"/>
  <c r="D9" i="2"/>
  <c r="H8" i="2"/>
  <c r="G8" i="2"/>
  <c r="F8" i="2"/>
  <c r="E8" i="2"/>
  <c r="D8" i="2"/>
  <c r="H7" i="2"/>
  <c r="G7" i="2"/>
  <c r="F7" i="2"/>
  <c r="E7" i="2"/>
  <c r="D7" i="2"/>
  <c r="H115" i="1" l="1"/>
  <c r="G115" i="1"/>
  <c r="F115" i="1"/>
  <c r="E115" i="1"/>
  <c r="H114" i="1"/>
  <c r="G114" i="1"/>
  <c r="F114" i="1"/>
  <c r="E114" i="1"/>
  <c r="H113" i="1"/>
  <c r="G113" i="1"/>
  <c r="F113" i="1"/>
  <c r="E113" i="1"/>
  <c r="H112" i="1"/>
  <c r="G112" i="1"/>
  <c r="F112" i="1"/>
  <c r="E112" i="1"/>
  <c r="H111" i="1"/>
  <c r="G111" i="1"/>
  <c r="F111" i="1"/>
  <c r="E111" i="1"/>
  <c r="H110" i="1"/>
  <c r="G110" i="1"/>
  <c r="F110" i="1"/>
  <c r="E110" i="1"/>
  <c r="H109" i="1"/>
  <c r="G109" i="1"/>
  <c r="F109" i="1"/>
  <c r="E109" i="1"/>
  <c r="H108" i="1"/>
  <c r="G108" i="1"/>
  <c r="F108" i="1"/>
  <c r="E108" i="1"/>
  <c r="H107" i="1"/>
  <c r="G107" i="1"/>
  <c r="F107" i="1"/>
  <c r="E107" i="1"/>
  <c r="H106" i="1"/>
  <c r="G106" i="1"/>
  <c r="F106" i="1"/>
  <c r="E106" i="1"/>
  <c r="H105" i="1"/>
  <c r="G105" i="1"/>
  <c r="F105" i="1"/>
  <c r="E105" i="1"/>
  <c r="H104" i="1"/>
  <c r="G104" i="1"/>
  <c r="F104" i="1"/>
  <c r="E104" i="1"/>
  <c r="H103" i="1"/>
  <c r="G103" i="1"/>
  <c r="F103" i="1"/>
  <c r="E103" i="1"/>
  <c r="H102" i="1"/>
  <c r="G102" i="1"/>
  <c r="F102" i="1"/>
  <c r="E102" i="1"/>
  <c r="H101" i="1"/>
  <c r="G101" i="1"/>
  <c r="F101" i="1"/>
  <c r="E101" i="1"/>
  <c r="H100" i="1"/>
  <c r="G100" i="1"/>
  <c r="F100" i="1"/>
  <c r="E100" i="1"/>
  <c r="H99" i="1"/>
  <c r="G99" i="1"/>
  <c r="F99" i="1"/>
  <c r="E99" i="1"/>
  <c r="H98" i="1"/>
  <c r="G98" i="1"/>
  <c r="F98" i="1"/>
  <c r="E98" i="1"/>
  <c r="H97" i="1"/>
  <c r="G97" i="1"/>
  <c r="F97" i="1"/>
  <c r="E97" i="1"/>
  <c r="H96" i="1"/>
  <c r="G96" i="1"/>
  <c r="F96" i="1"/>
  <c r="E96" i="1"/>
  <c r="H95" i="1"/>
  <c r="G95" i="1"/>
  <c r="F95" i="1"/>
  <c r="E95" i="1"/>
  <c r="H94" i="1"/>
  <c r="G94" i="1"/>
  <c r="F94" i="1"/>
  <c r="E94" i="1"/>
  <c r="H93" i="1"/>
  <c r="G93" i="1"/>
  <c r="F93" i="1"/>
  <c r="E93" i="1"/>
  <c r="H92" i="1"/>
  <c r="G92" i="1"/>
  <c r="F92" i="1"/>
  <c r="E92" i="1"/>
  <c r="H91" i="1"/>
  <c r="G91" i="1"/>
  <c r="F91" i="1"/>
  <c r="E91" i="1"/>
  <c r="H90" i="1"/>
  <c r="G90" i="1"/>
  <c r="F90" i="1"/>
  <c r="E90" i="1"/>
  <c r="H89" i="1"/>
  <c r="G89" i="1"/>
  <c r="F89" i="1"/>
  <c r="E89" i="1"/>
  <c r="H88" i="1"/>
  <c r="G88" i="1"/>
  <c r="F88" i="1"/>
  <c r="E88" i="1"/>
  <c r="H87" i="1"/>
  <c r="G87" i="1"/>
  <c r="F87" i="1"/>
  <c r="E87" i="1"/>
  <c r="H86" i="1"/>
  <c r="G86" i="1"/>
  <c r="F86" i="1"/>
  <c r="E86" i="1"/>
  <c r="H85" i="1"/>
  <c r="G85" i="1"/>
  <c r="F85" i="1"/>
  <c r="E85" i="1"/>
  <c r="H84" i="1"/>
  <c r="G84" i="1"/>
  <c r="F84" i="1"/>
  <c r="E84" i="1"/>
  <c r="H83" i="1"/>
  <c r="G83" i="1"/>
  <c r="F83" i="1"/>
  <c r="E83" i="1"/>
  <c r="H82" i="1"/>
  <c r="G82" i="1"/>
  <c r="F82" i="1"/>
  <c r="E82" i="1"/>
  <c r="H81" i="1"/>
  <c r="G81" i="1"/>
  <c r="F81" i="1"/>
  <c r="E81" i="1"/>
  <c r="H80" i="1"/>
  <c r="G80" i="1"/>
  <c r="F80" i="1"/>
  <c r="E80" i="1"/>
  <c r="H79" i="1"/>
  <c r="G79" i="1"/>
  <c r="F79" i="1"/>
  <c r="E79" i="1"/>
  <c r="H78" i="1"/>
  <c r="G78" i="1"/>
  <c r="F78" i="1"/>
  <c r="E78" i="1"/>
  <c r="H77" i="1"/>
  <c r="G77" i="1"/>
  <c r="F77" i="1"/>
  <c r="E77" i="1"/>
  <c r="H76" i="1"/>
  <c r="G76" i="1"/>
  <c r="F76" i="1"/>
  <c r="E76" i="1"/>
  <c r="H75" i="1"/>
  <c r="G75" i="1"/>
  <c r="F75" i="1"/>
  <c r="E75" i="1"/>
  <c r="H74" i="1"/>
  <c r="G74" i="1"/>
  <c r="F74" i="1"/>
  <c r="E74" i="1"/>
  <c r="H73" i="1"/>
  <c r="G73" i="1"/>
  <c r="F73" i="1"/>
  <c r="E73" i="1"/>
  <c r="H72" i="1"/>
  <c r="G72" i="1"/>
  <c r="F72" i="1"/>
  <c r="E72" i="1"/>
  <c r="H71" i="1"/>
  <c r="G71" i="1"/>
  <c r="F71" i="1"/>
  <c r="E71" i="1"/>
  <c r="H70" i="1"/>
  <c r="G70" i="1"/>
  <c r="F70" i="1"/>
  <c r="E70" i="1"/>
  <c r="H69" i="1"/>
  <c r="G69" i="1"/>
  <c r="F69" i="1"/>
  <c r="E69" i="1"/>
  <c r="H68" i="1"/>
  <c r="G68" i="1"/>
  <c r="F68" i="1"/>
  <c r="E68" i="1"/>
  <c r="H67" i="1"/>
  <c r="G67" i="1"/>
  <c r="F67" i="1"/>
  <c r="E67" i="1"/>
  <c r="H66" i="1"/>
  <c r="G66" i="1"/>
  <c r="F66" i="1"/>
  <c r="E66" i="1"/>
  <c r="H65" i="1"/>
  <c r="G65" i="1"/>
  <c r="F65" i="1"/>
  <c r="E65" i="1"/>
  <c r="H64" i="1"/>
  <c r="G64" i="1"/>
  <c r="F64" i="1"/>
  <c r="E64" i="1"/>
  <c r="H63" i="1"/>
  <c r="G63" i="1"/>
  <c r="F63" i="1"/>
  <c r="E63" i="1"/>
  <c r="H62" i="1"/>
  <c r="G62" i="1"/>
  <c r="F62" i="1"/>
  <c r="E62" i="1"/>
  <c r="H61" i="1"/>
  <c r="G61" i="1"/>
  <c r="F61" i="1"/>
  <c r="E61" i="1"/>
  <c r="H60" i="1"/>
  <c r="G60" i="1"/>
  <c r="F60" i="1"/>
  <c r="E60" i="1"/>
  <c r="H59" i="1"/>
  <c r="G59" i="1"/>
  <c r="F59" i="1"/>
  <c r="E59" i="1"/>
  <c r="H58" i="1"/>
  <c r="G58" i="1"/>
  <c r="F58" i="1"/>
  <c r="E58" i="1"/>
  <c r="H57" i="1"/>
  <c r="G57" i="1"/>
  <c r="F57" i="1"/>
  <c r="E57" i="1"/>
  <c r="H56" i="1"/>
  <c r="G56" i="1"/>
  <c r="F56" i="1"/>
  <c r="E56" i="1"/>
  <c r="H55" i="1"/>
  <c r="G55" i="1"/>
  <c r="F55" i="1"/>
  <c r="E55" i="1"/>
  <c r="H54" i="1"/>
  <c r="G54" i="1"/>
  <c r="F54" i="1"/>
  <c r="E54" i="1"/>
  <c r="H53" i="1"/>
  <c r="G53" i="1"/>
  <c r="F53" i="1"/>
  <c r="E53" i="1"/>
  <c r="H52" i="1"/>
  <c r="G52" i="1"/>
  <c r="F52" i="1"/>
  <c r="E52" i="1"/>
  <c r="H51" i="1"/>
  <c r="G51" i="1"/>
  <c r="F51" i="1"/>
  <c r="E51" i="1"/>
  <c r="H50" i="1"/>
  <c r="G50" i="1"/>
  <c r="F50" i="1"/>
  <c r="E50" i="1"/>
  <c r="H49" i="1"/>
  <c r="G49" i="1"/>
  <c r="F49" i="1"/>
  <c r="E49" i="1"/>
  <c r="H48" i="1"/>
  <c r="G48" i="1"/>
  <c r="F48" i="1"/>
  <c r="E48" i="1"/>
  <c r="H47" i="1"/>
  <c r="G47" i="1"/>
  <c r="F47" i="1"/>
  <c r="E47" i="1"/>
  <c r="H46" i="1"/>
  <c r="G46" i="1"/>
  <c r="F46" i="1"/>
  <c r="E46" i="1"/>
  <c r="H45" i="1"/>
  <c r="G45" i="1"/>
  <c r="F45" i="1"/>
  <c r="E45" i="1"/>
  <c r="H44" i="1"/>
  <c r="G44" i="1"/>
  <c r="F44" i="1"/>
  <c r="E44" i="1"/>
  <c r="H43" i="1"/>
  <c r="G43" i="1"/>
  <c r="F43" i="1"/>
  <c r="E43" i="1"/>
  <c r="H42" i="1"/>
  <c r="G42" i="1"/>
  <c r="F42" i="1"/>
  <c r="E42" i="1"/>
  <c r="H41" i="1"/>
  <c r="G41" i="1"/>
  <c r="F41" i="1"/>
  <c r="E41" i="1"/>
  <c r="H40" i="1"/>
  <c r="G40" i="1"/>
  <c r="F40" i="1"/>
  <c r="E40" i="1"/>
  <c r="H39" i="1"/>
  <c r="G39" i="1"/>
  <c r="F39" i="1"/>
  <c r="E39" i="1"/>
  <c r="H38" i="1"/>
  <c r="G38" i="1"/>
  <c r="F38" i="1"/>
  <c r="E38" i="1"/>
  <c r="H37" i="1"/>
  <c r="G37" i="1"/>
  <c r="F37" i="1"/>
  <c r="E37" i="1"/>
  <c r="H36" i="1"/>
  <c r="G36" i="1"/>
  <c r="F36" i="1"/>
  <c r="E36" i="1"/>
  <c r="H35" i="1"/>
  <c r="G35" i="1"/>
  <c r="F35" i="1"/>
  <c r="E35" i="1"/>
  <c r="H34" i="1"/>
  <c r="G34" i="1"/>
  <c r="F34" i="1"/>
  <c r="E34" i="1"/>
  <c r="H33" i="1"/>
  <c r="G33" i="1"/>
  <c r="F33" i="1"/>
  <c r="E33" i="1"/>
  <c r="H32" i="1"/>
  <c r="G32" i="1"/>
  <c r="F32" i="1"/>
  <c r="E32" i="1"/>
  <c r="H31" i="1"/>
  <c r="G31" i="1"/>
  <c r="F31" i="1"/>
  <c r="E31" i="1"/>
  <c r="H30" i="1"/>
  <c r="G30" i="1"/>
  <c r="F30" i="1"/>
  <c r="E30" i="1"/>
  <c r="H29" i="1"/>
  <c r="G29" i="1"/>
  <c r="F29" i="1"/>
  <c r="E29" i="1"/>
  <c r="H28" i="1"/>
  <c r="G28" i="1"/>
  <c r="F28" i="1"/>
  <c r="E28" i="1"/>
  <c r="H27" i="1"/>
  <c r="G27" i="1"/>
  <c r="F27" i="1"/>
  <c r="E27" i="1"/>
  <c r="H26" i="1"/>
  <c r="G26" i="1"/>
  <c r="F26" i="1"/>
  <c r="E26" i="1"/>
  <c r="H25" i="1"/>
  <c r="G25" i="1"/>
  <c r="F25" i="1"/>
  <c r="E25" i="1"/>
  <c r="H24" i="1"/>
  <c r="G24" i="1"/>
  <c r="F24" i="1"/>
  <c r="E24" i="1"/>
  <c r="H23" i="1"/>
  <c r="G23" i="1"/>
  <c r="F23" i="1"/>
  <c r="E23" i="1"/>
  <c r="H22" i="1"/>
  <c r="G22" i="1"/>
  <c r="F22" i="1"/>
  <c r="E22" i="1"/>
  <c r="H21" i="1"/>
  <c r="G21" i="1"/>
  <c r="F21" i="1"/>
  <c r="E21" i="1"/>
  <c r="H20" i="1"/>
  <c r="G20" i="1"/>
  <c r="F20" i="1"/>
  <c r="E20" i="1"/>
  <c r="H19" i="1"/>
  <c r="G19" i="1"/>
  <c r="F19" i="1"/>
  <c r="E19" i="1"/>
  <c r="H18" i="1"/>
  <c r="G18" i="1"/>
  <c r="F18" i="1"/>
  <c r="E18" i="1"/>
  <c r="H17" i="1"/>
  <c r="G17" i="1"/>
  <c r="F17" i="1"/>
  <c r="E17" i="1"/>
  <c r="H16" i="1"/>
  <c r="G16" i="1"/>
  <c r="F16" i="1"/>
  <c r="E16" i="1"/>
  <c r="H15" i="1"/>
  <c r="G15" i="1"/>
  <c r="F15" i="1"/>
  <c r="E15" i="1"/>
  <c r="H14" i="1"/>
  <c r="G14" i="1"/>
  <c r="F14" i="1"/>
  <c r="E14" i="1"/>
  <c r="H13" i="1"/>
  <c r="G13" i="1"/>
  <c r="F13" i="1"/>
  <c r="E13" i="1"/>
  <c r="H12" i="1"/>
  <c r="G12" i="1"/>
  <c r="F12" i="1"/>
  <c r="E12" i="1"/>
  <c r="H11" i="1"/>
  <c r="G11" i="1"/>
  <c r="F11" i="1"/>
  <c r="E11" i="1"/>
  <c r="H10" i="1"/>
  <c r="G10" i="1"/>
  <c r="F10" i="1"/>
  <c r="E10" i="1"/>
  <c r="H9" i="1"/>
  <c r="G9" i="1"/>
  <c r="F9" i="1"/>
  <c r="E9" i="1"/>
  <c r="H8" i="1"/>
  <c r="G8" i="1"/>
  <c r="F8" i="1"/>
  <c r="E8" i="1"/>
  <c r="H7" i="1"/>
  <c r="G7" i="1"/>
  <c r="F7" i="1"/>
  <c r="E7" i="1"/>
  <c r="H5" i="1"/>
  <c r="G5" i="1"/>
</calcChain>
</file>

<file path=xl/sharedStrings.xml><?xml version="1.0" encoding="utf-8"?>
<sst xmlns="http://schemas.openxmlformats.org/spreadsheetml/2006/main" count="1146" uniqueCount="404">
  <si>
    <t>România</t>
  </si>
  <si>
    <t>Italia</t>
  </si>
  <si>
    <t>Germania</t>
  </si>
  <si>
    <t>Polonia</t>
  </si>
  <si>
    <t>Bulgaria</t>
  </si>
  <si>
    <t>Austria</t>
  </si>
  <si>
    <t>Grecia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</si>
  <si>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</si>
  <si>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</si>
  <si>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</si>
  <si>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</si>
  <si>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</si>
  <si>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</si>
  <si>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</si>
  <si>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</si>
  <si>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</si>
  <si>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¹ În preţuri curente</t>
  </si>
  <si>
    <t>Animale vii</t>
  </si>
  <si>
    <t>Materiale brute necomestibile, exclusiv combustibili</t>
  </si>
  <si>
    <t>Produse chimice organice</t>
  </si>
  <si>
    <t>Produse chimice anorganice</t>
  </si>
  <si>
    <t>Materiale plastice sub forme primare</t>
  </si>
  <si>
    <t>Materiale plastice prelucrate</t>
  </si>
  <si>
    <t>Cauciuc prelucrat</t>
  </si>
  <si>
    <t>Articole din minerale nemetalice</t>
  </si>
  <si>
    <t>Metale neferoase</t>
  </si>
  <si>
    <t>Articole prelucrate din metal</t>
  </si>
  <si>
    <t>Alte echipamente de transport</t>
  </si>
  <si>
    <t>Articole manufacturate diverse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</si>
  <si>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</si>
  <si>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</si>
  <si>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</si>
  <si>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</si>
  <si>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</si>
  <si>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</si>
  <si>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</si>
  <si>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</si>
  <si>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</si>
  <si>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</si>
  <si>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</si>
  <si>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</si>
  <si>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</si>
  <si>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</si>
  <si>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</si>
  <si>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</si>
  <si>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</si>
  <si>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</si>
  <si>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</si>
  <si>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</si>
  <si>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</si>
  <si>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</si>
  <si>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</si>
  <si>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</si>
  <si>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</si>
  <si>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</si>
  <si>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</si>
  <si>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</si>
  <si>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</si>
  <si>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</si>
  <si>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Indonezia</t>
  </si>
  <si>
    <t>Serbia</t>
  </si>
  <si>
    <t>Iordania</t>
  </si>
  <si>
    <t>Canada</t>
  </si>
  <si>
    <t>India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</si>
  <si>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</si>
  <si>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</si>
  <si>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</si>
  <si>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</si>
  <si>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</si>
  <si>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</si>
  <si>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</si>
  <si>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</si>
  <si>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</si>
  <si>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</si>
  <si>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</si>
  <si>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</si>
  <si>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</si>
  <si>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</si>
  <si>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</si>
  <si>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</si>
  <si>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</si>
  <si>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</si>
  <si>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</si>
  <si>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Tunisia</t>
  </si>
  <si>
    <t>Columbia</t>
  </si>
  <si>
    <t>Australia</t>
  </si>
  <si>
    <t>Noua Zeelandă</t>
  </si>
  <si>
    <t>Mongolia</t>
  </si>
  <si>
    <t>Peru</t>
  </si>
  <si>
    <t>Kenya</t>
  </si>
  <si>
    <t>EXPORT - total</t>
  </si>
  <si>
    <t>Oman</t>
  </si>
  <si>
    <t>Albania</t>
  </si>
  <si>
    <t>Qatar</t>
  </si>
  <si>
    <t>Ponderea, %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</si>
  <si>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</si>
  <si>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</si>
  <si>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</si>
  <si>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</si>
  <si>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</si>
  <si>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</si>
  <si>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</si>
  <si>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t>IMPORT - total</t>
  </si>
  <si>
    <t>Etiopia</t>
  </si>
  <si>
    <t>Bahrain</t>
  </si>
  <si>
    <t xml:space="preserve">   din care:</t>
  </si>
  <si>
    <t>Macedonia de Nord</t>
  </si>
  <si>
    <t>Cote D'Ivoire</t>
  </si>
  <si>
    <t>Zimbabwe</t>
  </si>
  <si>
    <t>Camerun</t>
  </si>
  <si>
    <t xml:space="preserve">EXPORT - total      </t>
  </si>
  <si>
    <t>Mali</t>
  </si>
  <si>
    <t>Ţările Uniunii Europene (UE-27) - total</t>
  </si>
  <si>
    <t>Celelalte țări ale lumii - total</t>
  </si>
  <si>
    <t>Ţările CSI - total</t>
  </si>
  <si>
    <t>Celelalte ţări ale lumii - total</t>
  </si>
  <si>
    <t>Liberia</t>
  </si>
  <si>
    <t>Cambodgia</t>
  </si>
  <si>
    <t>Ghana</t>
  </si>
  <si>
    <t>Zahăr, preparate pe bază de zahăr; miere</t>
  </si>
  <si>
    <t>Hrană destinată animalelor (exclusiv cereale nemăcinate)</t>
  </si>
  <si>
    <t>Pastă de hârtie şi deşeuri de hârtie</t>
  </si>
  <si>
    <t>Fibre textile (cu excepţia lânii în fuior şi a lânii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</si>
  <si>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</si>
  <si>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</si>
  <si>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</si>
  <si>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</si>
  <si>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</si>
  <si>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Uleiuri, grăsimi şi ceruri de origine animală sau vegetală</t>
  </si>
  <si>
    <t>Grăsimi şi uleiuri vegetale fixate, brute, rafinate sau fracţionate</t>
  </si>
  <si>
    <t>Produse chimice şi produse derivate nespecificate în altă parte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</si>
  <si>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</si>
  <si>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</si>
  <si>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</si>
  <si>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</si>
  <si>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Alte materiale şi produse chimice</t>
  </si>
  <si>
    <t>Piele, altă piele şi blană prelucrate</t>
  </si>
  <si>
    <t>Articole din lemn (exclusiv mobilă)</t>
  </si>
  <si>
    <t>Hârtie, carton şi articole din pastă de celuloză, din hârtie sau din carton</t>
  </si>
  <si>
    <t>Fire, tesături, articole textile necuprinse în altă parte şi produse conexe</t>
  </si>
  <si>
    <t>Fier şi oţel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</si>
  <si>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</si>
  <si>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</si>
  <si>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</si>
  <si>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</si>
  <si>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</si>
  <si>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</si>
  <si>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</si>
  <si>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</si>
  <si>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</si>
  <si>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Mobilă şi părţile ei</t>
  </si>
  <si>
    <t>Articole de voiaj; sacoşe şi similare</t>
  </si>
  <si>
    <t>Îmbrăcăminte şi accesorii</t>
  </si>
  <si>
    <t>Încălţăminte</t>
  </si>
  <si>
    <t>Aparate fotografice, echipamente şi furnituri de optică; ceasuri şi orologii</t>
  </si>
  <si>
    <t>Bunuri neclasificate în altă secţiune din CSCI</t>
  </si>
  <si>
    <t>Produse alimentare şi 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</si>
  <si>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</si>
  <si>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</si>
  <si>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</si>
  <si>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</si>
  <si>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</si>
  <si>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Cafea, ceai, cacao, condimente şi înlocuitori ai acestora</t>
  </si>
  <si>
    <t>Produse şi preparate alimentare diverse</t>
  </si>
  <si>
    <t>Băuturi şi tutun</t>
  </si>
  <si>
    <t>Băuturi (alcoolice şi nealcoolice)</t>
  </si>
  <si>
    <t>Tutun brut şi prelucrat</t>
  </si>
  <si>
    <t>Seminţe şi fructe oleaginoase</t>
  </si>
  <si>
    <t>Cauciuc brut (inclusiv cauciuc sintetic şi regenerat)</t>
  </si>
  <si>
    <t>Lemn şi plută</t>
  </si>
  <si>
    <t>Cărbune, cocs şi brichete</t>
  </si>
  <si>
    <t>Gaz şi produse industriale obţinute din gaz</t>
  </si>
  <si>
    <t>Alte uleiuri şi grăsimi animale sau vegetale prelucrate; ceară de origine animală sau vegetală, amestecuri sau preparate necomestibile din uleiuri animale sau vegetale</t>
  </si>
  <si>
    <t>Piei crude, piei tăbăcite şi blănuri brute</t>
  </si>
  <si>
    <t>Uleiuri şi grăsimi de origine animală</t>
  </si>
  <si>
    <t>Construcţii prefabricate; alte instalaţii şi accesorii pentru instalaţii sanitare, de încalzit şi de iluminat</t>
  </si>
  <si>
    <t>Țările CSI - total</t>
  </si>
  <si>
    <t>Țările Uniunii Europene (UE-27)</t>
  </si>
  <si>
    <t xml:space="preserve">Țările CSI </t>
  </si>
  <si>
    <t xml:space="preserve">Celelalte țări ale lumii </t>
  </si>
  <si>
    <t>Afganistan</t>
  </si>
  <si>
    <t>Cod           CSCI</t>
  </si>
  <si>
    <t>0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</si>
  <si>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</si>
  <si>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</si>
  <si>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</si>
  <si>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</si>
  <si>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</si>
  <si>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</si>
  <si>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</si>
  <si>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</si>
  <si>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</si>
  <si>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</si>
  <si>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</si>
  <si>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11</t>
  </si>
  <si>
    <t>12</t>
  </si>
  <si>
    <t>2</t>
  </si>
  <si>
    <t>21</t>
  </si>
  <si>
    <t>22</t>
  </si>
  <si>
    <t>24</t>
  </si>
  <si>
    <t>25</t>
  </si>
  <si>
    <t>26</t>
  </si>
  <si>
    <t>27</t>
  </si>
  <si>
    <t>28</t>
  </si>
  <si>
    <t>29</t>
  </si>
  <si>
    <t>3</t>
  </si>
  <si>
    <t>32</t>
  </si>
  <si>
    <t>33</t>
  </si>
  <si>
    <t>4</t>
  </si>
  <si>
    <t>41</t>
  </si>
  <si>
    <t>42</t>
  </si>
  <si>
    <t>43</t>
  </si>
  <si>
    <t>5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</si>
  <si>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</si>
  <si>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</si>
  <si>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</si>
  <si>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</si>
  <si>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</si>
  <si>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</si>
  <si>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</si>
  <si>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</si>
  <si>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</si>
  <si>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</si>
  <si>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</si>
  <si>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</si>
  <si>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</si>
  <si>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</si>
  <si>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</si>
  <si>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</si>
  <si>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</si>
  <si>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</si>
  <si>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</si>
  <si>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</si>
  <si>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</si>
  <si>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</si>
  <si>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</si>
  <si>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</si>
  <si>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</si>
  <si>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</si>
  <si>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</si>
  <si>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</si>
  <si>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</si>
  <si>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</t>
  </si>
  <si>
    <t>81</t>
  </si>
  <si>
    <t>82</t>
  </si>
  <si>
    <t>83</t>
  </si>
  <si>
    <t>84</t>
  </si>
  <si>
    <t>85</t>
  </si>
  <si>
    <t>87</t>
  </si>
  <si>
    <t>88</t>
  </si>
  <si>
    <t>89</t>
  </si>
  <si>
    <t>23</t>
  </si>
  <si>
    <t>34</t>
  </si>
  <si>
    <t>9</t>
  </si>
  <si>
    <t>Cod CSCI</t>
  </si>
  <si>
    <t>conform Clasificării Standard de Comerţ Internaţional (CSCI)</t>
  </si>
  <si>
    <t xml:space="preserve">  ¹ În preţuri curente</t>
  </si>
  <si>
    <t>35</t>
  </si>
  <si>
    <t>Energie electrica</t>
  </si>
  <si>
    <t>Energie electrică</t>
  </si>
  <si>
    <t>Celelalte țări ale lumii</t>
  </si>
  <si>
    <t>Malawi</t>
  </si>
  <si>
    <t>Franța</t>
  </si>
  <si>
    <t>Croația</t>
  </si>
  <si>
    <t>Federația Rusă</t>
  </si>
  <si>
    <t>Cehia</t>
  </si>
  <si>
    <t>Kârgâzstan</t>
  </si>
  <si>
    <t>Taiwan, provincie a Chinei</t>
  </si>
  <si>
    <t>Insulele Feroe</t>
  </si>
  <si>
    <t>Burkina Faso</t>
  </si>
  <si>
    <t>Regatul Țărilor de Jos (Netherlands)</t>
  </si>
  <si>
    <t>Țările Uniunii Europene - total</t>
  </si>
  <si>
    <t>Gaz și produse industriale obținute din gaz</t>
  </si>
  <si>
    <t>Republica Dominicană</t>
  </si>
  <si>
    <t>Kosovo</t>
  </si>
  <si>
    <t>Tuvalu</t>
  </si>
  <si>
    <t>-</t>
  </si>
  <si>
    <t>Instrumente şi aparate profesionale, ştiinţifice şi de control</t>
  </si>
  <si>
    <t>Ciad</t>
  </si>
  <si>
    <t>Uganda</t>
  </si>
  <si>
    <t>Nepal</t>
  </si>
  <si>
    <t>Instrumente şi aparate, profesionale, ştiinţifice şi de control</t>
  </si>
  <si>
    <t>Algeria</t>
  </si>
  <si>
    <t>Kuwait</t>
  </si>
  <si>
    <t>Togo</t>
  </si>
  <si>
    <t>Lesotho</t>
  </si>
  <si>
    <t>Coreea de Nord</t>
  </si>
  <si>
    <t>Mauritania</t>
  </si>
  <si>
    <t>Nicaragua</t>
  </si>
  <si>
    <t>Liechtenstein</t>
  </si>
  <si>
    <t>Libia</t>
  </si>
  <si>
    <t>Sudan</t>
  </si>
  <si>
    <t>Muntenegru</t>
  </si>
  <si>
    <t>Belize</t>
  </si>
  <si>
    <t>Venezuela</t>
  </si>
  <si>
    <t>San Marino</t>
  </si>
  <si>
    <t>Mauritius</t>
  </si>
  <si>
    <t>Guatemala</t>
  </si>
  <si>
    <t>Laos</t>
  </si>
  <si>
    <t>Yemen</t>
  </si>
  <si>
    <t>Haiti</t>
  </si>
  <si>
    <t>Sierra Leone</t>
  </si>
  <si>
    <r>
      <t xml:space="preserve">  </t>
    </r>
    <r>
      <rPr>
        <b/>
        <vertAlign val="superscript"/>
        <sz val="8"/>
        <rFont val="Arial"/>
        <family val="2"/>
        <charset val="204"/>
      </rPr>
      <t>2</t>
    </r>
    <r>
      <rPr>
        <b/>
        <sz val="8"/>
        <rFont val="Arial"/>
        <family val="2"/>
        <charset val="204"/>
      </rPr>
      <t xml:space="preserve"> Faţă de anul precedent</t>
    </r>
  </si>
  <si>
    <r>
      <t xml:space="preserve">  </t>
    </r>
    <r>
      <rPr>
        <b/>
        <vertAlign val="superscript"/>
        <sz val="9"/>
        <rFont val="Arial"/>
        <family val="2"/>
        <charset val="204"/>
      </rPr>
      <t>2</t>
    </r>
    <r>
      <rPr>
        <b/>
        <sz val="9"/>
        <rFont val="Arial"/>
        <family val="2"/>
        <charset val="204"/>
      </rPr>
      <t xml:space="preserve"> Faţă de anul precedent</t>
    </r>
  </si>
  <si>
    <r>
      <rPr>
        <b/>
        <sz val="10"/>
        <rFont val="Arial"/>
        <family val="2"/>
        <charset val="204"/>
      </rPr>
      <t xml:space="preserve">Anexa 1.  </t>
    </r>
    <r>
      <rPr>
        <b/>
        <i/>
        <sz val="10"/>
        <rFont val="Arial"/>
        <family val="2"/>
        <charset val="204"/>
      </rPr>
      <t>Exporturile structurate pe principalele ţări de destinaţie a mărfurilor şi pe grupe de ţări</t>
    </r>
  </si>
  <si>
    <t>Cuba</t>
  </si>
  <si>
    <t>Paraguay</t>
  </si>
  <si>
    <r>
      <rPr>
        <b/>
        <sz val="10"/>
        <color indexed="8"/>
        <rFont val="Arial"/>
        <family val="2"/>
        <charset val="204"/>
      </rPr>
      <t xml:space="preserve">Anexa 2.  </t>
    </r>
    <r>
      <rPr>
        <b/>
        <i/>
        <sz val="10"/>
        <color indexed="8"/>
        <rFont val="Arial"/>
        <family val="2"/>
        <charset val="204"/>
      </rPr>
      <t>Importurile structurate pe principalele ţări de origine a mărfurilor şi pe grupe de ţări</t>
    </r>
  </si>
  <si>
    <t>Republica Arabă Siria</t>
  </si>
  <si>
    <t>Republica Unită Tanzania</t>
  </si>
  <si>
    <r>
      <rPr>
        <b/>
        <sz val="10"/>
        <color indexed="8"/>
        <rFont val="Arial"/>
        <family val="2"/>
        <charset val="204"/>
      </rPr>
      <t xml:space="preserve">Anexa 3.  </t>
    </r>
    <r>
      <rPr>
        <b/>
        <i/>
        <sz val="10"/>
        <color indexed="8"/>
        <rFont val="Arial"/>
        <family val="2"/>
        <charset val="204"/>
      </rPr>
      <t>Balanţa comercială structurată pe principalele ţări şi pe grupe de ţări</t>
    </r>
  </si>
  <si>
    <r>
      <rPr>
        <b/>
        <sz val="10"/>
        <rFont val="Arial"/>
        <family val="2"/>
        <charset val="204"/>
      </rPr>
      <t xml:space="preserve">Anexa 4.  </t>
    </r>
    <r>
      <rPr>
        <b/>
        <i/>
        <sz val="10"/>
        <rFont val="Arial"/>
        <family val="2"/>
        <charset val="204"/>
      </rPr>
      <t xml:space="preserve">Exporturile structurate după modul de transport al mărfurilor </t>
    </r>
  </si>
  <si>
    <r>
      <rPr>
        <b/>
        <sz val="10"/>
        <rFont val="Arial"/>
        <family val="2"/>
        <charset val="204"/>
      </rPr>
      <t>Anexa 5.</t>
    </r>
    <r>
      <rPr>
        <b/>
        <i/>
        <sz val="10"/>
        <rFont val="Arial"/>
        <family val="2"/>
        <charset val="204"/>
      </rPr>
      <t xml:space="preserve">  Importurile structurate după modul de transport al mărfurilor </t>
    </r>
  </si>
  <si>
    <r>
      <rPr>
        <b/>
        <sz val="10"/>
        <color indexed="8"/>
        <rFont val="Arial"/>
        <family val="2"/>
        <charset val="204"/>
      </rPr>
      <t>Anexa 6.</t>
    </r>
    <r>
      <rPr>
        <b/>
        <i/>
        <sz val="10"/>
        <color indexed="8"/>
        <rFont val="Arial"/>
        <family val="2"/>
        <charset val="204"/>
      </rPr>
      <t xml:space="preserve">  Exporturile structurate pe grupe de mărfuri, </t>
    </r>
  </si>
  <si>
    <t>Gradul de influenţă a grupelor de mărfuri  la creşterea (+),  scăderea (-) exporturilor, %</t>
  </si>
  <si>
    <t>Gradul de influenţă a ţărilor, grupelor de ţări  la              creşterea (+),  scăderea (-) importurilor, %</t>
  </si>
  <si>
    <t>Gradul de influenţă a ţărilor, grupelor de ţări  la              creşterea (+),  scăderea (-) exporturilor, %</t>
  </si>
  <si>
    <t>Gradul de influenţă a grupelor de mărfuri  la creşterea (+),  scăderea (-) importurilor, %</t>
  </si>
  <si>
    <r>
      <rPr>
        <b/>
        <sz val="10"/>
        <color indexed="8"/>
        <rFont val="Arial"/>
        <family val="2"/>
        <charset val="204"/>
      </rPr>
      <t>Anexa 7.</t>
    </r>
    <r>
      <rPr>
        <b/>
        <i/>
        <sz val="10"/>
        <color indexed="8"/>
        <rFont val="Arial"/>
        <family val="2"/>
        <charset val="204"/>
      </rPr>
      <t xml:space="preserve">  Importurile structurate pe grupe de mărfuri, </t>
    </r>
  </si>
  <si>
    <r>
      <rPr>
        <b/>
        <sz val="10"/>
        <color indexed="8"/>
        <rFont val="Arial"/>
        <family val="2"/>
        <charset val="204"/>
      </rPr>
      <t xml:space="preserve">Anexa 8.  </t>
    </r>
    <r>
      <rPr>
        <b/>
        <i/>
        <sz val="10"/>
        <color indexed="8"/>
        <rFont val="Arial"/>
        <family val="2"/>
        <charset val="204"/>
      </rPr>
      <t xml:space="preserve">Balanţa comercială structurată pe grupe de mărfuri, </t>
    </r>
  </si>
  <si>
    <t>Regatul Unit al Marii Britanii și Irlandei de Nord</t>
  </si>
  <si>
    <t>Elveția</t>
  </si>
  <si>
    <t>Șri Lanka</t>
  </si>
  <si>
    <t>Mozambic</t>
  </si>
  <si>
    <t>Palau</t>
  </si>
  <si>
    <t>Bosnia și Herțegovina</t>
  </si>
  <si>
    <t>Senegal</t>
  </si>
  <si>
    <t>Barbados</t>
  </si>
  <si>
    <t>Eswatini</t>
  </si>
  <si>
    <t>Trinidad și Tobago</t>
  </si>
  <si>
    <t>Mărfuri manufacturate, clasificate mai ales după materia primă</t>
  </si>
  <si>
    <r>
      <t xml:space="preserve"> </t>
    </r>
    <r>
      <rPr>
        <sz val="9"/>
        <rFont val="Arial"/>
        <family val="2"/>
        <charset val="204"/>
      </rPr>
      <t xml:space="preserve">  din care:</t>
    </r>
  </si>
  <si>
    <t>Mărfuri manufacturate, clasificate iulie ales după materia primă</t>
  </si>
  <si>
    <t xml:space="preserve">      din care:</t>
  </si>
  <si>
    <t>ianuarie-septembrie 2022</t>
  </si>
  <si>
    <t>ianuarie-septembrie 2023</t>
  </si>
  <si>
    <r>
      <t>ianuarie-septembrie 2022</t>
    </r>
    <r>
      <rPr>
        <b/>
        <vertAlign val="superscript"/>
        <sz val="9"/>
        <rFont val="Arial"/>
        <family val="2"/>
        <charset val="204"/>
      </rPr>
      <t>1,2</t>
    </r>
  </si>
  <si>
    <r>
      <t>ianuarie-septembrie 2023</t>
    </r>
    <r>
      <rPr>
        <b/>
        <vertAlign val="superscript"/>
        <sz val="9"/>
        <rFont val="Arial"/>
        <family val="2"/>
        <charset val="204"/>
      </rPr>
      <t>1,2</t>
    </r>
  </si>
  <si>
    <r>
      <t>Ianuarie-septembrie 2023
în % faţă de ianuarie-septembrie 
2022</t>
    </r>
    <r>
      <rPr>
        <b/>
        <vertAlign val="superscript"/>
        <sz val="9"/>
        <color rgb="FF000000"/>
        <rFont val="Arial"/>
        <family val="2"/>
        <charset val="204"/>
      </rPr>
      <t>1</t>
    </r>
  </si>
  <si>
    <t>Uruguay</t>
  </si>
  <si>
    <t xml:space="preserve">     din care:</t>
  </si>
  <si>
    <t>de 1,7 ori</t>
  </si>
  <si>
    <t>de1,8 ori</t>
  </si>
  <si>
    <t>de 1,9 ori</t>
  </si>
  <si>
    <t>de 2,5 ori</t>
  </si>
  <si>
    <t>de 3,6 ori</t>
  </si>
  <si>
    <t>de 20,0 ori</t>
  </si>
  <si>
    <t>de 2,3 ori</t>
  </si>
  <si>
    <t>de 4,0 ori</t>
  </si>
  <si>
    <t>de 1,8 ori</t>
  </si>
  <si>
    <t>de 2,1 ori</t>
  </si>
  <si>
    <t>de 2,4 ori</t>
  </si>
  <si>
    <t>de 2,9 ori</t>
  </si>
  <si>
    <t>de 16,6 ori</t>
  </si>
  <si>
    <t>de 6,9 ori</t>
  </si>
  <si>
    <t>de 35,9 ori</t>
  </si>
  <si>
    <t>de 3,1 ori</t>
  </si>
  <si>
    <t>de 5,6 ori</t>
  </si>
  <si>
    <t>de 21,2 ori</t>
  </si>
  <si>
    <t>de 4,8 ori</t>
  </si>
  <si>
    <t>de 3,0 ori</t>
  </si>
  <si>
    <t>de 25,0 ori</t>
  </si>
  <si>
    <t>de 2,2 ori</t>
  </si>
  <si>
    <t>de 4,2 ori</t>
  </si>
  <si>
    <t>de 6,2 ori</t>
  </si>
  <si>
    <t>de 132,0 ori</t>
  </si>
  <si>
    <t>de 3,2 ori</t>
  </si>
  <si>
    <t>de 2,0 ori</t>
  </si>
  <si>
    <t>de 3,9 ori</t>
  </si>
  <si>
    <t>de 3,5 ori</t>
  </si>
  <si>
    <t>de 1,6 ori</t>
  </si>
  <si>
    <t>de 4,9 ori</t>
  </si>
  <si>
    <t>de 32,5 ori</t>
  </si>
  <si>
    <t>de 28,0 ori</t>
  </si>
  <si>
    <t>de 610,8 ori</t>
  </si>
  <si>
    <t>de 4,4 ori</t>
  </si>
  <si>
    <t>de 1366,5 ori</t>
  </si>
  <si>
    <t>de 55,7 ori</t>
  </si>
  <si>
    <t>de 142,3 ori</t>
  </si>
  <si>
    <t>de 7,4 ori</t>
  </si>
  <si>
    <t>de 3,4 ori</t>
  </si>
  <si>
    <t>de 2,8 ori</t>
  </si>
  <si>
    <t>x</t>
  </si>
  <si>
    <t>de 9,7 ori</t>
  </si>
  <si>
    <t>de 16,0 ori</t>
  </si>
  <si>
    <t>de 5,1 ori</t>
  </si>
  <si>
    <t>de 7,0 ori</t>
  </si>
  <si>
    <t>de 146,8 ori</t>
  </si>
  <si>
    <t>de 148,8 ori</t>
  </si>
  <si>
    <t>de 5,4 ori</t>
  </si>
  <si>
    <t>de 91,3 ori</t>
  </si>
  <si>
    <t>de 8,4 ori</t>
  </si>
  <si>
    <t>de 2,6 ori</t>
  </si>
  <si>
    <t>de 2,7 ori</t>
  </si>
  <si>
    <t>de 14,2 ori</t>
  </si>
  <si>
    <t>Mărfuri produse în UE, la care țara de origine nu poate fi identificată</t>
  </si>
  <si>
    <t xml:space="preserve">Mărfuri produse în UE, la care țara de origine nu poate fi identificată </t>
  </si>
  <si>
    <t xml:space="preserve">   IMPORT - total      </t>
  </si>
  <si>
    <t>Valoarea, mii dolari SUA</t>
  </si>
  <si>
    <r>
      <t>Ianuarie-septembrie 2023                           în % față de                             ianuarie-septembrie 2022</t>
    </r>
    <r>
      <rPr>
        <b/>
        <vertAlign val="superscript"/>
        <sz val="9"/>
        <rFont val="Arial"/>
        <family val="2"/>
        <charset val="204"/>
      </rPr>
      <t>1</t>
    </r>
  </si>
  <si>
    <r>
      <t>Ianuarie-septembrie 2023                             în % față de                             ianuarie-septembrie 2022</t>
    </r>
    <r>
      <rPr>
        <b/>
        <vertAlign val="superscript"/>
        <sz val="9"/>
        <rFont val="Arial"/>
        <family val="2"/>
        <charset val="204"/>
      </rPr>
      <t>1</t>
    </r>
  </si>
  <si>
    <t>de 36,4 ori</t>
  </si>
  <si>
    <t>BALANŢA COMERCIALĂ – total</t>
  </si>
  <si>
    <t>BALANŢA COMERCIALĂ -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</si>
</sst>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7" x14ac:knownFonts="1">
    <font>
      <sz val="12"/>
      <color indexed="8"/>
      <name val="Times New Roman"/>
      <family val="2"/>
      <charset val="238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2"/>
      <charset val="238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2"/>
      <color rgb="FFC00000"/>
      <name val="Times New Roman"/>
      <family val="1"/>
      <charset val="204"/>
    </font>
    <font>
      <sz val="12"/>
      <color indexed="8"/>
      <name val="Times New Roman"/>
      <family val="2"/>
      <charset val="238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vertAlign val="superscript"/>
      <sz val="8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vertAlign val="superscript"/>
      <sz val="9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Times New Roman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sz val="8"/>
      <color indexed="8"/>
      <name val="Arial"/>
      <family val="2"/>
      <charset val="204"/>
    </font>
    <font>
      <b/>
      <sz val="9"/>
      <color theme="1"/>
      <name val="Arial"/>
      <family val="2"/>
      <charset val="204"/>
    </font>
    <font>
      <b/>
      <vertAlign val="superscript"/>
      <sz val="9"/>
      <color rgb="FF000000"/>
      <name val="Arial"/>
      <family val="2"/>
      <charset val="204"/>
    </font>
    <font>
      <b/>
      <sz val="12"/>
      <color indexed="8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0" fontId="5" fillId="0" borderId="0"/>
    <xf numFmtId="0" fontId="10" fillId="0" borderId="0"/>
    <xf numFmtId="0" fontId="5" fillId="0" borderId="0"/>
  </cellStyleXfs>
  <cellXfs count="137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" fontId="0" fillId="0" borderId="0" xfId="0" applyNumberFormat="1"/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4" fontId="17" fillId="0" borderId="0" xfId="0" applyNumberFormat="1" applyFont="1" applyAlignment="1">
      <alignment horizontal="right" vertical="top"/>
    </xf>
    <xf numFmtId="4" fontId="18" fillId="0" borderId="0" xfId="0" applyNumberFormat="1" applyFont="1" applyAlignment="1">
      <alignment horizontal="right" vertical="top"/>
    </xf>
    <xf numFmtId="0" fontId="2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/>
    <xf numFmtId="0" fontId="1" fillId="0" borderId="0" xfId="0" applyFont="1"/>
    <xf numFmtId="0" fontId="24" fillId="0" borderId="0" xfId="0" applyFont="1"/>
    <xf numFmtId="0" fontId="25" fillId="0" borderId="0" xfId="0" applyFont="1"/>
    <xf numFmtId="0" fontId="18" fillId="0" borderId="0" xfId="0" applyFont="1" applyAlignment="1">
      <alignment horizontal="left" vertical="top" wrapText="1" indent="1"/>
    </xf>
    <xf numFmtId="4" fontId="17" fillId="0" borderId="0" xfId="0" applyNumberFormat="1" applyFont="1" applyAlignment="1">
      <alignment horizontal="right" vertical="top" indent="1"/>
    </xf>
    <xf numFmtId="4" fontId="18" fillId="0" borderId="0" xfId="0" applyNumberFormat="1" applyFont="1" applyAlignment="1">
      <alignment horizontal="right" vertical="top" indent="1"/>
    </xf>
    <xf numFmtId="4" fontId="1" fillId="0" borderId="0" xfId="0" applyNumberFormat="1" applyFont="1"/>
    <xf numFmtId="0" fontId="30" fillId="0" borderId="0" xfId="0" applyFont="1"/>
    <xf numFmtId="0" fontId="22" fillId="0" borderId="0" xfId="0" applyFont="1" applyAlignment="1">
      <alignment vertical="top" wrapText="1"/>
    </xf>
    <xf numFmtId="0" fontId="31" fillId="0" borderId="0" xfId="0" applyFont="1"/>
    <xf numFmtId="0" fontId="32" fillId="0" borderId="0" xfId="0" applyFont="1"/>
    <xf numFmtId="38" fontId="14" fillId="0" borderId="0" xfId="0" applyNumberFormat="1" applyFont="1" applyAlignment="1">
      <alignment horizontal="left" wrapText="1"/>
    </xf>
    <xf numFmtId="0" fontId="33" fillId="0" borderId="0" xfId="0" applyFont="1"/>
    <xf numFmtId="38" fontId="17" fillId="0" borderId="0" xfId="0" applyNumberFormat="1" applyFont="1" applyAlignment="1">
      <alignment horizontal="center" vertical="top"/>
    </xf>
    <xf numFmtId="38" fontId="17" fillId="0" borderId="0" xfId="0" applyNumberFormat="1" applyFont="1" applyAlignment="1">
      <alignment horizontal="left" vertical="top" wrapText="1"/>
    </xf>
    <xf numFmtId="38" fontId="18" fillId="0" borderId="0" xfId="0" applyNumberFormat="1" applyFont="1" applyAlignment="1">
      <alignment horizontal="center" vertical="top"/>
    </xf>
    <xf numFmtId="38" fontId="18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center" vertical="top"/>
    </xf>
    <xf numFmtId="38" fontId="17" fillId="0" borderId="3" xfId="0" applyNumberFormat="1" applyFont="1" applyBorder="1" applyAlignment="1">
      <alignment horizontal="center" vertical="top"/>
    </xf>
    <xf numFmtId="38" fontId="17" fillId="0" borderId="3" xfId="0" applyNumberFormat="1" applyFont="1" applyBorder="1" applyAlignment="1">
      <alignment horizontal="left" vertical="top" wrapText="1"/>
    </xf>
    <xf numFmtId="4" fontId="17" fillId="0" borderId="3" xfId="0" applyNumberFormat="1" applyFont="1" applyBorder="1" applyAlignment="1">
      <alignment horizontal="right" vertical="top"/>
    </xf>
    <xf numFmtId="0" fontId="5" fillId="0" borderId="5" xfId="0" applyFont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 wrapText="1"/>
    </xf>
    <xf numFmtId="4" fontId="17" fillId="0" borderId="3" xfId="0" applyNumberFormat="1" applyFont="1" applyBorder="1" applyAlignment="1">
      <alignment horizontal="right" vertical="top" indent="1"/>
    </xf>
    <xf numFmtId="164" fontId="18" fillId="0" borderId="0" xfId="0" applyNumberFormat="1" applyFont="1" applyAlignment="1">
      <alignment horizontal="right" vertical="top" indent="1"/>
    </xf>
    <xf numFmtId="0" fontId="5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 wrapText="1"/>
    </xf>
    <xf numFmtId="2" fontId="17" fillId="0" borderId="0" xfId="0" applyNumberFormat="1" applyFont="1" applyAlignment="1">
      <alignment horizontal="right" vertical="top" indent="1"/>
    </xf>
    <xf numFmtId="2" fontId="18" fillId="0" borderId="0" xfId="0" applyNumberFormat="1" applyFont="1" applyAlignment="1">
      <alignment horizontal="right" vertical="top" indent="1"/>
    </xf>
    <xf numFmtId="0" fontId="14" fillId="0" borderId="0" xfId="0" applyFont="1"/>
    <xf numFmtId="2" fontId="17" fillId="0" borderId="3" xfId="0" applyNumberFormat="1" applyFont="1" applyBorder="1" applyAlignment="1">
      <alignment horizontal="right" vertical="top" indent="1"/>
    </xf>
    <xf numFmtId="0" fontId="30" fillId="0" borderId="0" xfId="0" applyFont="1" applyAlignment="1">
      <alignment horizontal="right" vertical="top" indent="1"/>
    </xf>
    <xf numFmtId="0" fontId="12" fillId="0" borderId="0" xfId="0" applyFont="1" applyAlignment="1">
      <alignment horizontal="left" wrapText="1"/>
    </xf>
    <xf numFmtId="4" fontId="12" fillId="0" borderId="5" xfId="0" applyNumberFormat="1" applyFont="1" applyBorder="1" applyAlignment="1">
      <alignment horizontal="right" wrapText="1" indent="1"/>
    </xf>
    <xf numFmtId="4" fontId="12" fillId="0" borderId="5" xfId="0" applyNumberFormat="1" applyFont="1" applyBorder="1" applyAlignment="1">
      <alignment horizontal="right" indent="1"/>
    </xf>
    <xf numFmtId="4" fontId="20" fillId="0" borderId="0" xfId="0" applyNumberFormat="1" applyFont="1" applyAlignment="1">
      <alignment horizontal="right" indent="1"/>
    </xf>
    <xf numFmtId="4" fontId="17" fillId="0" borderId="0" xfId="0" applyNumberFormat="1" applyFont="1" applyAlignment="1">
      <alignment horizontal="right" indent="1"/>
    </xf>
    <xf numFmtId="4" fontId="18" fillId="0" borderId="0" xfId="0" applyNumberFormat="1" applyFont="1" applyAlignment="1">
      <alignment horizontal="right" indent="1"/>
    </xf>
    <xf numFmtId="4" fontId="21" fillId="0" borderId="0" xfId="0" applyNumberFormat="1" applyFont="1" applyAlignment="1">
      <alignment horizontal="right" indent="1"/>
    </xf>
    <xf numFmtId="4" fontId="18" fillId="0" borderId="3" xfId="0" applyNumberFormat="1" applyFont="1" applyBorder="1" applyAlignment="1">
      <alignment horizontal="right" indent="1"/>
    </xf>
    <xf numFmtId="4" fontId="17" fillId="0" borderId="0" xfId="0" applyNumberFormat="1" applyFont="1" applyAlignment="1">
      <alignment horizontal="right" wrapText="1" indent="1"/>
    </xf>
    <xf numFmtId="4" fontId="18" fillId="0" borderId="0" xfId="0" applyNumberFormat="1" applyFont="1" applyAlignment="1">
      <alignment horizontal="right" wrapText="1" indent="1"/>
    </xf>
    <xf numFmtId="4" fontId="21" fillId="0" borderId="0" xfId="0" applyNumberFormat="1" applyFont="1" applyAlignment="1">
      <alignment horizontal="right" wrapText="1" indent="1"/>
    </xf>
    <xf numFmtId="4" fontId="18" fillId="0" borderId="3" xfId="0" applyNumberFormat="1" applyFont="1" applyBorder="1" applyAlignment="1">
      <alignment horizontal="right" wrapText="1" indent="1"/>
    </xf>
    <xf numFmtId="4" fontId="1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left" wrapText="1" indent="1"/>
    </xf>
    <xf numFmtId="0" fontId="18" fillId="0" borderId="0" xfId="0" applyFont="1" applyAlignment="1">
      <alignment horizontal="left" wrapText="1" indent="1"/>
    </xf>
    <xf numFmtId="0" fontId="17" fillId="0" borderId="0" xfId="0" applyFont="1" applyAlignment="1">
      <alignment horizontal="left" wrapText="1" indent="1"/>
    </xf>
    <xf numFmtId="38" fontId="18" fillId="0" borderId="0" xfId="0" applyNumberFormat="1" applyFont="1" applyAlignment="1">
      <alignment horizontal="left" wrapText="1" indent="1"/>
    </xf>
    <xf numFmtId="0" fontId="21" fillId="0" borderId="0" xfId="0" applyFont="1" applyAlignment="1">
      <alignment horizontal="left" indent="1"/>
    </xf>
    <xf numFmtId="0" fontId="21" fillId="0" borderId="0" xfId="0" applyFont="1" applyAlignment="1">
      <alignment horizontal="left" wrapText="1" indent="1"/>
    </xf>
    <xf numFmtId="38" fontId="18" fillId="0" borderId="3" xfId="0" applyNumberFormat="1" applyFont="1" applyBorder="1" applyAlignment="1">
      <alignment horizontal="left" wrapText="1" indent="1"/>
    </xf>
    <xf numFmtId="4" fontId="12" fillId="0" borderId="5" xfId="0" applyNumberFormat="1" applyFont="1" applyBorder="1" applyAlignment="1">
      <alignment horizontal="center"/>
    </xf>
    <xf numFmtId="4" fontId="20" fillId="0" borderId="0" xfId="0" applyNumberFormat="1" applyFont="1" applyAlignment="1">
      <alignment horizontal="center"/>
    </xf>
    <xf numFmtId="4" fontId="17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4" fontId="18" fillId="0" borderId="3" xfId="0" applyNumberFormat="1" applyFont="1" applyBorder="1" applyAlignment="1">
      <alignment horizontal="center"/>
    </xf>
    <xf numFmtId="2" fontId="18" fillId="0" borderId="0" xfId="0" applyNumberFormat="1" applyFont="1" applyAlignment="1">
      <alignment horizontal="left" wrapText="1" indent="1"/>
    </xf>
    <xf numFmtId="2" fontId="17" fillId="0" borderId="0" xfId="0" applyNumberFormat="1" applyFont="1" applyAlignment="1">
      <alignment horizontal="left" wrapText="1" indent="1"/>
    </xf>
    <xf numFmtId="2" fontId="21" fillId="0" borderId="0" xfId="0" applyNumberFormat="1" applyFont="1" applyAlignment="1">
      <alignment horizontal="left" indent="1"/>
    </xf>
    <xf numFmtId="2" fontId="21" fillId="0" borderId="3" xfId="0" applyNumberFormat="1" applyFont="1" applyBorder="1" applyAlignment="1">
      <alignment horizontal="left" indent="1"/>
    </xf>
    <xf numFmtId="4" fontId="21" fillId="0" borderId="3" xfId="0" applyNumberFormat="1" applyFont="1" applyBorder="1" applyAlignment="1">
      <alignment horizontal="right" indent="1"/>
    </xf>
    <xf numFmtId="4" fontId="28" fillId="0" borderId="0" xfId="0" applyNumberFormat="1" applyFont="1" applyAlignment="1">
      <alignment horizontal="right" wrapText="1" indent="1"/>
    </xf>
    <xf numFmtId="4" fontId="17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 wrapText="1"/>
    </xf>
    <xf numFmtId="4" fontId="21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 wrapText="1"/>
    </xf>
    <xf numFmtId="4" fontId="18" fillId="0" borderId="3" xfId="0" applyNumberFormat="1" applyFont="1" applyBorder="1" applyAlignment="1">
      <alignment horizontal="right" wrapText="1"/>
    </xf>
    <xf numFmtId="4" fontId="21" fillId="0" borderId="3" xfId="0" applyNumberFormat="1" applyFont="1" applyBorder="1" applyAlignment="1">
      <alignment horizontal="right"/>
    </xf>
    <xf numFmtId="4" fontId="12" fillId="0" borderId="0" xfId="0" applyNumberFormat="1" applyFont="1" applyAlignment="1">
      <alignment horizontal="right" wrapText="1"/>
    </xf>
    <xf numFmtId="0" fontId="12" fillId="0" borderId="0" xfId="0" applyFont="1" applyAlignment="1">
      <alignment horizontal="left" wrapText="1" indent="1"/>
    </xf>
    <xf numFmtId="0" fontId="18" fillId="0" borderId="3" xfId="0" applyFont="1" applyBorder="1" applyAlignment="1">
      <alignment horizontal="left" wrapText="1" indent="1"/>
    </xf>
    <xf numFmtId="4" fontId="29" fillId="0" borderId="0" xfId="0" applyNumberFormat="1" applyFont="1" applyAlignment="1">
      <alignment horizontal="right" indent="1"/>
    </xf>
    <xf numFmtId="4" fontId="20" fillId="0" borderId="0" xfId="0" applyNumberFormat="1" applyFont="1" applyAlignment="1">
      <alignment horizontal="right" wrapText="1"/>
    </xf>
    <xf numFmtId="4" fontId="18" fillId="0" borderId="3" xfId="0" applyNumberFormat="1" applyFont="1" applyBorder="1" applyAlignment="1">
      <alignment horizontal="right"/>
    </xf>
    <xf numFmtId="4" fontId="12" fillId="0" borderId="5" xfId="0" applyNumberFormat="1" applyFont="1" applyBorder="1" applyAlignment="1">
      <alignment horizontal="center" wrapText="1"/>
    </xf>
    <xf numFmtId="4" fontId="20" fillId="0" borderId="0" xfId="0" applyNumberFormat="1" applyFont="1" applyAlignment="1">
      <alignment horizontal="center" wrapText="1"/>
    </xf>
    <xf numFmtId="0" fontId="12" fillId="0" borderId="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4" fontId="12" fillId="0" borderId="5" xfId="0" applyNumberFormat="1" applyFont="1" applyBorder="1" applyAlignment="1">
      <alignment horizontal="right" wrapText="1"/>
    </xf>
    <xf numFmtId="4" fontId="12" fillId="0" borderId="5" xfId="0" applyNumberFormat="1" applyFont="1" applyBorder="1" applyAlignment="1">
      <alignment horizontal="right"/>
    </xf>
    <xf numFmtId="4" fontId="17" fillId="0" borderId="0" xfId="0" applyNumberFormat="1" applyFont="1" applyAlignment="1">
      <alignment horizontal="right" vertical="top" wrapText="1"/>
    </xf>
    <xf numFmtId="4" fontId="18" fillId="0" borderId="0" xfId="0" applyNumberFormat="1" applyFont="1" applyAlignment="1">
      <alignment horizontal="right" vertical="top" wrapText="1"/>
    </xf>
    <xf numFmtId="4" fontId="17" fillId="0" borderId="3" xfId="0" applyNumberFormat="1" applyFont="1" applyBorder="1" applyAlignment="1">
      <alignment horizontal="right" vertical="top" wrapText="1"/>
    </xf>
    <xf numFmtId="4" fontId="17" fillId="0" borderId="0" xfId="0" applyNumberFormat="1" applyFont="1" applyAlignment="1">
      <alignment horizontal="center" vertical="top"/>
    </xf>
    <xf numFmtId="4" fontId="18" fillId="0" borderId="0" xfId="0" applyNumberFormat="1" applyFont="1" applyAlignment="1">
      <alignment horizontal="center" vertical="top"/>
    </xf>
    <xf numFmtId="4" fontId="17" fillId="0" borderId="3" xfId="0" applyNumberFormat="1" applyFont="1" applyBorder="1" applyAlignment="1">
      <alignment horizontal="center" vertical="top"/>
    </xf>
    <xf numFmtId="2" fontId="12" fillId="0" borderId="5" xfId="0" applyNumberFormat="1" applyFont="1" applyBorder="1" applyAlignment="1">
      <alignment horizontal="right" indent="1"/>
    </xf>
    <xf numFmtId="4" fontId="12" fillId="0" borderId="0" xfId="0" applyNumberFormat="1" applyFont="1" applyAlignment="1">
      <alignment horizontal="right" indent="1"/>
    </xf>
    <xf numFmtId="0" fontId="14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8" fillId="0" borderId="6" xfId="0" applyFont="1" applyBorder="1" applyAlignment="1">
      <alignment vertical="top" wrapText="1"/>
    </xf>
    <xf numFmtId="0" fontId="18" fillId="0" borderId="7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6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34" fillId="0" borderId="6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6">
    <cellStyle name="Normal" xfId="0" builtinId="0"/>
    <cellStyle name="Normal 2" xfId="4" xr:uid="{00000000-0005-0000-0000-000000000000}"/>
    <cellStyle name="Normal 3" xfId="3" xr:uid="{00000000-0005-0000-0000-000001000000}"/>
    <cellStyle name="Обычный 2" xfId="1" xr:uid="{00000000-0005-0000-0000-000003000000}"/>
    <cellStyle name="Обычный 3" xfId="2" xr:uid="{00000000-0005-0000-0000-000004000000}"/>
    <cellStyle name="Обычный 3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117"/>
  <sheetViews>
    <sheetView tabSelected="1" zoomScale="99" zoomScaleNormal="99" workbookViewId="0">
      <selection sqref="A1:H1"/>
    </sheetView>
  </sheetViews>
  <sheetFormatPr defaultRowHeight="15.75" x14ac:dyDescent="0.25"/>
  <cols>
    <col min="1" max="1" width="34.375" style="18" customWidth="1"/>
    <col min="2" max="2" width="13.75" style="18" customWidth="1"/>
    <col min="3" max="3" width="14" style="18" customWidth="1"/>
    <col min="4" max="4" width="14.75" style="18" customWidth="1"/>
    <col min="5" max="5" width="10.75" style="18" customWidth="1"/>
    <col min="6" max="6" width="10.5" style="18" customWidth="1"/>
    <col min="7" max="7" width="10.625" style="18" customWidth="1"/>
    <col min="8" max="8" width="11.25" style="18" customWidth="1"/>
    <col min="10" max="10" width="8.875" customWidth="1"/>
  </cols>
  <sheetData>
    <row r="1" spans="1:10" x14ac:dyDescent="0.25">
      <c r="A1" s="112" t="s">
        <v>304</v>
      </c>
      <c r="B1" s="112"/>
      <c r="C1" s="112"/>
      <c r="D1" s="112"/>
      <c r="E1" s="112"/>
      <c r="F1" s="112"/>
      <c r="G1" s="112"/>
      <c r="H1" s="112"/>
    </row>
    <row r="2" spans="1:10" x14ac:dyDescent="0.25">
      <c r="A2" s="119"/>
      <c r="B2" s="119"/>
      <c r="C2" s="119"/>
      <c r="D2" s="119"/>
      <c r="E2" s="119"/>
      <c r="F2" s="119"/>
      <c r="G2" s="119"/>
      <c r="H2" s="119"/>
    </row>
    <row r="3" spans="1:10" ht="51" customHeight="1" x14ac:dyDescent="0.25">
      <c r="A3" s="113"/>
      <c r="B3" s="115" t="s">
        <v>398</v>
      </c>
      <c r="C3" s="122"/>
      <c r="D3" s="120" t="s">
        <v>399</v>
      </c>
      <c r="E3" s="115" t="s">
        <v>94</v>
      </c>
      <c r="F3" s="116"/>
      <c r="G3" s="117" t="s">
        <v>316</v>
      </c>
      <c r="H3" s="118"/>
    </row>
    <row r="4" spans="1:10" ht="44.25" customHeight="1" x14ac:dyDescent="0.25">
      <c r="A4" s="114"/>
      <c r="B4" s="13" t="s">
        <v>334</v>
      </c>
      <c r="C4" s="13" t="s">
        <v>335</v>
      </c>
      <c r="D4" s="121"/>
      <c r="E4" s="13" t="s">
        <v>334</v>
      </c>
      <c r="F4" s="13" t="s">
        <v>335</v>
      </c>
      <c r="G4" s="13" t="s">
        <v>336</v>
      </c>
      <c r="H4" s="12" t="s">
        <v>337</v>
      </c>
    </row>
    <row r="5" spans="1:10" s="19" customFormat="1" ht="15.75" customHeight="1" x14ac:dyDescent="0.2">
      <c r="A5" s="65" t="s">
        <v>90</v>
      </c>
      <c r="B5" s="53">
        <v>3277823.2474600002</v>
      </c>
      <c r="C5" s="53">
        <v>3014879.3503700001</v>
      </c>
      <c r="D5" s="72">
        <f>IF(3277823.24746="","-",3014879.35037/3277823.24746*100)</f>
        <v>91.978094081376824</v>
      </c>
      <c r="E5" s="72">
        <v>100</v>
      </c>
      <c r="F5" s="72">
        <v>100</v>
      </c>
      <c r="G5" s="72">
        <f>IF(2103421.20669="","-",(3277823.24746-2103421.20669)/2103421.20669*100)</f>
        <v>55.832946679189902</v>
      </c>
      <c r="H5" s="72">
        <f>IF(3277823.24746="","-",(3014879.35037-3277823.24746)/3277823.24746*100)</f>
        <v>-8.0219059186231743</v>
      </c>
      <c r="I5" s="28"/>
    </row>
    <row r="6" spans="1:10" ht="13.5" customHeight="1" x14ac:dyDescent="0.25">
      <c r="A6" s="66" t="s">
        <v>333</v>
      </c>
      <c r="B6" s="61"/>
      <c r="C6" s="61"/>
      <c r="D6" s="73"/>
      <c r="E6" s="73"/>
      <c r="F6" s="73"/>
      <c r="G6" s="73"/>
      <c r="H6" s="73"/>
    </row>
    <row r="7" spans="1:10" x14ac:dyDescent="0.25">
      <c r="A7" s="67" t="s">
        <v>112</v>
      </c>
      <c r="B7" s="60">
        <v>1941264.7689</v>
      </c>
      <c r="C7" s="60">
        <v>1925944.95952</v>
      </c>
      <c r="D7" s="74">
        <f>IF(1941264.7689="","-",1925944.95952/1941264.7689*100)</f>
        <v>99.210833595425484</v>
      </c>
      <c r="E7" s="74">
        <f>IF(1941264.7689="","-",1941264.7689/3277823.24746*100)</f>
        <v>59.224205283317055</v>
      </c>
      <c r="F7" s="74">
        <f>IF(1925944.95952="","-",1925944.95952/3014879.35037*100)</f>
        <v>63.881327764696096</v>
      </c>
      <c r="G7" s="74">
        <f>IF(2103421.20669="","-",(1941264.7689-1289149.57435)/2103421.20669*100)</f>
        <v>31.002596744576238</v>
      </c>
      <c r="H7" s="74">
        <f>IF(3277823.24746="","-",(1925944.95952-1941264.7689)/3277823.24746*100)</f>
        <v>-0.46737753147218603</v>
      </c>
      <c r="J7" s="7"/>
    </row>
    <row r="8" spans="1:10" x14ac:dyDescent="0.25">
      <c r="A8" s="68" t="s">
        <v>0</v>
      </c>
      <c r="B8" s="61">
        <v>933681.97479999997</v>
      </c>
      <c r="C8" s="61">
        <v>1031539.32464</v>
      </c>
      <c r="D8" s="75">
        <f>IF(OR(933681.9748="",1031539.32464=""),"-",1031539.32464/933681.9748*100)</f>
        <v>110.48080100946167</v>
      </c>
      <c r="E8" s="75">
        <f>IF(933681.9748="","-",933681.9748/3277823.24746*100)</f>
        <v>28.484817646086142</v>
      </c>
      <c r="F8" s="75">
        <f>IF(1031539.32464="","-",1031539.32464/3014879.35037*100)</f>
        <v>34.214945434330716</v>
      </c>
      <c r="G8" s="75">
        <f>IF(OR(2103421.20669="",564959.40087="",933681.9748=""),"-",(933681.9748-564959.40087)/2103421.20669*100)</f>
        <v>17.529659430895997</v>
      </c>
      <c r="H8" s="75">
        <f>IF(OR(3277823.24746="",1031539.32464="",933681.9748=""),"-",(1031539.32464-933681.9748)/3277823.24746*100)</f>
        <v>2.9854370553943119</v>
      </c>
    </row>
    <row r="9" spans="1:10" x14ac:dyDescent="0.25">
      <c r="A9" s="68" t="s">
        <v>1</v>
      </c>
      <c r="B9" s="61">
        <v>259336.99139000001</v>
      </c>
      <c r="C9" s="61">
        <v>201962.57910999999</v>
      </c>
      <c r="D9" s="75">
        <f>IF(OR(259336.99139="",201962.57911=""),"-",201962.57911/259336.99139*100)</f>
        <v>77.876502703110958</v>
      </c>
      <c r="E9" s="75">
        <f>IF(259336.99139="","-",259336.99139/3277823.24746*100)</f>
        <v>7.9118662542576503</v>
      </c>
      <c r="F9" s="75">
        <f>IF(201962.57911="","-",201962.57911/3014879.35037*100)</f>
        <v>6.6988610700197402</v>
      </c>
      <c r="G9" s="75">
        <f>IF(OR(2103421.20669="",157643.80856="",259336.99139=""),"-",(259336.99139-157643.80856)/2103421.20669*100)</f>
        <v>4.8346561547711655</v>
      </c>
      <c r="H9" s="75">
        <f>IF(OR(3277823.24746="",201962.57911="",259336.99139=""),"-",(201962.57911-259336.99139)/3277823.24746*100)</f>
        <v>-1.7503815168941677</v>
      </c>
    </row>
    <row r="10" spans="1:10" x14ac:dyDescent="0.25">
      <c r="A10" s="68" t="s">
        <v>2</v>
      </c>
      <c r="B10" s="61">
        <v>178597.79204999999</v>
      </c>
      <c r="C10" s="61">
        <v>162793.23981</v>
      </c>
      <c r="D10" s="75">
        <f>IF(OR(178597.79205="",162793.23981=""),"-",162793.23981/178597.79205*100)</f>
        <v>91.15075720780726</v>
      </c>
      <c r="E10" s="75">
        <f>IF(178597.79205="","-",178597.79205/3277823.24746*100)</f>
        <v>5.4486706135968808</v>
      </c>
      <c r="F10" s="75">
        <f>IF(162793.23981="","-",162793.23981/3014879.35037*100)</f>
        <v>5.3996601817588905</v>
      </c>
      <c r="G10" s="75">
        <f>IF(OR(2103421.20669="",187902.20156="",178597.79205=""),"-",(178597.79205-187902.20156)/2103421.20669*100)</f>
        <v>-0.4423464725185341</v>
      </c>
      <c r="H10" s="75">
        <f>IF(OR(3277823.24746="",162793.23981="",178597.79205=""),"-",(162793.23981-178597.79205)/3277823.24746*100)</f>
        <v>-0.48216609154404555</v>
      </c>
    </row>
    <row r="11" spans="1:10" x14ac:dyDescent="0.25">
      <c r="A11" s="68" t="s">
        <v>265</v>
      </c>
      <c r="B11" s="61">
        <v>75180.127099999998</v>
      </c>
      <c r="C11" s="61">
        <v>115275.68971999999</v>
      </c>
      <c r="D11" s="75">
        <f>IF(OR(75180.1271="",115275.68972=""),"-",115275.68972/75180.1271*100)</f>
        <v>153.33266139157672</v>
      </c>
      <c r="E11" s="75">
        <f>IF(75180.1271="","-",75180.1271/3277823.24746*100)</f>
        <v>2.2935991792192398</v>
      </c>
      <c r="F11" s="75">
        <f>IF(115275.68972="","-",115275.68972/3014879.35037*100)</f>
        <v>3.823558966160713</v>
      </c>
      <c r="G11" s="75">
        <f>IF(OR(2103421.20669="",60180.03887="",75180.1271=""),"-",(75180.1271-60180.03887)/2103421.20669*100)</f>
        <v>0.71312812585000718</v>
      </c>
      <c r="H11" s="75">
        <f>IF(OR(3277823.24746="",115275.68972="",75180.1271=""),"-",(115275.68972-75180.1271)/3277823.24746*100)</f>
        <v>1.2232374839329798</v>
      </c>
    </row>
    <row r="12" spans="1:10" s="4" customFormat="1" x14ac:dyDescent="0.25">
      <c r="A12" s="68" t="s">
        <v>3</v>
      </c>
      <c r="B12" s="61">
        <v>91956.270550000001</v>
      </c>
      <c r="C12" s="61">
        <v>89940.380250000002</v>
      </c>
      <c r="D12" s="75">
        <f>IF(OR(91956.27055="",89940.38025=""),"-",89940.38025/91956.27055*100)</f>
        <v>97.807772881672179</v>
      </c>
      <c r="E12" s="75">
        <f>IF(91956.27055="","-",91956.27055/3277823.24746*100)</f>
        <v>2.8054066253040739</v>
      </c>
      <c r="F12" s="75">
        <f>IF(89940.38025="","-",89940.38025/3014879.35037*100)</f>
        <v>2.9832165668242112</v>
      </c>
      <c r="G12" s="75">
        <f>IF(OR(2103421.20669="",76744.80387="",91956.27055=""),"-",(91956.27055-76744.80387)/2103421.20669*100)</f>
        <v>0.72317739459978014</v>
      </c>
      <c r="H12" s="75">
        <f>IF(OR(3277823.24746="",89940.38025="",91956.27055=""),"-",(89940.38025-91956.27055)/3277823.24746*100)</f>
        <v>-6.1500884819281253E-2</v>
      </c>
    </row>
    <row r="13" spans="1:10" s="4" customFormat="1" x14ac:dyDescent="0.25">
      <c r="A13" s="68" t="s">
        <v>4</v>
      </c>
      <c r="B13" s="61">
        <v>131205.90804000001</v>
      </c>
      <c r="C13" s="61">
        <v>54571.47754</v>
      </c>
      <c r="D13" s="75">
        <f>IF(OR(131205.90804="",54571.47754=""),"-",54571.47754/131205.90804*100)</f>
        <v>41.592241047074722</v>
      </c>
      <c r="E13" s="75">
        <f>IF(131205.90804="","-",131205.90804/3277823.24746*100)</f>
        <v>4.0028365819197864</v>
      </c>
      <c r="F13" s="75">
        <f>IF(54571.47754="","-",54571.47754/3014879.35037*100)</f>
        <v>1.8100716877211931</v>
      </c>
      <c r="G13" s="75">
        <f>IF(OR(2103421.20669="",39863.78328="",131205.90804=""),"-",(131205.90804-39863.78328)/2103421.20669*100)</f>
        <v>4.342550339869323</v>
      </c>
      <c r="H13" s="75">
        <f>IF(OR(3277823.24746="",54571.47754="",131205.90804=""),"-",(54571.47754-131205.90804)/3277823.24746*100)</f>
        <v>-2.3379671420472223</v>
      </c>
    </row>
    <row r="14" spans="1:10" s="4" customFormat="1" x14ac:dyDescent="0.25">
      <c r="A14" s="68" t="s">
        <v>34</v>
      </c>
      <c r="B14" s="61">
        <v>25311.04479</v>
      </c>
      <c r="C14" s="61">
        <v>42926.128100000002</v>
      </c>
      <c r="D14" s="75" t="s">
        <v>341</v>
      </c>
      <c r="E14" s="75">
        <f>IF(25311.04479="","-",25311.04479/3277823.24746*100)</f>
        <v>0.77219065456362368</v>
      </c>
      <c r="F14" s="75">
        <f>IF(42926.1281="","-",42926.1281/3014879.35037*100)</f>
        <v>1.4238091515911542</v>
      </c>
      <c r="G14" s="75">
        <f>IF(OR(2103421.20669="",20909.85213="",25311.04479=""),"-",(25311.04479-20909.85213)/2103421.20669*100)</f>
        <v>0.20923972079400283</v>
      </c>
      <c r="H14" s="75">
        <f>IF(OR(3277823.24746="",42926.1281="",25311.04479=""),"-",(42926.1281-25311.04479)/3277823.24746*100)</f>
        <v>0.53740186642614141</v>
      </c>
    </row>
    <row r="15" spans="1:10" s="4" customFormat="1" x14ac:dyDescent="0.25">
      <c r="A15" s="68" t="s">
        <v>36</v>
      </c>
      <c r="B15" s="61">
        <v>40546.665580000001</v>
      </c>
      <c r="C15" s="61">
        <v>36217.802710000004</v>
      </c>
      <c r="D15" s="75">
        <f>IF(OR(40546.66558="",36217.80271=""),"-",36217.80271/40546.66558*100)</f>
        <v>89.323751267637547</v>
      </c>
      <c r="E15" s="75">
        <f>IF(40546.66558="","-",40546.66558/3277823.24746*100)</f>
        <v>1.2369997562077149</v>
      </c>
      <c r="F15" s="75">
        <f>IF(36217.80271="","-",36217.80271/3014879.35037*100)</f>
        <v>1.2013018930775849</v>
      </c>
      <c r="G15" s="75">
        <f>IF(OR(2103421.20669="",29367.78577="",40546.66558=""),"-",(40546.66558-29367.78577)/2103421.20669*100)</f>
        <v>0.53146178114232223</v>
      </c>
      <c r="H15" s="75">
        <f>IF(OR(3277823.24746="",36217.80271="",40546.66558=""),"-",(36217.80271-40546.66558)/3277823.24746*100)</f>
        <v>-0.13206517079145291</v>
      </c>
    </row>
    <row r="16" spans="1:10" s="4" customFormat="1" x14ac:dyDescent="0.25">
      <c r="A16" s="68" t="s">
        <v>270</v>
      </c>
      <c r="B16" s="61">
        <v>54037.209949999997</v>
      </c>
      <c r="C16" s="61">
        <v>33560.362029999997</v>
      </c>
      <c r="D16" s="75">
        <f>IF(OR(54037.20995="",33560.36203=""),"-",33560.36203/54037.20995*100)</f>
        <v>62.10602298129939</v>
      </c>
      <c r="E16" s="75">
        <f>IF(54037.20995="","-",54037.20995/3277823.24746*100)</f>
        <v>1.6485699767940103</v>
      </c>
      <c r="F16" s="75">
        <f>IF(33560.36203="","-",33560.36203/3014879.35037*100)</f>
        <v>1.1131577131231241</v>
      </c>
      <c r="G16" s="75">
        <f>IF(OR(2103421.20669="",26262.04216="",54037.20995=""),"-",(54037.20995-26262.04216)/2103421.20669*100)</f>
        <v>1.3204757897115502</v>
      </c>
      <c r="H16" s="75">
        <f>IF(OR(3277823.24746="",33560.36203="",54037.20995=""),"-",(33560.36203-54037.20995)/3277823.24746*100)</f>
        <v>-0.6247087281435203</v>
      </c>
    </row>
    <row r="17" spans="1:8" s="4" customFormat="1" x14ac:dyDescent="0.25">
      <c r="A17" s="68" t="s">
        <v>262</v>
      </c>
      <c r="B17" s="61">
        <v>30581.03976</v>
      </c>
      <c r="C17" s="61">
        <v>31714.323970000001</v>
      </c>
      <c r="D17" s="75">
        <f>IF(OR(30581.03976="",31714.32397=""),"-",31714.32397/30581.03976*100)</f>
        <v>103.70583936613671</v>
      </c>
      <c r="E17" s="75">
        <f>IF(30581.03976="","-",30581.03976/3277823.24746*100)</f>
        <v>0.93296793180344251</v>
      </c>
      <c r="F17" s="75">
        <f>IF(31714.32397="","-",31714.32397/3014879.35037*100)</f>
        <v>1.0519268031773104</v>
      </c>
      <c r="G17" s="75">
        <f>IF(OR(2103421.20669="",23599.77411="",30581.03976=""),"-",(30581.03976-23599.77411)/2103421.20669*100)</f>
        <v>0.33190050703091978</v>
      </c>
      <c r="H17" s="75">
        <f>IF(OR(3277823.24746="",31714.32397="",30581.03976=""),"-",(31714.32397-30581.03976)/3277823.24746*100)</f>
        <v>3.4574292890203535E-2</v>
      </c>
    </row>
    <row r="18" spans="1:8" s="6" customFormat="1" x14ac:dyDescent="0.25">
      <c r="A18" s="68" t="s">
        <v>6</v>
      </c>
      <c r="B18" s="61">
        <v>26600.116180000001</v>
      </c>
      <c r="C18" s="61">
        <v>25214.577420000001</v>
      </c>
      <c r="D18" s="75">
        <f>IF(OR(26600.11618="",25214.57742=""),"-",25214.57742/26600.11618*100)</f>
        <v>94.791230419355259</v>
      </c>
      <c r="E18" s="75">
        <f>IF(26600.11618="","-",26600.11618/3277823.24746*100)</f>
        <v>0.8115177107433279</v>
      </c>
      <c r="F18" s="75">
        <f>IF(25214.57742="","-",25214.57742/3014879.35037*100)</f>
        <v>0.8363378593211549</v>
      </c>
      <c r="G18" s="75">
        <f>IF(OR(2103421.20669="",20502.34283="",26600.11618=""),"-",(26600.11618-20502.34283)/2103421.20669*100)</f>
        <v>0.28989787355028235</v>
      </c>
      <c r="H18" s="75">
        <f>IF(OR(3277823.24746="",25214.57742="",26600.11618=""),"-",(25214.57742-26600.11618)/3277823.24746*100)</f>
        <v>-4.227008765874303E-2</v>
      </c>
    </row>
    <row r="19" spans="1:8" s="4" customFormat="1" x14ac:dyDescent="0.25">
      <c r="A19" s="68" t="s">
        <v>41</v>
      </c>
      <c r="B19" s="61">
        <v>13747.240159999999</v>
      </c>
      <c r="C19" s="61">
        <v>24444.424999999999</v>
      </c>
      <c r="D19" s="75" t="s">
        <v>342</v>
      </c>
      <c r="E19" s="75">
        <f>IF(13747.24016="","-",13747.24016/3277823.24746*100)</f>
        <v>0.41940150893288086</v>
      </c>
      <c r="F19" s="75">
        <f>IF(24444.425="","-",24444.425/3014879.35037*100)</f>
        <v>0.81079280990133362</v>
      </c>
      <c r="G19" s="75">
        <f>IF(OR(2103421.20669="",4362.37265="",13747.24016=""),"-",(13747.24016-4362.37265)/2103421.20669*100)</f>
        <v>0.44617157420259534</v>
      </c>
      <c r="H19" s="75">
        <f>IF(OR(3277823.24746="",24444.425="",13747.24016=""),"-",(24444.425-13747.24016)/3277823.24746*100)</f>
        <v>0.32635026456320659</v>
      </c>
    </row>
    <row r="20" spans="1:8" s="4" customFormat="1" x14ac:dyDescent="0.25">
      <c r="A20" s="68" t="s">
        <v>37</v>
      </c>
      <c r="B20" s="61">
        <v>10440.909309999999</v>
      </c>
      <c r="C20" s="61">
        <v>15129.417439999999</v>
      </c>
      <c r="D20" s="75">
        <f>IF(OR(10440.90931="",15129.41744=""),"-",15129.41744/10440.90931*100)</f>
        <v>144.9051705248458</v>
      </c>
      <c r="E20" s="75">
        <f>IF(10440.90931="","-",10440.90931/3277823.24746*100)</f>
        <v>0.31853179753028804</v>
      </c>
      <c r="F20" s="75">
        <f>IF(15129.41744="","-",15129.41744/3014879.35037*100)</f>
        <v>0.50182497147500271</v>
      </c>
      <c r="G20" s="75">
        <f>IF(OR(2103421.20669="",4832.64561="",10440.90931=""),"-",(10440.90931-4832.64561)/2103421.20669*100)</f>
        <v>0.2666258038172637</v>
      </c>
      <c r="H20" s="75">
        <f>IF(OR(3277823.24746="",15129.41744="",10440.90931=""),"-",(15129.41744-10440.90931)/3277823.24746*100)</f>
        <v>0.14303724685683236</v>
      </c>
    </row>
    <row r="21" spans="1:8" s="4" customFormat="1" x14ac:dyDescent="0.25">
      <c r="A21" s="68" t="s">
        <v>5</v>
      </c>
      <c r="B21" s="61">
        <v>15440.22812</v>
      </c>
      <c r="C21" s="61">
        <v>15031.43561</v>
      </c>
      <c r="D21" s="75">
        <f>IF(OR(15440.22812="",15031.43561=""),"-",15031.43561/15440.22812*100)</f>
        <v>97.352419233557285</v>
      </c>
      <c r="E21" s="75">
        <f>IF(15440.22812="","-",15440.22812/3277823.24746*100)</f>
        <v>0.47105127257745527</v>
      </c>
      <c r="F21" s="75">
        <f>IF(15031.43561="","-",15031.43561/3014879.35037*100)</f>
        <v>0.49857502948352717</v>
      </c>
      <c r="G21" s="75">
        <f>IF(OR(2103421.20669="",15554.98075="",15440.22812=""),"-",(15440.22812-15554.98075)/2103421.20669*100)</f>
        <v>-5.4555231084970702E-3</v>
      </c>
      <c r="H21" s="75">
        <f>IF(OR(3277823.24746="",15031.43561="",15440.22812=""),"-",(15031.43561-15440.22812)/3277823.24746*100)</f>
        <v>-1.2471462892844343E-2</v>
      </c>
    </row>
    <row r="22" spans="1:8" s="4" customFormat="1" x14ac:dyDescent="0.25">
      <c r="A22" s="68" t="s">
        <v>35</v>
      </c>
      <c r="B22" s="61">
        <v>14331.778990000001</v>
      </c>
      <c r="C22" s="61">
        <v>11432.18893</v>
      </c>
      <c r="D22" s="75">
        <f>IF(OR(14331.77899="",11432.18893=""),"-",11432.18893/14331.77899*100)</f>
        <v>79.768107908842381</v>
      </c>
      <c r="E22" s="75">
        <f>IF(14331.77899="","-",14331.77899/3277823.24746*100)</f>
        <v>0.43723464958355396</v>
      </c>
      <c r="F22" s="75">
        <f>IF(11432.18893="","-",11432.18893/3014879.35037*100)</f>
        <v>0.37919225287064934</v>
      </c>
      <c r="G22" s="75">
        <f>IF(OR(2103421.20669="",16551.93816="",14331.77899=""),"-",(14331.77899-16551.93816)/2103421.20669*100)</f>
        <v>-0.10554990902148899</v>
      </c>
      <c r="H22" s="75">
        <f>IF(OR(3277823.24746="",11432.18893="",14331.77899=""),"-",(11432.18893-14331.77899)/3277823.24746*100)</f>
        <v>-8.8460842488895811E-2</v>
      </c>
    </row>
    <row r="23" spans="1:8" s="4" customFormat="1" x14ac:dyDescent="0.25">
      <c r="A23" s="68" t="s">
        <v>38</v>
      </c>
      <c r="B23" s="61">
        <v>11492.17182</v>
      </c>
      <c r="C23" s="61">
        <v>9474.8557500000006</v>
      </c>
      <c r="D23" s="75">
        <f>IF(OR(11492.17182="",9474.85575=""),"-",9474.85575/11492.17182*100)</f>
        <v>82.446172041308728</v>
      </c>
      <c r="E23" s="75">
        <f>IF(11492.17182="","-",11492.17182/3277823.24746*100)</f>
        <v>0.35060376818381939</v>
      </c>
      <c r="F23" s="75">
        <f>IF(9474.85575="","-",9474.85575/3014879.35037*100)</f>
        <v>0.3142698147717653</v>
      </c>
      <c r="G23" s="75">
        <f>IF(OR(2103421.20669="",10544.08345="",11492.17182=""),"-",(11492.17182-10544.08345)/2103421.20669*100)</f>
        <v>4.5073633706105717E-2</v>
      </c>
      <c r="H23" s="75">
        <f>IF(OR(3277823.24746="",9474.85575="",11492.17182=""),"-",(9474.85575-11492.17182)/3277823.24746*100)</f>
        <v>-6.1544382283676403E-2</v>
      </c>
    </row>
    <row r="24" spans="1:8" s="4" customFormat="1" x14ac:dyDescent="0.25">
      <c r="A24" s="68" t="s">
        <v>39</v>
      </c>
      <c r="B24" s="61">
        <v>4400.5205800000003</v>
      </c>
      <c r="C24" s="61">
        <v>8188.8508000000002</v>
      </c>
      <c r="D24" s="75" t="s">
        <v>343</v>
      </c>
      <c r="E24" s="75">
        <f>IF(4400.52058="","-",4400.52058/3277823.24746*100)</f>
        <v>0.13425130788885531</v>
      </c>
      <c r="F24" s="75">
        <f>IF(8188.8508="","-",8188.8508/3014879.35037*100)</f>
        <v>0.27161454401135571</v>
      </c>
      <c r="G24" s="75">
        <f>IF(OR(2103421.20669="",4560.40764="",4400.52058=""),"-",(4400.52058-4560.40764)/2103421.20669*100)</f>
        <v>-7.6012859189340679E-3</v>
      </c>
      <c r="H24" s="75">
        <f>IF(OR(3277823.24746="",8188.8508="",4400.52058=""),"-",(8188.8508-4400.52058)/3277823.24746*100)</f>
        <v>0.11557457294061216</v>
      </c>
    </row>
    <row r="25" spans="1:8" s="2" customFormat="1" x14ac:dyDescent="0.25">
      <c r="A25" s="68" t="s">
        <v>263</v>
      </c>
      <c r="B25" s="61">
        <v>3071.0864700000002</v>
      </c>
      <c r="C25" s="61">
        <v>7724.6178200000004</v>
      </c>
      <c r="D25" s="75" t="s">
        <v>344</v>
      </c>
      <c r="E25" s="75">
        <f>IF(3071.08647="","-",3071.08647/3277823.24746*100)</f>
        <v>9.3692863774146415E-2</v>
      </c>
      <c r="F25" s="75">
        <f>IF(7724.61782="","-",7724.61782/3014879.35037*100)</f>
        <v>0.2562164823959539</v>
      </c>
      <c r="G25" s="75">
        <f>IF(OR(2103421.20669="",1291.84709="",3071.08647=""),"-",(3071.08647-1291.84709)/2103421.20669*100)</f>
        <v>8.4587878753959081E-2</v>
      </c>
      <c r="H25" s="75">
        <f>IF(OR(3277823.24746="",7724.61782="",3071.08647=""),"-",(7724.61782-3071.08647)/3277823.24746*100)</f>
        <v>0.14197017345599833</v>
      </c>
    </row>
    <row r="26" spans="1:8" s="2" customFormat="1" x14ac:dyDescent="0.25">
      <c r="A26" s="68" t="s">
        <v>40</v>
      </c>
      <c r="B26" s="61">
        <v>2640.14302</v>
      </c>
      <c r="C26" s="61">
        <v>2663.7072499999999</v>
      </c>
      <c r="D26" s="75">
        <f>IF(OR(2640.14302="",2663.70725=""),"-",2663.70725/2640.14302*100)</f>
        <v>100.89253611722897</v>
      </c>
      <c r="E26" s="75">
        <f>IF(2640.14302="","-",2640.14302/3277823.24746*100)</f>
        <v>8.0545618865991583E-2</v>
      </c>
      <c r="F26" s="75">
        <f>IF(2663.70725="","-",2663.70725/3014879.35037*100)</f>
        <v>8.835203470656619E-2</v>
      </c>
      <c r="G26" s="75">
        <f>IF(OR(2103421.20669="",3126.65575="",2640.14302=""),"-",(2640.14302-3126.65575)/2103421.20669*100)</f>
        <v>-2.3129591374881565E-2</v>
      </c>
      <c r="H26" s="75">
        <f>IF(OR(3277823.24746="",2663.70725="",2640.14302=""),"-",(2663.70725-2640.14302)/3277823.24746*100)</f>
        <v>7.1889873922457471E-4</v>
      </c>
    </row>
    <row r="27" spans="1:8" s="4" customFormat="1" x14ac:dyDescent="0.25">
      <c r="A27" s="68" t="s">
        <v>45</v>
      </c>
      <c r="B27" s="61">
        <v>15053.537039999999</v>
      </c>
      <c r="C27" s="61">
        <v>2654.9003400000001</v>
      </c>
      <c r="D27" s="75">
        <f>IF(OR(15053.53704="",2654.90034=""),"-",2654.90034/15053.53704*100)</f>
        <v>17.636388929362216</v>
      </c>
      <c r="E27" s="75">
        <f>IF(15053.53704="","-",15053.53704/3277823.24746*100)</f>
        <v>0.45925408124629824</v>
      </c>
      <c r="F27" s="75">
        <f>IF(2654.90034="","-",2654.90034/3014879.35037*100)</f>
        <v>8.8059919866251973E-2</v>
      </c>
      <c r="G27" s="75">
        <f>IF(OR(2103421.20669="",16158.78217="",15053.53704=""),"-",(15053.53704-16158.78217)/2103421.20669*100)</f>
        <v>-5.2545116807072828E-2</v>
      </c>
      <c r="H27" s="75">
        <f>IF(OR(3277823.24746="",2654.90034="",15053.53704=""),"-",(2654.90034-15053.53704)/3277823.24746*100)</f>
        <v>-0.37825824530373192</v>
      </c>
    </row>
    <row r="28" spans="1:8" s="4" customFormat="1" x14ac:dyDescent="0.25">
      <c r="A28" s="68" t="s">
        <v>42</v>
      </c>
      <c r="B28" s="61">
        <v>1155.93758</v>
      </c>
      <c r="C28" s="61">
        <v>1546.2681</v>
      </c>
      <c r="D28" s="75">
        <f>IF(OR(1155.93758="",1546.2681=""),"-",1546.2681/1155.93758*100)</f>
        <v>133.76743924183171</v>
      </c>
      <c r="E28" s="75">
        <f>IF(1155.93758="","-",1155.93758/3277823.24746*100)</f>
        <v>3.5265403065761432E-2</v>
      </c>
      <c r="F28" s="75">
        <f>IF(1546.2681="","-",1546.2681/3014879.35037*100)</f>
        <v>5.1287893155997591E-2</v>
      </c>
      <c r="G28" s="75">
        <f>IF(OR(2103421.20669="",1038.66373="",1155.93758=""),"-",(1155.93758-1038.66373)/2103421.20669*100)</f>
        <v>5.5753859296942864E-3</v>
      </c>
      <c r="H28" s="75">
        <f>IF(OR(3277823.24746="",1546.2681="",1155.93758=""),"-",(1546.2681-1155.93758)/3277823.24746*100)</f>
        <v>1.1908223553618055E-2</v>
      </c>
    </row>
    <row r="29" spans="1:8" s="2" customFormat="1" x14ac:dyDescent="0.25">
      <c r="A29" s="68" t="s">
        <v>47</v>
      </c>
      <c r="B29" s="61">
        <v>699.25387999999998</v>
      </c>
      <c r="C29" s="61">
        <v>555.29600000000005</v>
      </c>
      <c r="D29" s="75">
        <f>IF(OR(699.25388="",555.296=""),"-",555.296/699.25388*100)</f>
        <v>79.412644803629846</v>
      </c>
      <c r="E29" s="75">
        <f>IF(699.25388="","-",699.25388/3277823.24746*100)</f>
        <v>2.133287328845004E-2</v>
      </c>
      <c r="F29" s="75">
        <f>IF(555.296="","-",555.296/3014879.35037*100)</f>
        <v>1.8418514821558332E-2</v>
      </c>
      <c r="G29" s="75">
        <f>IF(OR(2103421.20669="",564.98133="",699.25388=""),"-",(699.25388-564.98133)/2103421.20669*100)</f>
        <v>6.3835312477092936E-3</v>
      </c>
      <c r="H29" s="75">
        <f>IF(OR(3277823.24746="",555.296="",699.25388=""),"-",(555.296-699.25388)/3277823.24746*100)</f>
        <v>-4.3918743974847799E-3</v>
      </c>
    </row>
    <row r="30" spans="1:8" s="2" customFormat="1" x14ac:dyDescent="0.25">
      <c r="A30" s="68" t="s">
        <v>44</v>
      </c>
      <c r="B30" s="61">
        <v>1203.9459099999999</v>
      </c>
      <c r="C30" s="61">
        <v>544.71555999999998</v>
      </c>
      <c r="D30" s="75">
        <f>IF(OR(1203.94591="",544.71556=""),"-",544.71556/1203.94591*100)</f>
        <v>45.244188752632589</v>
      </c>
      <c r="E30" s="75">
        <f>IF(1203.94591="","-",1203.94591/3277823.24746*100)</f>
        <v>3.6730043663365401E-2</v>
      </c>
      <c r="F30" s="75">
        <f>IF(544.71556="","-",544.71556/3014879.35037*100)</f>
        <v>1.8067574078317591E-2</v>
      </c>
      <c r="G30" s="75">
        <f>IF(OR(2103421.20669="",763.18886="",1203.94591=""),"-",(1203.94591-763.18886)/2103421.20669*100)</f>
        <v>2.0954293348291714E-2</v>
      </c>
      <c r="H30" s="75">
        <f>IF(OR(3277823.24746="",544.71556="",1203.94591=""),"-",(544.71556-1203.94591)/3277823.24746*100)</f>
        <v>-2.0111833379387996E-2</v>
      </c>
    </row>
    <row r="31" spans="1:8" s="2" customFormat="1" x14ac:dyDescent="0.25">
      <c r="A31" s="68" t="s">
        <v>46</v>
      </c>
      <c r="B31" s="61">
        <v>107.10317000000001</v>
      </c>
      <c r="C31" s="61">
        <v>381.16374999999999</v>
      </c>
      <c r="D31" s="75" t="s">
        <v>345</v>
      </c>
      <c r="E31" s="75">
        <f>IF(107.10317="","-",107.10317/3277823.24746*100)</f>
        <v>3.2675090117502436E-3</v>
      </c>
      <c r="F31" s="75">
        <f>IF(381.16375="","-",381.16375/3014879.35037*100)</f>
        <v>1.2642753016077469E-2</v>
      </c>
      <c r="G31" s="75">
        <f>IF(OR(2103421.20669="",472.71484="",107.10317=""),"-",(107.10317-472.71484)/2103421.20669*100)</f>
        <v>-1.7381762094874777E-2</v>
      </c>
      <c r="H31" s="75">
        <f>IF(OR(3277823.24746="",381.16375="",107.10317=""),"-",(381.16375-107.10317)/3277823.24746*100)</f>
        <v>8.3610542518535967E-3</v>
      </c>
    </row>
    <row r="32" spans="1:8" s="2" customFormat="1" x14ac:dyDescent="0.25">
      <c r="A32" s="68" t="s">
        <v>43</v>
      </c>
      <c r="B32" s="61">
        <v>345.74480999999997</v>
      </c>
      <c r="C32" s="61">
        <v>255.69662</v>
      </c>
      <c r="D32" s="75">
        <f>IF(OR(345.74481="",255.69662=""),"-",255.69662/345.74481*100)</f>
        <v>73.955302467157793</v>
      </c>
      <c r="E32" s="75">
        <f>IF(345.74481="","-",345.74481/3277823.24746*100)</f>
        <v>1.0548000422778109E-2</v>
      </c>
      <c r="F32" s="75">
        <f>IF(255.69662="","-",255.69662/3014879.35037*100)</f>
        <v>8.4811559695952572E-3</v>
      </c>
      <c r="G32" s="75">
        <f>IF(OR(2103421.20669="",1379.19921="",345.74481=""),"-",(345.74481-1379.19921)/2103421.20669*100)</f>
        <v>-4.9132070966721481E-2</v>
      </c>
      <c r="H32" s="75">
        <f>IF(OR(3277823.24746="",255.69662="",345.74481=""),"-",(255.69662-345.74481)/3277823.24746*100)</f>
        <v>-2.7471948058754763E-3</v>
      </c>
    </row>
    <row r="33" spans="1:8" s="2" customFormat="1" x14ac:dyDescent="0.25">
      <c r="A33" s="68" t="s">
        <v>49</v>
      </c>
      <c r="B33" s="61">
        <v>9.8491300000000006</v>
      </c>
      <c r="C33" s="61">
        <v>196.94077999999999</v>
      </c>
      <c r="D33" s="75" t="s">
        <v>346</v>
      </c>
      <c r="E33" s="75">
        <f>IF(9.84913="","-",9.84913/3277823.24746*100)</f>
        <v>3.0047776394386531E-4</v>
      </c>
      <c r="F33" s="75">
        <f>IF(196.94078="","-",196.94078/3014879.35037*100)</f>
        <v>6.5322939034303477E-3</v>
      </c>
      <c r="G33" s="75">
        <f>IF(OR(2103421.20669="",1.49407="",9.84913=""),"-",(9.84913-1.49407)/2103421.20669*100)</f>
        <v>3.9721288220478425E-4</v>
      </c>
      <c r="H33" s="75">
        <f>IF(OR(3277823.24746="",196.94078="",9.84913=""),"-",(196.94078-9.84913)/3277823.24746*100)</f>
        <v>5.7078016682253424E-3</v>
      </c>
    </row>
    <row r="34" spans="1:8" s="5" customFormat="1" ht="16.5" customHeight="1" x14ac:dyDescent="0.2">
      <c r="A34" s="68" t="s">
        <v>48</v>
      </c>
      <c r="B34" s="61">
        <v>90.178719999999998</v>
      </c>
      <c r="C34" s="61">
        <v>4.5944700000000003</v>
      </c>
      <c r="D34" s="75">
        <f>IF(OR(90.17872="",4.59447=""),"-",4.59447/90.17872*100)</f>
        <v>5.0948494278916359</v>
      </c>
      <c r="E34" s="75">
        <f>IF(90.17872="","-",90.17872/3277823.24746*100)</f>
        <v>2.7511770218201941E-3</v>
      </c>
      <c r="F34" s="75">
        <f>IF(4.59447="","-",4.59447/3014879.35037*100)</f>
        <v>1.5239316291168153E-4</v>
      </c>
      <c r="G34" s="75">
        <f>IF(OR(2103421.20669="",9.78503="",90.17872=""),"-",(90.17872-9.78503)/2103421.20669*100)</f>
        <v>3.8220442840599515E-3</v>
      </c>
      <c r="H34" s="75">
        <f>IF(OR(3277823.24746="",4.59447="",90.17872=""),"-",(4.59447-90.17872)/3277823.24746*100)</f>
        <v>-2.6110086950637012E-3</v>
      </c>
    </row>
    <row r="35" spans="1:8" s="5" customFormat="1" ht="15.75" customHeight="1" x14ac:dyDescent="0.2">
      <c r="A35" s="67" t="s">
        <v>114</v>
      </c>
      <c r="B35" s="60">
        <v>727371.92142000003</v>
      </c>
      <c r="C35" s="60">
        <v>720545.51428</v>
      </c>
      <c r="D35" s="74">
        <f>IF(727371.92142="","-",720545.51428/727371.92142*100)</f>
        <v>99.061497022503517</v>
      </c>
      <c r="E35" s="74">
        <f>IF(727371.92142="","-",727371.92142/3277823.24746*100)</f>
        <v>22.190699940384025</v>
      </c>
      <c r="F35" s="74">
        <f>IF(720545.51428="","-",720545.51428/3014879.35037*100)</f>
        <v>23.899646736827837</v>
      </c>
      <c r="G35" s="74">
        <f>IF(2103421.20669="","-",(727371.92142-322952.04909)/2103421.20669*100)</f>
        <v>19.226765948908824</v>
      </c>
      <c r="H35" s="74">
        <f>IF(3277823.24746="","-",(720545.51428-727371.92142)/3277823.24746*100)</f>
        <v>-0.20826037966781272</v>
      </c>
    </row>
    <row r="36" spans="1:8" s="5" customFormat="1" ht="17.25" customHeight="1" x14ac:dyDescent="0.2">
      <c r="A36" s="68" t="s">
        <v>8</v>
      </c>
      <c r="B36" s="61">
        <v>489731.78185999999</v>
      </c>
      <c r="C36" s="61">
        <v>491153.92729999998</v>
      </c>
      <c r="D36" s="75">
        <f>IF(OR(489731.78186="",491153.9273=""),"-",491153.9273/489731.78186*100)</f>
        <v>100.29039271958186</v>
      </c>
      <c r="E36" s="75">
        <f>IF(489731.78186="","-",489731.78186/3277823.24746*100)</f>
        <v>14.940762356222084</v>
      </c>
      <c r="F36" s="75">
        <f>IF(491153.9273="","-",491153.9273/3014879.35037*100)</f>
        <v>16.290997755506311</v>
      </c>
      <c r="G36" s="75">
        <f>IF(OR(2103421.20669="",63539.92793="",489731.78186=""),"-",(489731.78186-63539.92793)/2103421.20669*100)</f>
        <v>20.261840689562455</v>
      </c>
      <c r="H36" s="75">
        <f>IF(OR(3277823.24746="",491153.9273="",489731.78186=""),"-",(491153.9273-489731.78186)/3277823.24746*100)</f>
        <v>4.3386886132497221E-2</v>
      </c>
    </row>
    <row r="37" spans="1:8" s="3" customFormat="1" ht="18" customHeight="1" x14ac:dyDescent="0.2">
      <c r="A37" s="68" t="s">
        <v>264</v>
      </c>
      <c r="B37" s="61">
        <v>156201.99935</v>
      </c>
      <c r="C37" s="61">
        <v>107585.25564</v>
      </c>
      <c r="D37" s="75">
        <f>IF(OR(156201.99935="",107585.25564=""),"-",107585.25564/156201.99935*100)</f>
        <v>68.875722518080565</v>
      </c>
      <c r="E37" s="75">
        <f>IF(156201.99935="","-",156201.99935/3277823.24746*100)</f>
        <v>4.7654186195378783</v>
      </c>
      <c r="F37" s="75">
        <f>IF(107585.25564="","-",107585.25564/3014879.35037*100)</f>
        <v>3.5684763181915269</v>
      </c>
      <c r="G37" s="75">
        <f>IF(OR(2103421.20669="",194181.41431="",156201.99935=""),"-",(156201.99935-194181.41431)/2103421.20669*100)</f>
        <v>-1.8056019802027872</v>
      </c>
      <c r="H37" s="75">
        <f>IF(OR(3277823.24746="",107585.25564="",156201.99935=""),"-",(107585.25564-156201.99935)/3277823.24746*100)</f>
        <v>-1.483202114320024</v>
      </c>
    </row>
    <row r="38" spans="1:8" s="5" customFormat="1" ht="15.75" customHeight="1" x14ac:dyDescent="0.2">
      <c r="A38" s="68" t="s">
        <v>7</v>
      </c>
      <c r="B38" s="61">
        <v>53773.458129999999</v>
      </c>
      <c r="C38" s="61">
        <v>65014.419199999997</v>
      </c>
      <c r="D38" s="75">
        <f>IF(OR(53773.45813="",65014.4192=""),"-",65014.4192/53773.45813*100)</f>
        <v>120.904292676927</v>
      </c>
      <c r="E38" s="75">
        <f>IF(53773.45813="","-",53773.45813/3277823.24746*100)</f>
        <v>1.6405234227217496</v>
      </c>
      <c r="F38" s="75">
        <f>IF(65014.4192="","-",65014.4192/3014879.35037*100)</f>
        <v>2.1564517728386421</v>
      </c>
      <c r="G38" s="75">
        <f>IF(OR(2103421.20669="",45755.92275="",53773.45813=""),"-",(53773.45813-45755.92275)/2103421.20669*100)</f>
        <v>0.38116642327746658</v>
      </c>
      <c r="H38" s="75">
        <f>IF(OR(3277823.24746="",65014.4192="",53773.45813=""),"-",(65014.4192-53773.45813)/3277823.24746*100)</f>
        <v>0.34293981771929488</v>
      </c>
    </row>
    <row r="39" spans="1:8" s="3" customFormat="1" ht="16.5" customHeight="1" x14ac:dyDescent="0.2">
      <c r="A39" s="68" t="s">
        <v>9</v>
      </c>
      <c r="B39" s="61">
        <v>14299.861919999999</v>
      </c>
      <c r="C39" s="61">
        <v>33403.560409999998</v>
      </c>
      <c r="D39" s="75" t="s">
        <v>347</v>
      </c>
      <c r="E39" s="75">
        <f>IF(14299.86192="","-",14299.86192/3277823.24746*100)</f>
        <v>0.43626092197256289</v>
      </c>
      <c r="F39" s="75">
        <f>IF(33403.56041="","-",33403.56041/3014879.35037*100)</f>
        <v>1.1079567879192431</v>
      </c>
      <c r="G39" s="75">
        <f>IF(OR(2103421.20669="",9315.3628="",14299.86192=""),"-",(14299.86192-9315.3628)/2103421.20669*100)</f>
        <v>0.2369710405194469</v>
      </c>
      <c r="H39" s="75">
        <f>IF(OR(3277823.24746="",33403.56041="",14299.86192=""),"-",(33403.56041-14299.86192)/3277823.24746*100)</f>
        <v>0.58281661480079927</v>
      </c>
    </row>
    <row r="40" spans="1:8" s="3" customFormat="1" ht="17.25" customHeight="1" x14ac:dyDescent="0.2">
      <c r="A40" s="68" t="s">
        <v>266</v>
      </c>
      <c r="B40" s="61">
        <v>1803.2865200000001</v>
      </c>
      <c r="C40" s="61">
        <v>7203.0530500000004</v>
      </c>
      <c r="D40" s="75" t="s">
        <v>348</v>
      </c>
      <c r="E40" s="75">
        <f>IF(1803.28652="","-",1803.28652/3277823.24746*100)</f>
        <v>5.5014757778576832E-2</v>
      </c>
      <c r="F40" s="75">
        <f>IF(7203.05305="","-",7203.05305/3014879.35037*100)</f>
        <v>0.23891679277699812</v>
      </c>
      <c r="G40" s="75">
        <f>IF(OR(2103421.20669="",1226.6596="",1803.28652=""),"-",(1803.28652-1226.6596)/2103421.20669*100)</f>
        <v>2.7413763737192502E-2</v>
      </c>
      <c r="H40" s="75">
        <f>IF(OR(3277823.24746="",7203.05305="",1803.28652=""),"-",(7203.05305-1803.28652)/3277823.24746*100)</f>
        <v>0.16473635465805864</v>
      </c>
    </row>
    <row r="41" spans="1:8" s="3" customFormat="1" ht="16.5" customHeight="1" x14ac:dyDescent="0.2">
      <c r="A41" s="68" t="s">
        <v>11</v>
      </c>
      <c r="B41" s="61">
        <v>5942.7230600000003</v>
      </c>
      <c r="C41" s="61">
        <v>6818.2908200000002</v>
      </c>
      <c r="D41" s="75">
        <f>IF(OR(5942.72306="",6818.29082=""),"-",6818.29082/5942.72306*100)</f>
        <v>114.73344376239534</v>
      </c>
      <c r="E41" s="75">
        <f>IF(5942.72306="","-",5942.72306/3277823.24746*100)</f>
        <v>0.18130090036444285</v>
      </c>
      <c r="F41" s="75">
        <f>IF(6818.29082="","-",6818.29082/3014879.35037*100)</f>
        <v>0.2261546824141811</v>
      </c>
      <c r="G41" s="75">
        <f>IF(OR(2103421.20669="",5081.04669="",5942.72306=""),"-",(5942.72306-5081.04669)/2103421.20669*100)</f>
        <v>4.0965469362931696E-2</v>
      </c>
      <c r="H41" s="75">
        <f>IF(OR(3277823.24746="",6818.29082="",5942.72306=""),"-",(6818.29082-5942.72306)/3277823.24746*100)</f>
        <v>2.6711866195911611E-2</v>
      </c>
    </row>
    <row r="42" spans="1:8" s="3" customFormat="1" ht="16.5" customHeight="1" x14ac:dyDescent="0.2">
      <c r="A42" s="68" t="s">
        <v>13</v>
      </c>
      <c r="B42" s="61">
        <v>2241.7975299999998</v>
      </c>
      <c r="C42" s="61">
        <v>4082.8444</v>
      </c>
      <c r="D42" s="75" t="s">
        <v>349</v>
      </c>
      <c r="E42" s="75">
        <f>IF(2241.79753="","-",2241.79753/3277823.24746*100)</f>
        <v>6.8392874195921896E-2</v>
      </c>
      <c r="F42" s="75">
        <f>IF(4082.8444="","-",4082.8444/3014879.35037*100)</f>
        <v>0.13542314386474319</v>
      </c>
      <c r="G42" s="75">
        <f>IF(OR(2103421.20669="",665.7414="",2241.79753=""),"-",(2241.79753-665.7414)/2103421.20669*100)</f>
        <v>7.492822288694731E-2</v>
      </c>
      <c r="H42" s="75">
        <f>IF(OR(3277823.24746="",4082.8444="",2241.79753=""),"-",(4082.8444-2241.79753)/3277823.24746*100)</f>
        <v>5.616675247594987E-2</v>
      </c>
    </row>
    <row r="43" spans="1:8" s="2" customFormat="1" ht="17.25" customHeight="1" x14ac:dyDescent="0.25">
      <c r="A43" s="68" t="s">
        <v>10</v>
      </c>
      <c r="B43" s="61">
        <v>2153.93163</v>
      </c>
      <c r="C43" s="61">
        <v>3862.6032700000001</v>
      </c>
      <c r="D43" s="75" t="s">
        <v>349</v>
      </c>
      <c r="E43" s="75">
        <f>IF(2153.93163="","-",2153.93163/3277823.24746*100)</f>
        <v>6.5712256805460487E-2</v>
      </c>
      <c r="F43" s="75">
        <f>IF(3862.60327="","-",3862.60327/3014879.35037*100)</f>
        <v>0.12811800477276025</v>
      </c>
      <c r="G43" s="75">
        <f>IF(OR(2103421.20669="",2441.56642="",2153.93163=""),"-",(2153.93163-2441.56642)/2103421.20669*100)</f>
        <v>-1.3674616814034595E-2</v>
      </c>
      <c r="H43" s="75">
        <f>IF(OR(3277823.24746="",3862.60327="",2153.93163=""),"-",(3862.60327-2153.93163)/3277823.24746*100)</f>
        <v>5.2128242159611787E-2</v>
      </c>
    </row>
    <row r="44" spans="1:8" s="2" customFormat="1" x14ac:dyDescent="0.25">
      <c r="A44" s="68" t="s">
        <v>12</v>
      </c>
      <c r="B44" s="61">
        <v>1160.95479</v>
      </c>
      <c r="C44" s="61">
        <v>1288.0071499999999</v>
      </c>
      <c r="D44" s="75">
        <f>IF(OR(1160.95479="",1288.00715=""),"-",1288.00715/1160.95479*100)</f>
        <v>110.9437818849087</v>
      </c>
      <c r="E44" s="75">
        <f>IF(1160.95479="","-",1160.95479/3277823.24746*100)</f>
        <v>3.541846836615211E-2</v>
      </c>
      <c r="F44" s="75">
        <f>IF(1288.00715="","-",1288.00715/3014879.35037*100)</f>
        <v>4.2721681378126444E-2</v>
      </c>
      <c r="G44" s="75">
        <f>IF(OR(2103421.20669="",524.29943="",1160.95479=""),"-",(1160.95479-524.29943)/2103421.20669*100)</f>
        <v>3.0267611545186326E-2</v>
      </c>
      <c r="H44" s="75">
        <f>IF(OR(3277823.24746="",1288.00715="",1160.95479=""),"-",(1288.00715-1160.95479)/3277823.24746*100)</f>
        <v>3.8761199249670751E-3</v>
      </c>
    </row>
    <row r="45" spans="1:8" s="4" customFormat="1" x14ac:dyDescent="0.25">
      <c r="A45" s="68" t="s">
        <v>14</v>
      </c>
      <c r="B45" s="61">
        <v>62.126629999999999</v>
      </c>
      <c r="C45" s="61">
        <v>133.55304000000001</v>
      </c>
      <c r="D45" s="75" t="s">
        <v>362</v>
      </c>
      <c r="E45" s="75">
        <f>IF(62.12663="","-",62.12663/3277823.24746*100)</f>
        <v>1.8953624191951838E-3</v>
      </c>
      <c r="F45" s="75">
        <f>IF(133.55304="","-",133.55304/3014879.35037*100)</f>
        <v>4.429797165303141E-3</v>
      </c>
      <c r="G45" s="75">
        <f>IF(OR(2103421.20669="",220.10776="",62.12663=""),"-",(62.12663-220.10776)/2103421.20669*100)</f>
        <v>-7.5106749659809386E-3</v>
      </c>
      <c r="H45" s="75">
        <f>IF(OR(3277823.24746="",133.55304="",62.12663=""),"-",(133.55304-62.12663)/3277823.24746*100)</f>
        <v>2.1790805851215024E-3</v>
      </c>
    </row>
    <row r="46" spans="1:8" s="2" customFormat="1" x14ac:dyDescent="0.25">
      <c r="A46" s="67" t="s">
        <v>115</v>
      </c>
      <c r="B46" s="60">
        <v>609186.55714000005</v>
      </c>
      <c r="C46" s="60">
        <v>368388.87657000002</v>
      </c>
      <c r="D46" s="74">
        <f>IF(609186.55714="","-",368388.87657/609186.55714*100)</f>
        <v>60.472259647275642</v>
      </c>
      <c r="E46" s="74">
        <f>IF(609186.55714="","-",609186.55714/3277823.24746*100)</f>
        <v>18.58509477629892</v>
      </c>
      <c r="F46" s="74">
        <f>IF(368388.87657="","-",368388.87657/3014879.35037*100)</f>
        <v>12.21902549847607</v>
      </c>
      <c r="G46" s="74">
        <f>IF(2103421.20669="","-",(609186.55714-491319.58325)/2103421.20669*100)</f>
        <v>5.6035839857048249</v>
      </c>
      <c r="H46" s="74">
        <f>IF(3277823.24746="","-",(368388.87657-609186.55714)/3277823.24746*100)</f>
        <v>-7.3462680074831743</v>
      </c>
    </row>
    <row r="47" spans="1:8" s="6" customFormat="1" x14ac:dyDescent="0.25">
      <c r="A47" s="69" t="s">
        <v>50</v>
      </c>
      <c r="B47" s="58">
        <v>263141.74076999997</v>
      </c>
      <c r="C47" s="58">
        <v>104614.92406999999</v>
      </c>
      <c r="D47" s="75">
        <f>IF(OR(263141.74077="",104614.92407=""),"-",104614.92407/263141.74077*100)</f>
        <v>39.756111578451197</v>
      </c>
      <c r="E47" s="75">
        <f>IF(263141.74077="","-",263141.74077/3277823.24746*100)</f>
        <v>8.0279417437749174</v>
      </c>
      <c r="F47" s="75">
        <f>IF(104614.92407="","-",104614.92407/3014879.35037*100)</f>
        <v>3.4699539156404771</v>
      </c>
      <c r="G47" s="75">
        <f>IF(OR(2103421.20669="",204589.79366="",263141.74077=""),"-",(263141.74077-204589.79366)/2103421.20669*100)</f>
        <v>2.7836529803813708</v>
      </c>
      <c r="H47" s="75">
        <f>IF(OR(3277823.24746="",104614.92407="",263141.74077=""),"-",(104614.92407-263141.74077)/3277823.24746*100)</f>
        <v>-4.8363442666667007</v>
      </c>
    </row>
    <row r="48" spans="1:8" s="4" customFormat="1" x14ac:dyDescent="0.25">
      <c r="A48" s="69" t="s">
        <v>15</v>
      </c>
      <c r="B48" s="57">
        <v>30039.263319999998</v>
      </c>
      <c r="C48" s="57">
        <v>37565.386700000003</v>
      </c>
      <c r="D48" s="75">
        <f>IF(OR(30039.26332="",37565.3867=""),"-",37565.3867/30039.26332*100)</f>
        <v>125.05428744981621</v>
      </c>
      <c r="E48" s="75">
        <f>IF(30039.26332="","-",30039.26332/3277823.24746*100)</f>
        <v>0.91643938834339389</v>
      </c>
      <c r="F48" s="75">
        <f>IF(37565.3867="","-",37565.3867/3014879.35037*100)</f>
        <v>1.2459996681256846</v>
      </c>
      <c r="G48" s="75">
        <f>IF(OR(2103421.20669="",18592.97177="",30039.26332=""),"-",(30039.26332-18592.97177)/2103421.20669*100)</f>
        <v>0.5441749618951589</v>
      </c>
      <c r="H48" s="75">
        <f>IF(OR(3277823.24746="",37565.3867="",30039.26332=""),"-",(37565.3867-30039.26332)/3277823.24746*100)</f>
        <v>0.22960735865889143</v>
      </c>
    </row>
    <row r="49" spans="1:8" s="2" customFormat="1" ht="24.75" x14ac:dyDescent="0.25">
      <c r="A49" s="70" t="s">
        <v>320</v>
      </c>
      <c r="B49" s="62">
        <v>51163.945330000002</v>
      </c>
      <c r="C49" s="62">
        <v>30196.38552</v>
      </c>
      <c r="D49" s="75">
        <f>IF(OR(51163.94533="",30196.38552=""),"-",30196.38552/51163.94533*100)</f>
        <v>59.018876134820545</v>
      </c>
      <c r="E49" s="75">
        <f>IF(51163.94533="","-",51163.94533/3277823.24746*100)</f>
        <v>1.5609122721808497</v>
      </c>
      <c r="F49" s="75">
        <f>IF(30196.38552="","-",30196.38552/3014879.35037*100)</f>
        <v>1.0015785711721485</v>
      </c>
      <c r="G49" s="75">
        <f>IF(OR(2103421.20669="",45227.9916="",51163.94533=""),"-",(51163.94533-45227.9916)/2103421.20669*100)</f>
        <v>0.28220471064570929</v>
      </c>
      <c r="H49" s="75">
        <f>IF(OR(3277823.24746="",30196.38552="",51163.94533=""),"-",(30196.38552-51163.94533)/3277823.24746*100)</f>
        <v>-0.63967939168922106</v>
      </c>
    </row>
    <row r="50" spans="1:8" s="6" customFormat="1" x14ac:dyDescent="0.25">
      <c r="A50" s="68" t="s">
        <v>54</v>
      </c>
      <c r="B50" s="61">
        <v>15675.34771</v>
      </c>
      <c r="C50" s="61">
        <v>26486.867450000002</v>
      </c>
      <c r="D50" s="75" t="s">
        <v>341</v>
      </c>
      <c r="E50" s="75">
        <f>IF(15675.34771="","-",15675.34771/3277823.24746*100)</f>
        <v>0.47822431310617181</v>
      </c>
      <c r="F50" s="75">
        <f>IF(26486.86745="","-",26486.86745/3014879.35037*100)</f>
        <v>0.87853822232552714</v>
      </c>
      <c r="G50" s="75">
        <f>IF(OR(2103421.20669="",20489.65165="",15675.34771=""),"-",(15675.34771-20489.65165)/2103421.20669*100)</f>
        <v>-0.22887969012996295</v>
      </c>
      <c r="H50" s="75">
        <f>IF(OR(3277823.24746="",26486.86745="",15675.34771=""),"-",(26486.86745-15675.34771)/3277823.24746*100)</f>
        <v>0.32983839956525712</v>
      </c>
    </row>
    <row r="51" spans="1:8" s="2" customFormat="1" x14ac:dyDescent="0.25">
      <c r="A51" s="68" t="s">
        <v>321</v>
      </c>
      <c r="B51" s="61">
        <v>59580.158009999999</v>
      </c>
      <c r="C51" s="61">
        <v>23268.779289999999</v>
      </c>
      <c r="D51" s="75">
        <f>IF(OR(59580.15801="",23268.77929=""),"-",23268.77929/59580.15801*100)</f>
        <v>39.05457801252313</v>
      </c>
      <c r="E51" s="75">
        <f>IF(59580.15801="","-",59580.15801/3277823.24746*100)</f>
        <v>1.8176745209238763</v>
      </c>
      <c r="F51" s="75">
        <f>IF(23268.77929="","-",23268.77929/3014879.35037*100)</f>
        <v>0.77179802525578156</v>
      </c>
      <c r="G51" s="75">
        <f>IF(OR(2103421.20669="",61892.70369="",59580.15801=""),"-",(59580.15801-61892.70369)/2103421.20669*100)</f>
        <v>-0.10994211110189797</v>
      </c>
      <c r="H51" s="75">
        <f>IF(OR(3277823.24746="",23268.77929="",59580.15801=""),"-",(23268.77929-59580.15801)/3277823.24746*100)</f>
        <v>-1.1077894071359049</v>
      </c>
    </row>
    <row r="52" spans="1:8" s="4" customFormat="1" x14ac:dyDescent="0.25">
      <c r="A52" s="68" t="s">
        <v>57</v>
      </c>
      <c r="B52" s="61">
        <v>7639.0562499999996</v>
      </c>
      <c r="C52" s="61">
        <v>18087.64878</v>
      </c>
      <c r="D52" s="75" t="s">
        <v>351</v>
      </c>
      <c r="E52" s="75">
        <f>IF(7639.05625="","-",7639.05625/3277823.24746*100)</f>
        <v>0.23305272045768599</v>
      </c>
      <c r="F52" s="75">
        <f>IF(18087.64878="","-",18087.64878/3014879.35037*100)</f>
        <v>0.59994602363707183</v>
      </c>
      <c r="G52" s="75">
        <f>IF(OR(2103421.20669="",3781.28541="",7639.05625=""),"-",(7639.05625-3781.28541)/2103421.20669*100)</f>
        <v>0.1834045804867914</v>
      </c>
      <c r="H52" s="75">
        <f>IF(OR(3277823.24746="",18087.64878="",7639.05625=""),"-",(18087.64878-7639.05625)/3277823.24746*100)</f>
        <v>0.31876619760069919</v>
      </c>
    </row>
    <row r="53" spans="1:8" s="2" customFormat="1" x14ac:dyDescent="0.25">
      <c r="A53" s="68" t="s">
        <v>52</v>
      </c>
      <c r="B53" s="61">
        <v>13208.216640000001</v>
      </c>
      <c r="C53" s="61">
        <v>13379.852370000001</v>
      </c>
      <c r="D53" s="75">
        <f>IF(OR(13208.21664="",13379.85237=""),"-",13379.85237/13208.21664*100)</f>
        <v>101.29946180228613</v>
      </c>
      <c r="E53" s="75">
        <f>IF(13208.21664="","-",13208.21664/3277823.24746*100)</f>
        <v>0.4029569516975971</v>
      </c>
      <c r="F53" s="75">
        <f>IF(13379.85237="","-",13379.85237/3014879.35037*100)</f>
        <v>0.44379395707353803</v>
      </c>
      <c r="G53" s="75">
        <f>IF(OR(2103421.20669="",14704.47591="",13208.21664=""),"-",(13208.21664-14704.47591)/2103421.20669*100)</f>
        <v>-7.1134552853280034E-2</v>
      </c>
      <c r="H53" s="75">
        <f>IF(OR(3277823.24746="",13379.85237="",13208.21664=""),"-",(13379.85237-13208.21664)/3277823.24746*100)</f>
        <v>5.2362716669668279E-3</v>
      </c>
    </row>
    <row r="54" spans="1:8" s="4" customFormat="1" x14ac:dyDescent="0.25">
      <c r="A54" s="69" t="s">
        <v>60</v>
      </c>
      <c r="B54" s="58">
        <v>12177.832619999999</v>
      </c>
      <c r="C54" s="58">
        <v>10969.68929</v>
      </c>
      <c r="D54" s="75">
        <f>IF(OR(12177.83262="",10969.68929=""),"-",10969.68929/12177.83262*100)</f>
        <v>90.079159669054491</v>
      </c>
      <c r="E54" s="75">
        <f>IF(12177.83262="","-",12177.83262/3277823.24746*100)</f>
        <v>0.37152194308941627</v>
      </c>
      <c r="F54" s="75">
        <f>IF(10969.68929="","-",10969.68929/3014879.35037*100)</f>
        <v>0.36385168410317142</v>
      </c>
      <c r="G54" s="75">
        <f>IF(OR(2103421.20669="",7800.40714="",12177.83262=""),"-",(12177.83262-7800.40714)/2103421.20669*100)</f>
        <v>0.20810979113823966</v>
      </c>
      <c r="H54" s="75">
        <f>IF(OR(3277823.24746="",10969.68929="",12177.83262=""),"-",(10969.68929-12177.83262)/3277823.24746*100)</f>
        <v>-3.6858098768327262E-2</v>
      </c>
    </row>
    <row r="55" spans="1:8" s="2" customFormat="1" x14ac:dyDescent="0.25">
      <c r="A55" s="68" t="s">
        <v>68</v>
      </c>
      <c r="B55" s="61">
        <v>2799.3461600000001</v>
      </c>
      <c r="C55" s="61">
        <v>8192.84051</v>
      </c>
      <c r="D55" s="75" t="s">
        <v>352</v>
      </c>
      <c r="E55" s="75">
        <f>IF(2799.34616="","-",2799.34616/3277823.24746*100)</f>
        <v>8.5402596438634265E-2</v>
      </c>
      <c r="F55" s="75">
        <f>IF(8192.84051="","-",8192.84051/3014879.35037*100)</f>
        <v>0.27174687799677744</v>
      </c>
      <c r="G55" s="75">
        <f>IF(OR(2103421.20669="",12789.46006="",2799.34616=""),"-",(2799.34616-12789.46006)/2103421.20669*100)</f>
        <v>-0.47494595320357696</v>
      </c>
      <c r="H55" s="75">
        <f>IF(OR(3277823.24746="",8192.84051="",2799.34616=""),"-",(8192.84051-2799.34616)/3277823.24746*100)</f>
        <v>0.16454500266844596</v>
      </c>
    </row>
    <row r="56" spans="1:8" s="2" customFormat="1" x14ac:dyDescent="0.25">
      <c r="A56" s="68" t="s">
        <v>62</v>
      </c>
      <c r="B56" s="61">
        <v>9951.2745300000006</v>
      </c>
      <c r="C56" s="61">
        <v>7936.2738499999996</v>
      </c>
      <c r="D56" s="75">
        <f>IF(OR(9951.27453="",7936.27385=""),"-",7936.27385/9951.27453*100)</f>
        <v>79.751330606693642</v>
      </c>
      <c r="E56" s="75">
        <f>IF(9951.27453="","-",9951.27453/3277823.24746*100)</f>
        <v>0.30359399451179336</v>
      </c>
      <c r="F56" s="75">
        <f>IF(7936.27385="","-",7936.27385/3014879.35037*100)</f>
        <v>0.26323686382428613</v>
      </c>
      <c r="G56" s="75">
        <f>IF(OR(2103421.20669="",5466.1023="",9951.27453=""),"-",(9951.27453-5466.1023)/2103421.20669*100)</f>
        <v>0.2132322435342367</v>
      </c>
      <c r="H56" s="75">
        <f>IF(OR(3277823.24746="",7936.27385="",9951.27453=""),"-",(7936.27385-9951.27453)/3277823.24746*100)</f>
        <v>-6.1473744246625682E-2</v>
      </c>
    </row>
    <row r="57" spans="1:8" s="4" customFormat="1" x14ac:dyDescent="0.25">
      <c r="A57" s="68" t="s">
        <v>56</v>
      </c>
      <c r="B57" s="61">
        <v>5975.8436099999999</v>
      </c>
      <c r="C57" s="61">
        <v>7294.8807900000002</v>
      </c>
      <c r="D57" s="75">
        <f>IF(OR(5975.84361="",7294.88079=""),"-",7294.88079/5975.84361*100)</f>
        <v>122.07281960646893</v>
      </c>
      <c r="E57" s="75">
        <f>IF(5975.84361="","-",5975.84361/3277823.24746*100)</f>
        <v>0.18231134380509101</v>
      </c>
      <c r="F57" s="75">
        <f>IF(7294.88079="","-",7294.88079/3014879.35037*100)</f>
        <v>0.24196261084559614</v>
      </c>
      <c r="G57" s="75">
        <f>IF(OR(2103421.20669="",9003.97556="",5975.84361=""),"-",(5975.84361-9003.97556)/2103421.20669*100)</f>
        <v>-0.1439622240362001</v>
      </c>
      <c r="H57" s="75">
        <f>IF(OR(3277823.24746="",7294.88079="",5975.84361=""),"-",(7294.88079-5975.84361)/3277823.24746*100)</f>
        <v>4.0241254040227097E-2</v>
      </c>
    </row>
    <row r="58" spans="1:8" s="6" customFormat="1" x14ac:dyDescent="0.25">
      <c r="A58" s="68" t="s">
        <v>31</v>
      </c>
      <c r="B58" s="61">
        <v>6588.45244</v>
      </c>
      <c r="C58" s="61">
        <v>7263.7054900000003</v>
      </c>
      <c r="D58" s="75">
        <f>IF(OR(6588.45244="",7263.70549=""),"-",7263.70549/6588.45244*100)</f>
        <v>110.24903884712569</v>
      </c>
      <c r="E58" s="75">
        <f>IF(6588.45244="","-",6588.45244/3277823.24746*100)</f>
        <v>0.20100084545758901</v>
      </c>
      <c r="F58" s="75">
        <f>IF(7263.70549="","-",7263.70549/3014879.35037*100)</f>
        <v>0.24092856283315497</v>
      </c>
      <c r="G58" s="75">
        <f>IF(OR(2103421.20669="",3416.79387="",6588.45244=""),"-",(6588.45244-3416.79387)/2103421.20669*100)</f>
        <v>0.15078570853580994</v>
      </c>
      <c r="H58" s="75">
        <f>IF(OR(3277823.24746="",7263.70549="",6588.45244=""),"-",(7263.70549-6588.45244)/3277823.24746*100)</f>
        <v>2.0600654733999364E-2</v>
      </c>
    </row>
    <row r="59" spans="1:8" s="2" customFormat="1" x14ac:dyDescent="0.25">
      <c r="A59" s="68" t="s">
        <v>53</v>
      </c>
      <c r="B59" s="61">
        <v>6269.3398900000002</v>
      </c>
      <c r="C59" s="61">
        <v>5122.7517200000002</v>
      </c>
      <c r="D59" s="75">
        <f>IF(OR(6269.33989="",5122.75172=""),"-",5122.75172/6269.33989*100)</f>
        <v>81.711181876916868</v>
      </c>
      <c r="E59" s="75">
        <f>IF(6269.33989="","-",6269.33989/3277823.24746*100)</f>
        <v>0.19126534339086587</v>
      </c>
      <c r="F59" s="75">
        <f>IF(5122.75172="","-",5122.75172/3014879.35037*100)</f>
        <v>0.16991564585731472</v>
      </c>
      <c r="G59" s="75">
        <f>IF(OR(2103421.20669="",9477.93467="",6269.33989=""),"-",(6269.33989-9477.93467)/2103421.20669*100)</f>
        <v>-0.15254171488786744</v>
      </c>
      <c r="H59" s="75">
        <f>IF(OR(3277823.24746="",5122.75172="",6269.33989=""),"-",(5122.75172-6269.33989)/3277823.24746*100)</f>
        <v>-3.4980170785245859E-2</v>
      </c>
    </row>
    <row r="60" spans="1:8" s="2" customFormat="1" x14ac:dyDescent="0.25">
      <c r="A60" s="68" t="s">
        <v>59</v>
      </c>
      <c r="B60" s="61">
        <v>320.38916999999998</v>
      </c>
      <c r="C60" s="61">
        <v>4533.4436400000004</v>
      </c>
      <c r="D60" s="75" t="s">
        <v>394</v>
      </c>
      <c r="E60" s="75">
        <f>IF(320.38917="","-",320.38917/3277823.24746*100)</f>
        <v>9.7744492552571585E-3</v>
      </c>
      <c r="F60" s="75">
        <f>IF(4533.44364="","-",4533.44364/3014879.35037*100)</f>
        <v>0.15036899036917131</v>
      </c>
      <c r="G60" s="75">
        <f>IF(OR(2103421.20669="",5191.75293="",320.38917=""),"-",(320.38917-5191.75293)/2103421.20669*100)</f>
        <v>-0.23159240500696998</v>
      </c>
      <c r="H60" s="75">
        <f>IF(OR(3277823.24746="",4533.44364="",320.38917=""),"-",(4533.44364-320.38917)/3277823.24746*100)</f>
        <v>0.12853208217571568</v>
      </c>
    </row>
    <row r="61" spans="1:8" s="2" customFormat="1" x14ac:dyDescent="0.25">
      <c r="A61" s="68" t="s">
        <v>51</v>
      </c>
      <c r="B61" s="61">
        <v>6516.0743199999997</v>
      </c>
      <c r="C61" s="61">
        <v>3595.4441999999999</v>
      </c>
      <c r="D61" s="75">
        <f>IF(OR(6516.07432="",3595.4442=""),"-",3595.4442/6516.07432*100)</f>
        <v>55.178072309034064</v>
      </c>
      <c r="E61" s="75">
        <f>IF(6516.07432="","-",6516.07432/3277823.24746*100)</f>
        <v>0.19879273005490258</v>
      </c>
      <c r="F61" s="75">
        <f>IF(3595.4442="","-",3595.4442/3014879.35037*100)</f>
        <v>0.1192566528262151</v>
      </c>
      <c r="G61" s="75">
        <f>IF(OR(2103421.20669="",4235.98151="",6516.07432=""),"-",(6516.07432-4235.98151)/2103421.20669*100)</f>
        <v>0.10839924988623727</v>
      </c>
      <c r="H61" s="75">
        <f>IF(OR(3277823.24746="",3595.4442="",6516.07432=""),"-",(3595.4442-6516.07432)/3277823.24746*100)</f>
        <v>-8.9102733720105534E-2</v>
      </c>
    </row>
    <row r="62" spans="1:8" s="2" customFormat="1" x14ac:dyDescent="0.25">
      <c r="A62" s="68" t="s">
        <v>55</v>
      </c>
      <c r="B62" s="61">
        <v>183.23105000000001</v>
      </c>
      <c r="C62" s="61">
        <v>3039.2794800000001</v>
      </c>
      <c r="D62" s="75" t="s">
        <v>353</v>
      </c>
      <c r="E62" s="75">
        <f>IF(183.23105="","-",183.23105/3277823.24746*100)</f>
        <v>5.5900222851243296E-3</v>
      </c>
      <c r="F62" s="75">
        <f>IF(3039.27948="","-",3039.27948/3014879.35037*100)</f>
        <v>0.10080932358460731</v>
      </c>
      <c r="G62" s="75">
        <f>IF(OR(2103421.20669="",3597.2005="",183.23105=""),"-",(183.23105-3597.2005)/2103421.20669*100)</f>
        <v>-0.16230555435790792</v>
      </c>
      <c r="H62" s="75">
        <f>IF(OR(3277823.24746="",3039.27948="",183.23105=""),"-",(3039.27948-183.23105)/3277823.24746*100)</f>
        <v>8.7132472204325379E-2</v>
      </c>
    </row>
    <row r="63" spans="1:8" s="2" customFormat="1" x14ac:dyDescent="0.25">
      <c r="A63" s="69" t="s">
        <v>279</v>
      </c>
      <c r="B63" s="58" t="s">
        <v>276</v>
      </c>
      <c r="C63" s="58">
        <v>3000.3</v>
      </c>
      <c r="D63" s="75" t="str">
        <f>IF(OR(""="",3000.3=""),"-",3000.3/""*100)</f>
        <v>-</v>
      </c>
      <c r="E63" s="75" t="str">
        <f>IF(""="","-",""/3277823.24746*100)</f>
        <v>-</v>
      </c>
      <c r="F63" s="75">
        <f>IF(3000.3="","-",3000.3/3014879.35037*100)</f>
        <v>9.9516420105892095E-2</v>
      </c>
      <c r="G63" s="75" t="str">
        <f>IF(OR(2103421.20669="",""="",""=""),"-",(""-"")/2103421.20669*100)</f>
        <v>-</v>
      </c>
      <c r="H63" s="75" t="str">
        <f>IF(OR(3277823.24746="",3000.3="",""=""),"-",(3000.3-"")/3277823.24746*100)</f>
        <v>-</v>
      </c>
    </row>
    <row r="64" spans="1:8" s="2" customFormat="1" x14ac:dyDescent="0.25">
      <c r="A64" s="68" t="s">
        <v>106</v>
      </c>
      <c r="B64" s="61">
        <v>2305.4085700000001</v>
      </c>
      <c r="C64" s="61">
        <v>2863.0519199999999</v>
      </c>
      <c r="D64" s="75">
        <f>IF(OR(2305.40857="",2863.05192=""),"-",2863.05192/2305.40857*100)</f>
        <v>124.18848256471952</v>
      </c>
      <c r="E64" s="75">
        <f>IF(2305.40857="","-",2305.40857/3277823.24746*100)</f>
        <v>7.033352307164431E-2</v>
      </c>
      <c r="F64" s="75">
        <f>IF(2863.05192="","-",2863.05192/3014879.35037*100)</f>
        <v>9.4964062812285768E-2</v>
      </c>
      <c r="G64" s="75">
        <f>IF(OR(2103421.20669="",2161.61563="",2305.40857=""),"-",(2305.40857-2161.61563)/2103421.20669*100)</f>
        <v>6.8361457773013848E-3</v>
      </c>
      <c r="H64" s="75">
        <f>IF(OR(3277823.24746="",2863.05192="",2305.40857=""),"-",(2863.05192-2305.40857)/3277823.24746*100)</f>
        <v>1.7012611965337671E-2</v>
      </c>
    </row>
    <row r="65" spans="1:8" s="2" customFormat="1" x14ac:dyDescent="0.25">
      <c r="A65" s="68" t="s">
        <v>69</v>
      </c>
      <c r="B65" s="61">
        <v>2576.8976400000001</v>
      </c>
      <c r="C65" s="61">
        <v>2754.6123400000001</v>
      </c>
      <c r="D65" s="75">
        <f>IF(OR(2576.89764="",2754.61234=""),"-",2754.61234/2576.89764*100)</f>
        <v>106.89645941854329</v>
      </c>
      <c r="E65" s="75">
        <f>IF(2576.89764="","-",2576.89764/3277823.24746*100)</f>
        <v>7.8616125564331438E-2</v>
      </c>
      <c r="F65" s="75">
        <f>IF(2754.61234="","-",2754.61234/3014879.35037*100)</f>
        <v>9.1367249560482117E-2</v>
      </c>
      <c r="G65" s="75">
        <f>IF(OR(2103421.20669="",2487.1373="",2576.89764=""),"-",(2576.89764-2487.1373)/2103421.20669*100)</f>
        <v>4.2673497687726351E-3</v>
      </c>
      <c r="H65" s="75">
        <f>IF(OR(3277823.24746="",2754.61234="",2576.89764=""),"-",(2754.61234-2576.89764)/3277823.24746*100)</f>
        <v>5.4217291959751616E-3</v>
      </c>
    </row>
    <row r="66" spans="1:8" s="2" customFormat="1" x14ac:dyDescent="0.25">
      <c r="A66" s="69" t="s">
        <v>65</v>
      </c>
      <c r="B66" s="58">
        <v>1136.5108</v>
      </c>
      <c r="C66" s="58">
        <v>2181.4013</v>
      </c>
      <c r="D66" s="75" t="s">
        <v>343</v>
      </c>
      <c r="E66" s="75">
        <f>IF(1136.5108="","-",1136.5108/3277823.24746*100)</f>
        <v>3.4672729863658366E-2</v>
      </c>
      <c r="F66" s="75">
        <f>IF(2181.4013="","-",2181.4013/3014879.35037*100)</f>
        <v>7.2354513945385182E-2</v>
      </c>
      <c r="G66" s="75">
        <f>IF(OR(2103421.20669="",562.50789="",1136.5108=""),"-",(1136.5108-562.50789)/2103421.20669*100)</f>
        <v>2.7289014115402327E-2</v>
      </c>
      <c r="H66" s="75">
        <f>IF(OR(3277823.24746="",2181.4013="",1136.5108=""),"-",(2181.4013-1136.5108)/3277823.24746*100)</f>
        <v>3.1877573045150931E-2</v>
      </c>
    </row>
    <row r="67" spans="1:8" s="2" customFormat="1" x14ac:dyDescent="0.25">
      <c r="A67" s="68" t="s">
        <v>78</v>
      </c>
      <c r="B67" s="61">
        <v>311.45988</v>
      </c>
      <c r="C67" s="61">
        <v>2135.0318699999998</v>
      </c>
      <c r="D67" s="75" t="s">
        <v>354</v>
      </c>
      <c r="E67" s="75">
        <f>IF(311.45988="","-",311.45988/3277823.24746*100)</f>
        <v>9.5020340172811829E-3</v>
      </c>
      <c r="F67" s="75">
        <f>IF(2135.03187="","-",2135.03187/3014879.35037*100)</f>
        <v>7.0816494522010609E-2</v>
      </c>
      <c r="G67" s="75">
        <f>IF(OR(2103421.20669="",105.61203="",311.45988=""),"-",(311.45988-105.61203)/2103421.20669*100)</f>
        <v>9.7863352021599001E-3</v>
      </c>
      <c r="H67" s="75">
        <f>IF(OR(3277823.24746="",2135.03187="",311.45988=""),"-",(2135.03187-311.45988)/3277823.24746*100)</f>
        <v>5.5633627939306797E-2</v>
      </c>
    </row>
    <row r="68" spans="1:8" x14ac:dyDescent="0.25">
      <c r="A68" s="68" t="s">
        <v>32</v>
      </c>
      <c r="B68" s="61">
        <v>681.20561999999995</v>
      </c>
      <c r="C68" s="61">
        <v>2000.35942</v>
      </c>
      <c r="D68" s="75" t="s">
        <v>352</v>
      </c>
      <c r="E68" s="75">
        <f>IF(681.20562="","-",681.20562/3277823.24746*100)</f>
        <v>2.0782256045315108E-2</v>
      </c>
      <c r="F68" s="75">
        <f>IF(2000.35942="","-",2000.35942/3014879.35037*100)</f>
        <v>6.6349567844381785E-2</v>
      </c>
      <c r="G68" s="75">
        <f>IF(OR(2103421.20669="",650.08955="",681.20562=""),"-",(681.20562-650.08955)/2103421.20669*100)</f>
        <v>1.4793076109071376E-3</v>
      </c>
      <c r="H68" s="75">
        <f>IF(OR(3277823.24746="",2000.35942="",681.20562=""),"-",(2000.35942-681.20562)/3277823.24746*100)</f>
        <v>4.0244811889177314E-2</v>
      </c>
    </row>
    <row r="69" spans="1:8" x14ac:dyDescent="0.25">
      <c r="A69" s="68" t="s">
        <v>325</v>
      </c>
      <c r="B69" s="61">
        <v>1186.36141</v>
      </c>
      <c r="C69" s="61">
        <v>1967.65491</v>
      </c>
      <c r="D69" s="75" t="s">
        <v>341</v>
      </c>
      <c r="E69" s="75">
        <f>IF(1186.36141="","-",1186.36141/3277823.24746*100)</f>
        <v>3.6193574834131666E-2</v>
      </c>
      <c r="F69" s="75">
        <f>IF(1967.65491="","-",1967.65491/3014879.35037*100)</f>
        <v>6.5264797735886837E-2</v>
      </c>
      <c r="G69" s="75">
        <f>IF(OR(2103421.20669="",964.14826="",1186.36141=""),"-",(1186.36141-964.14826)/2103421.20669*100)</f>
        <v>1.0564367673637772E-2</v>
      </c>
      <c r="H69" s="75">
        <f>IF(OR(3277823.24746="",1967.65491="",1186.36141=""),"-",(1967.65491-1186.36141)/3277823.24746*100)</f>
        <v>2.3835742229402632E-2</v>
      </c>
    </row>
    <row r="70" spans="1:8" x14ac:dyDescent="0.25">
      <c r="A70" s="68" t="s">
        <v>290</v>
      </c>
      <c r="B70" s="61">
        <v>48.742350000000002</v>
      </c>
      <c r="C70" s="61">
        <v>1748.5465099999999</v>
      </c>
      <c r="D70" s="75" t="s">
        <v>355</v>
      </c>
      <c r="E70" s="75">
        <f>IF(48.74235="","-",48.74235/3277823.24746*100)</f>
        <v>1.4870341174671533E-3</v>
      </c>
      <c r="F70" s="75">
        <f>IF(1748.54651="","-",1748.54651/3014879.35037*100)</f>
        <v>5.7997229964953989E-2</v>
      </c>
      <c r="G70" s="75">
        <f>IF(OR(2103421.20669="",2085.50385="",48.74235=""),"-",(48.74235-2085.50385)/2103421.20669*100)</f>
        <v>-9.6830891193927945E-2</v>
      </c>
      <c r="H70" s="75">
        <f>IF(OR(3277823.24746="",1748.54651="",48.74235=""),"-",(1748.54651-48.74235)/3277823.24746*100)</f>
        <v>5.1857712624290696E-2</v>
      </c>
    </row>
    <row r="71" spans="1:8" x14ac:dyDescent="0.25">
      <c r="A71" s="69" t="s">
        <v>83</v>
      </c>
      <c r="B71" s="58">
        <v>1595.22198</v>
      </c>
      <c r="C71" s="58">
        <v>1551.87374</v>
      </c>
      <c r="D71" s="75">
        <f>IF(OR(1595.22198="",1551.87374=""),"-",1551.87374/1595.22198*100)</f>
        <v>97.282620190576864</v>
      </c>
      <c r="E71" s="75">
        <f>IF(1595.22198="","-",1595.22198/3277823.24746*100)</f>
        <v>4.8667114104951954E-2</v>
      </c>
      <c r="F71" s="75">
        <f>IF(1551.87374="","-",1551.87374/3014879.35037*100)</f>
        <v>5.1473825637816877E-2</v>
      </c>
      <c r="G71" s="75">
        <f>IF(OR(2103421.20669="",2005.108="",1595.22198=""),"-",(1595.22198-2005.108)/2103421.20669*100)</f>
        <v>-1.9486635329925551E-2</v>
      </c>
      <c r="H71" s="75">
        <f>IF(OR(3277823.24746="",1551.87374="",1595.22198=""),"-",(1551.87374-1595.22198)/3277823.24746*100)</f>
        <v>-1.3224703325168852E-3</v>
      </c>
    </row>
    <row r="72" spans="1:8" x14ac:dyDescent="0.25">
      <c r="A72" s="68" t="s">
        <v>70</v>
      </c>
      <c r="B72" s="61">
        <v>1602.7307900000001</v>
      </c>
      <c r="C72" s="61">
        <v>1499.6890000000001</v>
      </c>
      <c r="D72" s="75">
        <f>IF(OR(1602.73079="",1499.689=""),"-",1499.689/1602.73079*100)</f>
        <v>93.570861017775798</v>
      </c>
      <c r="E72" s="75">
        <f>IF(1602.73079="","-",1602.73079/3277823.24746*100)</f>
        <v>4.8896193266124502E-2</v>
      </c>
      <c r="F72" s="75">
        <f>IF(1499.689="","-",1499.689/3014879.35037*100)</f>
        <v>4.9742919225472526E-2</v>
      </c>
      <c r="G72" s="75">
        <f>IF(OR(2103421.20669="",1907.63046="",1602.73079=""),"-",(1602.73079-1907.63046)/2103421.20669*100)</f>
        <v>-1.4495416753917696E-2</v>
      </c>
      <c r="H72" s="75">
        <f>IF(OR(3277823.24746="",1499.689="",1602.73079=""),"-",(1499.689-1602.73079)/3277823.24746*100)</f>
        <v>-3.1436042220960975E-3</v>
      </c>
    </row>
    <row r="73" spans="1:8" x14ac:dyDescent="0.25">
      <c r="A73" s="69" t="s">
        <v>79</v>
      </c>
      <c r="B73" s="58">
        <v>442.66107</v>
      </c>
      <c r="C73" s="58">
        <v>1385.46111</v>
      </c>
      <c r="D73" s="75" t="s">
        <v>356</v>
      </c>
      <c r="E73" s="75">
        <f>IF(442.66107="","-",442.66107/3277823.24746*100)</f>
        <v>1.3504726660994306E-2</v>
      </c>
      <c r="F73" s="75">
        <f>IF(1385.46111="","-",1385.46111/3014879.35037*100)</f>
        <v>4.5954114542924238E-2</v>
      </c>
      <c r="G73" s="75">
        <f>IF(OR(2103421.20669="",250.61993="",442.66107=""),"-",(442.66107-250.61993)/2103421.20669*100)</f>
        <v>9.12994218130001E-3</v>
      </c>
      <c r="H73" s="75">
        <f>IF(OR(3277823.24746="",1385.46111="",442.66107=""),"-",(1385.46111-442.66107)/3277823.24746*100)</f>
        <v>2.8762992047560217E-2</v>
      </c>
    </row>
    <row r="74" spans="1:8" x14ac:dyDescent="0.25">
      <c r="A74" s="68" t="s">
        <v>87</v>
      </c>
      <c r="B74" s="61">
        <v>1180.82394</v>
      </c>
      <c r="C74" s="61">
        <v>1099.91868</v>
      </c>
      <c r="D74" s="75">
        <f>IF(OR(1180.82394="",1099.91868=""),"-",1099.91868/1180.82394*100)</f>
        <v>93.148406188309494</v>
      </c>
      <c r="E74" s="75">
        <f>IF(1180.82394="","-",1180.82394/3277823.24746*100)</f>
        <v>3.6024637414937659E-2</v>
      </c>
      <c r="F74" s="75">
        <f>IF(1099.91868="","-",1099.91868/3014879.35037*100)</f>
        <v>3.6483008179581479E-2</v>
      </c>
      <c r="G74" s="75">
        <f>IF(OR(2103421.20669="",419.24466="",1180.82394=""),"-",(1180.82394-419.24466)/2103421.20669*100)</f>
        <v>3.6206694007732361E-2</v>
      </c>
      <c r="H74" s="75">
        <f>IF(OR(3277823.24746="",1099.91868="",1180.82394=""),"-",(1099.91868-1180.82394)/3277823.24746*100)</f>
        <v>-2.4682618278058111E-3</v>
      </c>
    </row>
    <row r="75" spans="1:8" x14ac:dyDescent="0.25">
      <c r="A75" s="68" t="s">
        <v>71</v>
      </c>
      <c r="B75" s="61">
        <v>1558.76196</v>
      </c>
      <c r="C75" s="61">
        <v>916.96664999999996</v>
      </c>
      <c r="D75" s="75">
        <f>IF(OR(1558.76196="",916.96665=""),"-",916.96665/1558.76196*100)</f>
        <v>58.826599155652978</v>
      </c>
      <c r="E75" s="75">
        <f>IF(1558.76196="","-",1558.76196/3277823.24746*100)</f>
        <v>4.7554789942010803E-2</v>
      </c>
      <c r="F75" s="75">
        <f>IF(916.96665="","-",916.96665/3014879.35037*100)</f>
        <v>3.0414704651032402E-2</v>
      </c>
      <c r="G75" s="75">
        <f>IF(OR(2103421.20669="",451.18879="",1558.76196=""),"-",(1558.76196-451.18879)/2103421.20669*100)</f>
        <v>5.2655795542867374E-2</v>
      </c>
      <c r="H75" s="75">
        <f>IF(OR(3277823.24746="",916.96665="",1558.76196=""),"-",(916.96665-1558.76196)/3277823.24746*100)</f>
        <v>-1.9579924283511324E-2</v>
      </c>
    </row>
    <row r="76" spans="1:8" x14ac:dyDescent="0.25">
      <c r="A76" s="68" t="s">
        <v>80</v>
      </c>
      <c r="B76" s="61">
        <v>703.76363000000003</v>
      </c>
      <c r="C76" s="61">
        <v>793.23407999999995</v>
      </c>
      <c r="D76" s="75">
        <f>IF(OR(703.76363="",793.23408=""),"-",793.23408/703.76363*100)</f>
        <v>112.7131392112434</v>
      </c>
      <c r="E76" s="75">
        <f>IF(703.76363="","-",703.76363/3277823.24746*100)</f>
        <v>2.1470456973094861E-2</v>
      </c>
      <c r="F76" s="75">
        <f>IF(793.23408="","-",793.23408/3014879.35037*100)</f>
        <v>2.6310640918438429E-2</v>
      </c>
      <c r="G76" s="75">
        <f>IF(OR(2103421.20669="",497.93655="",703.76363=""),"-",(703.76363-497.93655)/2103421.20669*100)</f>
        <v>9.7853477632230904E-3</v>
      </c>
      <c r="H76" s="75">
        <f>IF(OR(3277823.24746="",793.23408="",703.76363=""),"-",(793.23408-703.76363)/3277823.24746*100)</f>
        <v>2.7295690842796655E-3</v>
      </c>
    </row>
    <row r="77" spans="1:8" x14ac:dyDescent="0.25">
      <c r="A77" s="68" t="s">
        <v>107</v>
      </c>
      <c r="B77" s="61">
        <v>364.11021</v>
      </c>
      <c r="C77" s="61">
        <v>778.93893000000003</v>
      </c>
      <c r="D77" s="75" t="s">
        <v>350</v>
      </c>
      <c r="E77" s="75">
        <f>IF(364.11021="","-",364.11021/3277823.24746*100)</f>
        <v>1.1108292989323041E-2</v>
      </c>
      <c r="F77" s="75">
        <f>IF(778.93893="","-",778.93893/3014879.35037*100)</f>
        <v>2.5836487616143079E-2</v>
      </c>
      <c r="G77" s="75">
        <f>IF(OR(2103421.20669="",465.76273="",364.11021=""),"-",(364.11021-465.76273)/2103421.20669*100)</f>
        <v>-4.8327229789587945E-3</v>
      </c>
      <c r="H77" s="75">
        <f>IF(OR(3277823.24746="",778.93893="",364.11021=""),"-",(778.93893-364.11021)/3277823.24746*100)</f>
        <v>1.2655615897576316E-2</v>
      </c>
    </row>
    <row r="78" spans="1:8" x14ac:dyDescent="0.25">
      <c r="A78" s="68" t="s">
        <v>118</v>
      </c>
      <c r="B78" s="61">
        <v>874.25067000000001</v>
      </c>
      <c r="C78" s="61">
        <v>759.37446</v>
      </c>
      <c r="D78" s="75">
        <f>IF(OR(874.25067="",759.37446=""),"-",759.37446/874.25067*100)</f>
        <v>86.860037522190296</v>
      </c>
      <c r="E78" s="75">
        <f>IF(874.25067="","-",874.25067/3277823.24746*100)</f>
        <v>2.667168434653884E-2</v>
      </c>
      <c r="F78" s="75">
        <f>IF(759.37446="","-",759.37446/3014879.35037*100)</f>
        <v>2.5187557170631255E-2</v>
      </c>
      <c r="G78" s="75">
        <f>IF(OR(2103421.20669="",821.28264="",874.25067=""),"-",(874.25067-821.28264)/2103421.20669*100)</f>
        <v>2.5181846522956716E-3</v>
      </c>
      <c r="H78" s="75">
        <f>IF(OR(3277823.24746="",759.37446="",874.25067=""),"-",(759.37446-874.25067)/3277823.24746*100)</f>
        <v>-3.50464931533505E-3</v>
      </c>
    </row>
    <row r="79" spans="1:8" x14ac:dyDescent="0.25">
      <c r="A79" s="68" t="s">
        <v>85</v>
      </c>
      <c r="B79" s="61">
        <v>662.67940999999996</v>
      </c>
      <c r="C79" s="61">
        <v>750.08109000000002</v>
      </c>
      <c r="D79" s="75">
        <f>IF(OR(662.67941="",750.08109=""),"-",750.08109/662.67941*100)</f>
        <v>113.18913469787752</v>
      </c>
      <c r="E79" s="75">
        <f>IF(662.67941="","-",662.67941/3277823.24746*100)</f>
        <v>2.0217057479030121E-2</v>
      </c>
      <c r="F79" s="75">
        <f>IF(750.08109="","-",750.08109/3014879.35037*100)</f>
        <v>2.4879307024606029E-2</v>
      </c>
      <c r="G79" s="75">
        <f>IF(OR(2103421.20669="",660.06404="",662.67941=""),"-",(662.67941-660.06404)/2103421.20669*100)</f>
        <v>1.2433886240576612E-4</v>
      </c>
      <c r="H79" s="75">
        <f>IF(OR(3277823.24746="",750.08109="",662.67941=""),"-",(750.08109-662.67941)/3277823.24746*100)</f>
        <v>2.6664549428566048E-3</v>
      </c>
    </row>
    <row r="80" spans="1:8" x14ac:dyDescent="0.25">
      <c r="A80" s="68" t="s">
        <v>116</v>
      </c>
      <c r="B80" s="61">
        <v>487.15267</v>
      </c>
      <c r="C80" s="61">
        <v>677.54165</v>
      </c>
      <c r="D80" s="75">
        <f>IF(OR(487.15267="",677.54165=""),"-",677.54165/487.15267*100)</f>
        <v>139.0819945624028</v>
      </c>
      <c r="E80" s="75">
        <f>IF(487.15267="","-",487.15267/3277823.24746*100)</f>
        <v>1.4862078679120261E-2</v>
      </c>
      <c r="F80" s="75">
        <f>IF(677.54165="","-",677.54165/3014879.35037*100)</f>
        <v>2.2473259167629673E-2</v>
      </c>
      <c r="G80" s="75">
        <f>IF(OR(2103421.20669="",332.148="",487.15267=""),"-",(487.15267-332.148)/2103421.20669*100)</f>
        <v>7.3691693088860453E-3</v>
      </c>
      <c r="H80" s="75">
        <f>IF(OR(3277823.24746="",677.54165="",487.15267=""),"-",(677.54165-487.15267)/3277823.24746*100)</f>
        <v>5.8083967812338046E-3</v>
      </c>
    </row>
    <row r="81" spans="1:8" x14ac:dyDescent="0.25">
      <c r="A81" s="68" t="s">
        <v>323</v>
      </c>
      <c r="B81" s="61" t="s">
        <v>276</v>
      </c>
      <c r="C81" s="61">
        <v>669.94482000000005</v>
      </c>
      <c r="D81" s="75" t="str">
        <f>IF(OR(""="",669.94482=""),"-",669.94482/""*100)</f>
        <v>-</v>
      </c>
      <c r="E81" s="75" t="str">
        <f>IF(""="","-",""/3277823.24746*100)</f>
        <v>-</v>
      </c>
      <c r="F81" s="75">
        <f>IF(669.94482="","-",669.94482/3014879.35037*100)</f>
        <v>2.2221281256836405E-2</v>
      </c>
      <c r="G81" s="75" t="str">
        <f>IF(OR(2103421.20669="",""="",""=""),"-",(""-"")/2103421.20669*100)</f>
        <v>-</v>
      </c>
      <c r="H81" s="75" t="str">
        <f>IF(OR(3277823.24746="",669.94482="",""=""),"-",(669.94482-"")/3277823.24746*100)</f>
        <v>-</v>
      </c>
    </row>
    <row r="82" spans="1:8" x14ac:dyDescent="0.25">
      <c r="A82" s="68" t="s">
        <v>92</v>
      </c>
      <c r="B82" s="61">
        <v>1580.0410099999999</v>
      </c>
      <c r="C82" s="61">
        <v>660.39211</v>
      </c>
      <c r="D82" s="75">
        <f>IF(OR(1580.04101="",660.39211=""),"-",660.39211/1580.04101*100)</f>
        <v>41.795884146070364</v>
      </c>
      <c r="E82" s="75">
        <f>IF(1580.04101="","-",1580.04101/3277823.24746*100)</f>
        <v>4.8203972292416339E-2</v>
      </c>
      <c r="F82" s="75">
        <f>IF(660.39211="","-",660.39211/3014879.35037*100)</f>
        <v>2.1904429108214683E-2</v>
      </c>
      <c r="G82" s="75">
        <f>IF(OR(2103421.20669="",389.85509="",1580.04101=""),"-",(1580.04101-389.85509)/2103421.20669*100)</f>
        <v>5.658333747965337E-2</v>
      </c>
      <c r="H82" s="75">
        <f>IF(OR(3277823.24746="",660.39211="",1580.04101=""),"-",(660.39211-1580.04101)/3277823.24746*100)</f>
        <v>-2.805669587927415E-2</v>
      </c>
    </row>
    <row r="83" spans="1:8" x14ac:dyDescent="0.25">
      <c r="A83" s="68" t="s">
        <v>30</v>
      </c>
      <c r="B83" s="61">
        <v>2053.2100399999999</v>
      </c>
      <c r="C83" s="61">
        <v>573.90761999999995</v>
      </c>
      <c r="D83" s="75">
        <f>IF(OR(2053.21004="",573.90762=""),"-",573.90762/2053.21004*100)</f>
        <v>27.951724802592526</v>
      </c>
      <c r="E83" s="75">
        <f>IF(2053.21004="","-",2053.21004/3277823.24746*100)</f>
        <v>6.263943736414225E-2</v>
      </c>
      <c r="F83" s="75">
        <f>IF(573.90762="","-",573.90762/3014879.35037*100)</f>
        <v>1.9035840353928832E-2</v>
      </c>
      <c r="G83" s="75">
        <f>IF(OR(2103421.20669="",731.8085="",2053.21004=""),"-",(2053.21004-731.8085)/2103421.20669*100)</f>
        <v>6.2821537398084562E-2</v>
      </c>
      <c r="H83" s="75">
        <f>IF(OR(3277823.24746="",573.90762="",2053.21004=""),"-",(573.90762-2053.21004)/3277823.24746*100)</f>
        <v>-4.5130634214224884E-2</v>
      </c>
    </row>
    <row r="84" spans="1:8" x14ac:dyDescent="0.25">
      <c r="A84" s="68" t="s">
        <v>61</v>
      </c>
      <c r="B84" s="61">
        <v>3690.3958600000001</v>
      </c>
      <c r="C84" s="61">
        <v>510.20247000000001</v>
      </c>
      <c r="D84" s="75">
        <f>IF(OR(3690.39586="",510.20247=""),"-",510.20247/3690.39586*100)</f>
        <v>13.825142054001763</v>
      </c>
      <c r="E84" s="75">
        <f>IF(3690.39586="","-",3690.39586/3277823.24746*100)</f>
        <v>0.1125867864553009</v>
      </c>
      <c r="F84" s="75">
        <f>IF(510.20247="","-",510.20247/3014879.35037*100)</f>
        <v>1.6922815499644639E-2</v>
      </c>
      <c r="G84" s="75">
        <f>IF(OR(2103421.20669="",872.74951="",3690.39586=""),"-",(3690.39586-872.74951)/2103421.20669*100)</f>
        <v>0.13395540279989493</v>
      </c>
      <c r="H84" s="75">
        <f>IF(OR(3277823.24746="",510.20247="",3690.39586=""),"-",(510.20247-3690.39586)/3277823.24746*100)</f>
        <v>-9.702150329381995E-2</v>
      </c>
    </row>
    <row r="85" spans="1:8" x14ac:dyDescent="0.25">
      <c r="A85" s="68" t="s">
        <v>111</v>
      </c>
      <c r="B85" s="61">
        <v>501.90453000000002</v>
      </c>
      <c r="C85" s="61">
        <v>475.72926999999999</v>
      </c>
      <c r="D85" s="75">
        <f>IF(OR(501.90453="",475.72927=""),"-",475.72927/501.90453*100)</f>
        <v>94.784812960345249</v>
      </c>
      <c r="E85" s="75">
        <f>IF(501.90453="","-",501.90453/3277823.24746*100)</f>
        <v>1.5312129181734496E-2</v>
      </c>
      <c r="F85" s="75">
        <f>IF(475.72927="","-",475.72927/3014879.35037*100)</f>
        <v>1.5779380025327257E-2</v>
      </c>
      <c r="G85" s="75">
        <f>IF(OR(2103421.20669="",455.90303="",501.90453=""),"-",(501.90453-455.90303)/2103421.20669*100)</f>
        <v>2.1869847015752596E-3</v>
      </c>
      <c r="H85" s="75">
        <f>IF(OR(3277823.24746="",475.72927="",501.90453=""),"-",(475.72927-501.90453)/3277823.24746*100)</f>
        <v>-7.9855617658100878E-4</v>
      </c>
    </row>
    <row r="86" spans="1:8" x14ac:dyDescent="0.25">
      <c r="A86" s="68" t="s">
        <v>88</v>
      </c>
      <c r="B86" s="61">
        <v>83.310389999999998</v>
      </c>
      <c r="C86" s="61">
        <v>462.51195999999999</v>
      </c>
      <c r="D86" s="75" t="s">
        <v>357</v>
      </c>
      <c r="E86" s="75">
        <f>IF(83.31039="","-",83.31039/3277823.24746*100)</f>
        <v>2.5416376573861202E-3</v>
      </c>
      <c r="F86" s="75">
        <f>IF(462.51196="","-",462.51196/3014879.35037*100)</f>
        <v>1.5340977407379117E-2</v>
      </c>
      <c r="G86" s="75">
        <f>IF(OR(2103421.20669="",28.60973="",83.31039=""),"-",(83.31039-28.60973)/2103421.20669*100)</f>
        <v>2.6005566467630337E-3</v>
      </c>
      <c r="H86" s="75">
        <f>IF(OR(3277823.24746="",462.51196="",83.31039=""),"-",(462.51196-83.31039)/3277823.24746*100)</f>
        <v>1.1568700975375807E-2</v>
      </c>
    </row>
    <row r="87" spans="1:8" x14ac:dyDescent="0.25">
      <c r="A87" s="68" t="s">
        <v>269</v>
      </c>
      <c r="B87" s="61">
        <v>640.37708999999995</v>
      </c>
      <c r="C87" s="61">
        <v>458.56720999999999</v>
      </c>
      <c r="D87" s="75">
        <f>IF(OR(640.37709="",458.56721=""),"-",458.56721/640.37709*100)</f>
        <v>71.608934354600351</v>
      </c>
      <c r="E87" s="75">
        <f>IF(640.37709="","-",640.37709/3277823.24746*100)</f>
        <v>1.9536657154903974E-2</v>
      </c>
      <c r="F87" s="75">
        <f>IF(458.56721="","-",458.56721/3014879.35037*100)</f>
        <v>1.5210134692246391E-2</v>
      </c>
      <c r="G87" s="75">
        <f>IF(OR(2103421.20669="",778.29226="",640.37709=""),"-",(640.37709-778.29226)/2103421.20669*100)</f>
        <v>-6.5567072140071811E-3</v>
      </c>
      <c r="H87" s="75">
        <f>IF(OR(3277823.24746="",458.56721="",640.37709=""),"-",(458.56721-640.37709)/3277823.24746*100)</f>
        <v>-5.5466651577654544E-3</v>
      </c>
    </row>
    <row r="88" spans="1:8" x14ac:dyDescent="0.25">
      <c r="A88" s="68" t="s">
        <v>280</v>
      </c>
      <c r="B88" s="61">
        <v>20.290500000000002</v>
      </c>
      <c r="C88" s="61">
        <v>430.84858000000003</v>
      </c>
      <c r="D88" s="75" t="s">
        <v>358</v>
      </c>
      <c r="E88" s="75">
        <f>IF(20.2905="","-",20.2905/3277823.24746*100)</f>
        <v>6.1902361622833693E-4</v>
      </c>
      <c r="F88" s="75">
        <f>IF(430.84858="","-",430.84858/3014879.35037*100)</f>
        <v>1.4290740355733448E-2</v>
      </c>
      <c r="G88" s="75">
        <f>IF(OR(2103421.20669="",662.95097="",20.2905=""),"-",(20.2905-662.95097)/2103421.20669*100)</f>
        <v>-3.0553104055240931E-2</v>
      </c>
      <c r="H88" s="75">
        <f>IF(OR(3277823.24746="",430.84858="",20.2905=""),"-",(430.84858-20.2905)/3277823.24746*100)</f>
        <v>1.252532699309346E-2</v>
      </c>
    </row>
    <row r="89" spans="1:8" x14ac:dyDescent="0.25">
      <c r="A89" s="68" t="s">
        <v>76</v>
      </c>
      <c r="B89" s="61">
        <v>314.85307</v>
      </c>
      <c r="C89" s="61">
        <v>413.46762999999999</v>
      </c>
      <c r="D89" s="75">
        <f>IF(OR(314.85307="",413.46763=""),"-",413.46763/314.85307*100)</f>
        <v>131.32081894580224</v>
      </c>
      <c r="E89" s="75">
        <f>IF(314.85307="","-",314.85307/3277823.24746*100)</f>
        <v>9.6055536320935261E-3</v>
      </c>
      <c r="F89" s="75">
        <f>IF(413.46763="","-",413.46763/3014879.35037*100)</f>
        <v>1.3714234698952624E-2</v>
      </c>
      <c r="G89" s="75">
        <f>IF(OR(2103421.20669="",441.01508="",314.85307=""),"-",(314.85307-441.01508)/2103421.20669*100)</f>
        <v>-5.9979432364158742E-3</v>
      </c>
      <c r="H89" s="75">
        <f>IF(OR(3277823.24746="",413.46763="",314.85307=""),"-",(413.46763-314.85307)/3277823.24746*100)</f>
        <v>3.0085380618499438E-3</v>
      </c>
    </row>
    <row r="90" spans="1:8" x14ac:dyDescent="0.25">
      <c r="A90" s="68" t="s">
        <v>64</v>
      </c>
      <c r="B90" s="61">
        <v>82.967960000000005</v>
      </c>
      <c r="C90" s="61">
        <v>400.20361000000003</v>
      </c>
      <c r="D90" s="75" t="s">
        <v>359</v>
      </c>
      <c r="E90" s="75">
        <f>IF(82.96796="","-",82.96796/3277823.24746*100)</f>
        <v>2.5311907853570884E-3</v>
      </c>
      <c r="F90" s="75">
        <f>IF(400.20361="","-",400.20361/3014879.35037*100)</f>
        <v>1.3274282765275008E-2</v>
      </c>
      <c r="G90" s="75">
        <f>IF(OR(2103421.20669="",3323.84276="",82.96796=""),"-",(82.96796-3323.84276)/2103421.20669*100)</f>
        <v>-0.15407635853876017</v>
      </c>
      <c r="H90" s="75">
        <f>IF(OR(3277823.24746="",400.20361="",82.96796=""),"-",(400.20361-82.96796)/3277823.24746*100)</f>
        <v>9.6782415051155472E-3</v>
      </c>
    </row>
    <row r="91" spans="1:8" x14ac:dyDescent="0.25">
      <c r="A91" s="68" t="s">
        <v>33</v>
      </c>
      <c r="B91" s="61">
        <v>1042.6134099999999</v>
      </c>
      <c r="C91" s="61">
        <v>320.21089999999998</v>
      </c>
      <c r="D91" s="75">
        <f>IF(OR(1042.61341="",320.2109=""),"-",320.2109/1042.61341*100)</f>
        <v>30.712332771549523</v>
      </c>
      <c r="E91" s="75">
        <f>IF(1042.61341="","-",1042.61341/3277823.24746*100)</f>
        <v>3.1808103466467438E-2</v>
      </c>
      <c r="F91" s="75">
        <f>IF(320.2109="","-",320.2109/3014879.35037*100)</f>
        <v>1.0621018713757226E-2</v>
      </c>
      <c r="G91" s="75">
        <f>IF(OR(2103421.20669="",706.71184="",1042.61341=""),"-",(1042.61341-706.71184)/2103421.20669*100)</f>
        <v>1.5969296540876071E-2</v>
      </c>
      <c r="H91" s="75">
        <f>IF(OR(3277823.24746="",320.2109="",1042.61341=""),"-",(320.2109-1042.61341)/3277823.24746*100)</f>
        <v>-2.2039092881527177E-2</v>
      </c>
    </row>
    <row r="92" spans="1:8" x14ac:dyDescent="0.25">
      <c r="A92" s="69" t="s">
        <v>267</v>
      </c>
      <c r="B92" s="58">
        <v>278.78262999999998</v>
      </c>
      <c r="C92" s="58">
        <v>288.16829000000001</v>
      </c>
      <c r="D92" s="75">
        <f>IF(OR(278.78263="",288.16829=""),"-",288.16829/278.78263*100)</f>
        <v>103.36665881945373</v>
      </c>
      <c r="E92" s="75">
        <f>IF(278.78263="","-",278.78263/3277823.24746*100)</f>
        <v>8.5051147958032786E-3</v>
      </c>
      <c r="F92" s="75">
        <f>IF(288.16829="","-",288.16829/3014879.35037*100)</f>
        <v>9.5582030493072505E-3</v>
      </c>
      <c r="G92" s="75">
        <f>IF(OR(2103421.20669="",963.02727="",278.78263=""),"-",(278.78263-963.02727)/2103421.20669*100)</f>
        <v>-3.2530081841132805E-2</v>
      </c>
      <c r="H92" s="75">
        <f>IF(OR(3277823.24746="",288.16829="",278.78263=""),"-",(288.16829-278.78263)/3277823.24746*100)</f>
        <v>2.8633819737757427E-4</v>
      </c>
    </row>
    <row r="93" spans="1:8" x14ac:dyDescent="0.25">
      <c r="A93" s="69" t="s">
        <v>275</v>
      </c>
      <c r="B93" s="58" t="s">
        <v>276</v>
      </c>
      <c r="C93" s="58">
        <v>281.59609999999998</v>
      </c>
      <c r="D93" s="75" t="str">
        <f>IF(OR(""="",281.5961=""),"-",281.5961/""*100)</f>
        <v>-</v>
      </c>
      <c r="E93" s="75" t="str">
        <f>IF(""="","-",""/3277823.24746*100)</f>
        <v>-</v>
      </c>
      <c r="F93" s="75">
        <f>IF(281.5961="","-",281.5961/3014879.35037*100)</f>
        <v>9.3402112414694531E-3</v>
      </c>
      <c r="G93" s="75" t="str">
        <f>IF(OR(2103421.20669="",""="",""=""),"-",(""-"")/2103421.20669*100)</f>
        <v>-</v>
      </c>
      <c r="H93" s="75" t="str">
        <f>IF(OR(3277823.24746="",281.5961="",""=""),"-",(281.5961-"")/3277823.24746*100)</f>
        <v>-</v>
      </c>
    </row>
    <row r="94" spans="1:8" x14ac:dyDescent="0.25">
      <c r="A94" s="68" t="s">
        <v>180</v>
      </c>
      <c r="B94" s="61">
        <v>452.35716000000002</v>
      </c>
      <c r="C94" s="61">
        <v>274.10415</v>
      </c>
      <c r="D94" s="75">
        <f>IF(OR(452.35716="",274.10415=""),"-",274.10415/452.35716*100)</f>
        <v>60.59463057907606</v>
      </c>
      <c r="E94" s="75">
        <f>IF(452.35716="","-",452.35716/3277823.24746*100)</f>
        <v>1.380053547275722E-2</v>
      </c>
      <c r="F94" s="75">
        <f>IF(274.10415="","-",274.10415/3014879.35037*100)</f>
        <v>9.0917120768484704E-3</v>
      </c>
      <c r="G94" s="75">
        <f>IF(OR(2103421.20669="",530.40108="",452.35716=""),"-",(452.35716-530.40108)/2103421.20669*100)</f>
        <v>-3.7103324693969382E-3</v>
      </c>
      <c r="H94" s="75">
        <f>IF(OR(3277823.24746="",274.10415="",452.35716=""),"-",(274.10415-452.35716)/3277823.24746*100)</f>
        <v>-5.4381519851056364E-3</v>
      </c>
    </row>
    <row r="95" spans="1:8" x14ac:dyDescent="0.25">
      <c r="A95" s="68" t="s">
        <v>63</v>
      </c>
      <c r="B95" s="61">
        <v>84.488889999999998</v>
      </c>
      <c r="C95" s="61">
        <v>252.12808000000001</v>
      </c>
      <c r="D95" s="75" t="s">
        <v>360</v>
      </c>
      <c r="E95" s="75">
        <f>IF(84.48889="","-",84.48889/3277823.24746*100)</f>
        <v>2.5775913959201679E-3</v>
      </c>
      <c r="F95" s="75">
        <f>IF(252.12808="","-",252.12808/3014879.35037*100)</f>
        <v>8.3627916974209158E-3</v>
      </c>
      <c r="G95" s="75">
        <f>IF(OR(2103421.20669="",193.19476="",84.48889=""),"-",(84.48889-193.19476)/2103421.20669*100)</f>
        <v>-5.1680504909933124E-3</v>
      </c>
      <c r="H95" s="75">
        <f>IF(OR(3277823.24746="",252.12808="",84.48889=""),"-",(252.12808-84.48889)/3277823.24746*100)</f>
        <v>5.1143450193632117E-3</v>
      </c>
    </row>
    <row r="96" spans="1:8" x14ac:dyDescent="0.25">
      <c r="A96" s="68" t="s">
        <v>292</v>
      </c>
      <c r="B96" s="61">
        <v>118.46517</v>
      </c>
      <c r="C96" s="61">
        <v>250.38148000000001</v>
      </c>
      <c r="D96" s="75" t="s">
        <v>350</v>
      </c>
      <c r="E96" s="75">
        <f>IF(118.46517="","-",118.46517/3277823.24746*100)</f>
        <v>3.614141491363184E-3</v>
      </c>
      <c r="F96" s="75">
        <f>IF(250.38148="","-",250.38148/3014879.35037*100)</f>
        <v>8.3048590309019177E-3</v>
      </c>
      <c r="G96" s="75">
        <f>IF(OR(2103421.20669="",61.36344="",118.46517=""),"-",(118.46517-61.36344)/2103421.20669*100)</f>
        <v>2.7147073452709366E-3</v>
      </c>
      <c r="H96" s="75">
        <f>IF(OR(3277823.24746="",250.38148="",118.46517=""),"-",(250.38148-118.46517)/3277823.24746*100)</f>
        <v>4.024509561405501E-3</v>
      </c>
    </row>
    <row r="97" spans="1:8" x14ac:dyDescent="0.25">
      <c r="A97" s="68" t="s">
        <v>84</v>
      </c>
      <c r="B97" s="61">
        <v>9.7358499999999992</v>
      </c>
      <c r="C97" s="61">
        <v>243.54893999999999</v>
      </c>
      <c r="D97" s="75" t="s">
        <v>361</v>
      </c>
      <c r="E97" s="75">
        <f>IF(9.73585="","-",9.73585/3277823.24746*100)</f>
        <v>2.9702181188520009E-4</v>
      </c>
      <c r="F97" s="75">
        <f>IF(243.54894="","-",243.54894/3014879.35037*100)</f>
        <v>8.0782317199562404E-3</v>
      </c>
      <c r="G97" s="75">
        <f>IF(OR(2103421.20669="",0.73254="",9.73585=""),"-",(9.73585-0.73254)/2103421.20669*100)</f>
        <v>4.2803172143385628E-4</v>
      </c>
      <c r="H97" s="75">
        <f>IF(OR(3277823.24746="",243.54894="",9.73585=""),"-",(243.54894-9.73585)/3277823.24746*100)</f>
        <v>7.1331817596077766E-3</v>
      </c>
    </row>
    <row r="98" spans="1:8" x14ac:dyDescent="0.25">
      <c r="A98" s="68" t="s">
        <v>274</v>
      </c>
      <c r="B98" s="61">
        <v>227.90298999999999</v>
      </c>
      <c r="C98" s="61">
        <v>230.52466000000001</v>
      </c>
      <c r="D98" s="75">
        <f>IF(OR(227.90299="",230.52466=""),"-",230.52466/227.90299*100)</f>
        <v>101.15034471465249</v>
      </c>
      <c r="E98" s="75">
        <f>IF(227.90299="","-",227.90299/3277823.24746*100)</f>
        <v>6.9528761252335069E-3</v>
      </c>
      <c r="F98" s="75">
        <f>IF(230.52466="","-",230.52466/3014879.35037*100)</f>
        <v>7.6462316799413201E-3</v>
      </c>
      <c r="G98" s="75">
        <f>IF(OR(2103421.20669="",111.51571="",227.90299=""),"-",(227.90299-111.51571)/2103421.20669*100)</f>
        <v>5.5332369774454323E-3</v>
      </c>
      <c r="H98" s="75">
        <f>IF(OR(3277823.24746="",230.52466="",227.90299=""),"-",(230.52466-227.90299)/3277823.24746*100)</f>
        <v>7.998204302295943E-5</v>
      </c>
    </row>
    <row r="99" spans="1:8" x14ac:dyDescent="0.25">
      <c r="A99" s="69" t="s">
        <v>284</v>
      </c>
      <c r="B99" s="58">
        <v>100.9478</v>
      </c>
      <c r="C99" s="58">
        <v>224.83832000000001</v>
      </c>
      <c r="D99" s="75" t="s">
        <v>362</v>
      </c>
      <c r="E99" s="75">
        <f>IF(100.9478="","-",100.9478/3277823.24746*100)</f>
        <v>3.0797206676175994E-3</v>
      </c>
      <c r="F99" s="75">
        <f>IF(224.83832="","-",224.83832/3014879.35037*100)</f>
        <v>7.4576224740935913E-3</v>
      </c>
      <c r="G99" s="75">
        <f>IF(OR(2103421.20669="",127.69588="",100.9478=""),"-",(100.9478-127.69588)/2103421.20669*100)</f>
        <v>-1.271646397541627E-3</v>
      </c>
      <c r="H99" s="75">
        <f>IF(OR(3277823.24746="",224.83832="",100.9478=""),"-",(224.83832-100.9478)/3277823.24746*100)</f>
        <v>3.7796583478381064E-3</v>
      </c>
    </row>
    <row r="100" spans="1:8" x14ac:dyDescent="0.25">
      <c r="A100" s="69" t="s">
        <v>299</v>
      </c>
      <c r="B100" s="58">
        <v>176.90536</v>
      </c>
      <c r="C100" s="58">
        <v>215.64302000000001</v>
      </c>
      <c r="D100" s="75">
        <f>IF(OR(176.90536="",215.64302=""),"-",215.64302/176.90536*100)</f>
        <v>121.89739191622007</v>
      </c>
      <c r="E100" s="75">
        <f>IF(176.90536="","-",176.90536/3277823.24746*100)</f>
        <v>5.3970378096831412E-3</v>
      </c>
      <c r="F100" s="75">
        <f>IF(215.64302="","-",215.64302/3014879.35037*100)</f>
        <v>7.1526251945549756E-3</v>
      </c>
      <c r="G100" s="75">
        <f>IF(OR(2103421.20669="",211.45377="",176.90536=""),"-",(176.90536-211.45377)/2103421.20669*100)</f>
        <v>-1.6424865305207364E-3</v>
      </c>
      <c r="H100" s="75">
        <f>IF(OR(3277823.24746="",215.64302="",176.90536=""),"-",(215.64302-176.90536)/3277823.24746*100)</f>
        <v>1.1818105210528967E-3</v>
      </c>
    </row>
    <row r="101" spans="1:8" x14ac:dyDescent="0.25">
      <c r="A101" s="69" t="s">
        <v>75</v>
      </c>
      <c r="B101" s="58">
        <v>216.89426</v>
      </c>
      <c r="C101" s="58">
        <v>214.26096999999999</v>
      </c>
      <c r="D101" s="75">
        <f>IF(OR(216.89426="",214.26097=""),"-",214.26097/216.89426*100)</f>
        <v>98.78591070137125</v>
      </c>
      <c r="E101" s="75">
        <f>IF(216.89426="","-",216.89426/3277823.24746*100)</f>
        <v>6.6170212249263994E-3</v>
      </c>
      <c r="F101" s="75">
        <f>IF(214.26097="","-",214.26097/3014879.35037*100)</f>
        <v>7.1067842225163965E-3</v>
      </c>
      <c r="G101" s="75">
        <f>IF(OR(2103421.20669="",15.13799="",216.89426=""),"-",(216.89426-15.13799)/2103421.20669*100)</f>
        <v>9.5918149611835986E-3</v>
      </c>
      <c r="H101" s="75">
        <f>IF(OR(3277823.24746="",214.26097="",216.89426=""),"-",(214.26097-216.89426)/3277823.24746*100)</f>
        <v>-8.0336546579824422E-5</v>
      </c>
    </row>
    <row r="102" spans="1:8" x14ac:dyDescent="0.25">
      <c r="A102" s="68" t="s">
        <v>89</v>
      </c>
      <c r="B102" s="61">
        <v>168.49769000000001</v>
      </c>
      <c r="C102" s="61">
        <v>213.71518</v>
      </c>
      <c r="D102" s="75">
        <f>IF(OR(168.49769="",213.71518=""),"-",213.71518/168.49769*100)</f>
        <v>126.83567353356595</v>
      </c>
      <c r="E102" s="75">
        <f>IF(168.49769="","-",168.49769/3277823.24746*100)</f>
        <v>5.1405361814603522E-3</v>
      </c>
      <c r="F102" s="75">
        <f>IF(213.71518="","-",213.71518/3014879.35037*100)</f>
        <v>7.0886810105277309E-3</v>
      </c>
      <c r="G102" s="75">
        <f>IF(OR(2103421.20669="",102.5224="",168.49769=""),"-",(168.49769-102.5224)/2103421.20669*100)</f>
        <v>3.1365705446994366E-3</v>
      </c>
      <c r="H102" s="75">
        <f>IF(OR(3277823.24746="",213.71518="",168.49769=""),"-",(213.71518-168.49769)/3277823.24746*100)</f>
        <v>1.3794975075315373E-3</v>
      </c>
    </row>
    <row r="103" spans="1:8" x14ac:dyDescent="0.25">
      <c r="A103" s="68" t="s">
        <v>91</v>
      </c>
      <c r="B103" s="61">
        <v>111.86709999999999</v>
      </c>
      <c r="C103" s="61">
        <v>204.33663000000001</v>
      </c>
      <c r="D103" s="75" t="s">
        <v>349</v>
      </c>
      <c r="E103" s="75">
        <f>IF(111.8671="","-",111.8671/3277823.24746*100)</f>
        <v>3.4128472328911058E-3</v>
      </c>
      <c r="F103" s="75">
        <f>IF(204.33663="","-",204.33663/3014879.35037*100)</f>
        <v>6.7776055441463303E-3</v>
      </c>
      <c r="G103" s="75">
        <f>IF(OR(2103421.20669="",377.67869="",111.8671=""),"-",(111.8671-377.67869)/2103421.20669*100)</f>
        <v>-1.2637107068930254E-2</v>
      </c>
      <c r="H103" s="75">
        <f>IF(OR(3277823.24746="",204.33663="",111.8671=""),"-",(204.33663-111.8671)/3277823.24746*100)</f>
        <v>2.8210651709684184E-3</v>
      </c>
    </row>
    <row r="104" spans="1:8" x14ac:dyDescent="0.25">
      <c r="A104" s="69" t="s">
        <v>93</v>
      </c>
      <c r="B104" s="58">
        <v>498.25110999999998</v>
      </c>
      <c r="C104" s="58">
        <v>191.29371</v>
      </c>
      <c r="D104" s="75">
        <f>IF(OR(498.25111="",191.29371=""),"-",191.29371/498.25111*100)</f>
        <v>38.393032380800918</v>
      </c>
      <c r="E104" s="75">
        <f>IF(498.25111="","-",498.25111/3277823.24746*100)</f>
        <v>1.5200670456715351E-2</v>
      </c>
      <c r="F104" s="75">
        <f>IF(191.29371="","-",191.29371/3014879.35037*100)</f>
        <v>6.344987237267838E-3</v>
      </c>
      <c r="G104" s="75">
        <f>IF(OR(2103421.20669="",163.10625="",498.25111=""),"-",(498.25111-163.10625)/2103421.20669*100)</f>
        <v>1.5933321340208077E-2</v>
      </c>
      <c r="H104" s="75">
        <f>IF(OR(3277823.24746="",191.29371="",498.25111=""),"-",(191.29371-498.25111)/3277823.24746*100)</f>
        <v>-9.3646721261697891E-3</v>
      </c>
    </row>
    <row r="105" spans="1:8" x14ac:dyDescent="0.25">
      <c r="A105" s="68" t="s">
        <v>278</v>
      </c>
      <c r="B105" s="61" t="s">
        <v>276</v>
      </c>
      <c r="C105" s="61">
        <v>175.10164</v>
      </c>
      <c r="D105" s="75" t="str">
        <f>IF(OR(""="",175.10164=""),"-",175.10164/""*100)</f>
        <v>-</v>
      </c>
      <c r="E105" s="75" t="str">
        <f>IF(""="","-",""/3277823.24746*100)</f>
        <v>-</v>
      </c>
      <c r="F105" s="75">
        <f>IF(175.10164="","-",175.10164/3014879.35037*100)</f>
        <v>5.8079153309571318E-3</v>
      </c>
      <c r="G105" s="75" t="str">
        <f>IF(OR(2103421.20669="",""="",""=""),"-",(""-"")/2103421.20669*100)</f>
        <v>-</v>
      </c>
      <c r="H105" s="75" t="str">
        <f>IF(OR(3277823.24746="",175.10164="",""=""),"-",(175.10164-"")/3277823.24746*100)</f>
        <v>-</v>
      </c>
    </row>
    <row r="106" spans="1:8" x14ac:dyDescent="0.25">
      <c r="A106" s="68" t="s">
        <v>104</v>
      </c>
      <c r="B106" s="61">
        <v>382.52483000000001</v>
      </c>
      <c r="C106" s="61">
        <v>174.26874000000001</v>
      </c>
      <c r="D106" s="75">
        <f>IF(OR(382.52483="",174.26874=""),"-",174.26874/382.52483*100)</f>
        <v>45.55749753551946</v>
      </c>
      <c r="E106" s="75">
        <f>IF(382.52483="","-",382.52483/3277823.24746*100)</f>
        <v>1.1670087162156171E-2</v>
      </c>
      <c r="F106" s="75">
        <f>IF(174.26874="","-",174.26874/3014879.35037*100)</f>
        <v>5.7802890181530122E-3</v>
      </c>
      <c r="G106" s="75">
        <f>IF(OR(2103421.20669="",413.10412="",382.52483=""),"-",(382.52483-413.10412)/2103421.20669*100)</f>
        <v>-1.4537882333192033E-3</v>
      </c>
      <c r="H106" s="75">
        <f>IF(OR(3277823.24746="",174.26874="",382.52483=""),"-",(174.26874-382.52483)/3277823.24746*100)</f>
        <v>-6.3534874908639004E-3</v>
      </c>
    </row>
    <row r="107" spans="1:8" x14ac:dyDescent="0.25">
      <c r="A107" s="69" t="s">
        <v>291</v>
      </c>
      <c r="B107" s="58">
        <v>39.533410000000003</v>
      </c>
      <c r="C107" s="58">
        <v>164.60524000000001</v>
      </c>
      <c r="D107" s="75" t="s">
        <v>363</v>
      </c>
      <c r="E107" s="75">
        <f>IF(39.53341="","-",39.53341/3277823.24746*100)</f>
        <v>1.2060873029268622E-3</v>
      </c>
      <c r="F107" s="75">
        <f>IF(164.60524="","-",164.60524/3014879.35037*100)</f>
        <v>5.4597620956141702E-3</v>
      </c>
      <c r="G107" s="75" t="str">
        <f>IF(OR(2103421.20669="",""="",39.53341=""),"-",(39.53341-"")/2103421.20669*100)</f>
        <v>-</v>
      </c>
      <c r="H107" s="75">
        <f>IF(OR(3277823.24746="",164.60524="",39.53341=""),"-",(164.60524-39.53341)/3277823.24746*100)</f>
        <v>3.8156978139964903E-3</v>
      </c>
    </row>
    <row r="108" spans="1:8" x14ac:dyDescent="0.25">
      <c r="A108" s="68" t="s">
        <v>300</v>
      </c>
      <c r="B108" s="61" t="s">
        <v>276</v>
      </c>
      <c r="C108" s="61">
        <v>163.33998</v>
      </c>
      <c r="D108" s="75" t="str">
        <f>IF(OR(""="",163.33998=""),"-",163.33998/""*100)</f>
        <v>-</v>
      </c>
      <c r="E108" s="75" t="str">
        <f>IF(""="","-",""/3277823.24746*100)</f>
        <v>-</v>
      </c>
      <c r="F108" s="75">
        <f>IF(163.33998="","-",163.33998/3014879.35037*100)</f>
        <v>5.4177949104316277E-3</v>
      </c>
      <c r="G108" s="75" t="str">
        <f>IF(OR(2103421.20669="",""="",""=""),"-",(""-"")/2103421.20669*100)</f>
        <v>-</v>
      </c>
      <c r="H108" s="75" t="str">
        <f>IF(OR(3277823.24746="",163.33998="",""=""),"-",(163.33998-"")/3277823.24746*100)</f>
        <v>-</v>
      </c>
    </row>
    <row r="109" spans="1:8" x14ac:dyDescent="0.25">
      <c r="A109" s="69" t="s">
        <v>301</v>
      </c>
      <c r="B109" s="58">
        <v>23.586680000000001</v>
      </c>
      <c r="C109" s="58">
        <v>147.19999999999999</v>
      </c>
      <c r="D109" s="75" t="s">
        <v>364</v>
      </c>
      <c r="E109" s="75">
        <f>IF(23.58668="","-",23.58668/3277823.24746*100)</f>
        <v>7.19583644977728E-4</v>
      </c>
      <c r="F109" s="75">
        <f>IF(147.2="","-",147.2/3014879.35037*100)</f>
        <v>4.8824507681189599E-3</v>
      </c>
      <c r="G109" s="75">
        <f>IF(OR(2103421.20669="",60.504="",23.58668=""),"-",(23.58668-60.504)/2103421.20669*100)</f>
        <v>-1.7551082913200291E-3</v>
      </c>
      <c r="H109" s="75">
        <f>IF(OR(3277823.24746="",147.2="",23.58668=""),"-",(147.2-23.58668)/3277823.24746*100)</f>
        <v>3.7712015159996346E-3</v>
      </c>
    </row>
    <row r="110" spans="1:8" x14ac:dyDescent="0.25">
      <c r="A110" s="68" t="s">
        <v>324</v>
      </c>
      <c r="B110" s="61" t="s">
        <v>276</v>
      </c>
      <c r="C110" s="61">
        <v>111.00945</v>
      </c>
      <c r="D110" s="75" t="str">
        <f>IF(OR(""="",111.00945=""),"-",111.00945/""*100)</f>
        <v>-</v>
      </c>
      <c r="E110" s="75" t="str">
        <f>IF(""="","-",""/3277823.24746*100)</f>
        <v>-</v>
      </c>
      <c r="F110" s="75">
        <f>IF(111.00945="","-",111.00945/3014879.35037*100)</f>
        <v>3.6820528153598056E-3</v>
      </c>
      <c r="G110" s="75" t="str">
        <f>IF(OR(2103421.20669="",""="",""=""),"-",(""-"")/2103421.20669*100)</f>
        <v>-</v>
      </c>
      <c r="H110" s="75" t="str">
        <f>IF(OR(3277823.24746="",111.00945="",""=""),"-",(111.00945-"")/3277823.24746*100)</f>
        <v>-</v>
      </c>
    </row>
    <row r="111" spans="1:8" s="21" customFormat="1" ht="15" customHeight="1" x14ac:dyDescent="0.2">
      <c r="A111" s="68" t="s">
        <v>283</v>
      </c>
      <c r="B111" s="61">
        <v>118.09535</v>
      </c>
      <c r="C111" s="61">
        <v>93.35642</v>
      </c>
      <c r="D111" s="75">
        <f>IF(OR(118.09535="",93.35642=""),"-",93.35642/118.09535*100)</f>
        <v>79.051732350172983</v>
      </c>
      <c r="E111" s="75">
        <f>IF(118.09535="","-",118.09535/3277823.24746*100)</f>
        <v>3.6028590038072552E-3</v>
      </c>
      <c r="F111" s="75">
        <f>IF(93.35642="","-",93.35642/3014879.35037*100)</f>
        <v>3.0965225851755183E-3</v>
      </c>
      <c r="G111" s="75">
        <f>IF(OR(2103421.20669="",4.55709="",118.09535=""),"-",(118.09535-4.55709)/2103421.20669*100)</f>
        <v>5.3977900212704832E-3</v>
      </c>
      <c r="H111" s="75">
        <f>IF(OR(3277823.24746="",93.35642="",118.09535=""),"-",(93.35642-118.09535)/3277823.24746*100)</f>
        <v>-7.5473654716343543E-4</v>
      </c>
    </row>
    <row r="112" spans="1:8" s="21" customFormat="1" ht="14.25" customHeight="1" x14ac:dyDescent="0.2">
      <c r="A112" s="68" t="s">
        <v>282</v>
      </c>
      <c r="B112" s="61">
        <v>0.6</v>
      </c>
      <c r="C112" s="61">
        <v>79.2239</v>
      </c>
      <c r="D112" s="75" t="s">
        <v>365</v>
      </c>
      <c r="E112" s="75">
        <f>IF(0.6="","-",0.6/3277823.24746*100)</f>
        <v>1.8304830819201206E-5</v>
      </c>
      <c r="F112" s="75">
        <f>IF(79.2239="","-",79.2239/3014879.35037*100)</f>
        <v>2.6277635285895363E-3</v>
      </c>
      <c r="G112" s="75" t="str">
        <f>IF(OR(2103421.20669="",""="",0.6=""),"-",(0.6-"")/2103421.20669*100)</f>
        <v>-</v>
      </c>
      <c r="H112" s="75">
        <f>IF(OR(3277823.24746="",79.2239="",0.6=""),"-",(79.2239-0.6)/3277823.24746*100)</f>
        <v>2.3986619797429897E-3</v>
      </c>
    </row>
    <row r="113" spans="1:8" x14ac:dyDescent="0.25">
      <c r="A113" s="68" t="s">
        <v>77</v>
      </c>
      <c r="B113" s="61">
        <v>1765.40157</v>
      </c>
      <c r="C113" s="61">
        <v>74.85839</v>
      </c>
      <c r="D113" s="75">
        <f>IF(OR(1765.40157="",74.85839=""),"-",74.85839/1765.40157*100)</f>
        <v>4.2403038080452138</v>
      </c>
      <c r="E113" s="75">
        <f>IF(1765.40157="","-",1765.40157/3277823.24746*100)</f>
        <v>5.3858961778003665E-2</v>
      </c>
      <c r="F113" s="75">
        <f>IF(74.85839="","-",74.85839/3014879.35037*100)</f>
        <v>2.4829646994269615E-3</v>
      </c>
      <c r="G113" s="75">
        <f>IF(OR(2103421.20669="",440.26803="",1765.40157=""),"-",(1765.40157-440.26803)/2103421.20669*100)</f>
        <v>6.2998962632180827E-2</v>
      </c>
      <c r="H113" s="75">
        <f>IF(OR(3277823.24746="",74.85839="",1765.40157=""),"-",(74.85839-1765.40157)/3277823.24746*100)</f>
        <v>-5.1575178170757352E-2</v>
      </c>
    </row>
    <row r="114" spans="1:8" x14ac:dyDescent="0.25">
      <c r="A114" s="69" t="s">
        <v>322</v>
      </c>
      <c r="B114" s="58">
        <v>35.35</v>
      </c>
      <c r="C114" s="58">
        <v>64.380799999999994</v>
      </c>
      <c r="D114" s="75" t="s">
        <v>349</v>
      </c>
      <c r="E114" s="75">
        <f>IF(35.35="","-",35.35/3277823.24746*100)</f>
        <v>1.0784596157646046E-3</v>
      </c>
      <c r="F114" s="75">
        <f>IF(64.3808="","-",64.3808/3014879.35037*100)</f>
        <v>2.1354353696475077E-3</v>
      </c>
      <c r="G114" s="75" t="str">
        <f>IF(OR(2103421.20669="",""="",35.35=""),"-",(35.35-"")/2103421.20669*100)</f>
        <v>-</v>
      </c>
      <c r="H114" s="75">
        <f>IF(OR(3277823.24746="",64.3808="",35.35=""),"-",(64.3808-35.35)/3277823.24746*100)</f>
        <v>8.8567313757677724E-4</v>
      </c>
    </row>
    <row r="115" spans="1:8" x14ac:dyDescent="0.25">
      <c r="A115" s="71" t="s">
        <v>285</v>
      </c>
      <c r="B115" s="63" t="s">
        <v>276</v>
      </c>
      <c r="C115" s="63">
        <v>50.55</v>
      </c>
      <c r="D115" s="76" t="str">
        <f>IF(OR(""="",50.55=""),"-",50.55/""*100)</f>
        <v>-</v>
      </c>
      <c r="E115" s="76" t="str">
        <f>IF(""="","-",""/3277823.24746*100)</f>
        <v>-</v>
      </c>
      <c r="F115" s="76">
        <f>IF(50.55="","-",50.55/3014879.35037*100)</f>
        <v>1.6766840103832436E-3</v>
      </c>
      <c r="G115" s="76" t="str">
        <f>IF(OR(2103421.20669="",""="",""=""),"-",(""-"")/2103421.20669*100)</f>
        <v>-</v>
      </c>
      <c r="H115" s="76" t="str">
        <f>IF(OR(3277823.24746="",50.55="",""=""),"-",(50.55-"")/3277823.24746*100)</f>
        <v>-</v>
      </c>
    </row>
    <row r="116" spans="1:8" s="21" customFormat="1" ht="14.25" customHeight="1" x14ac:dyDescent="0.2">
      <c r="A116" s="9" t="s">
        <v>256</v>
      </c>
      <c r="B116" s="9"/>
      <c r="C116" s="9"/>
      <c r="D116" s="9"/>
      <c r="E116" s="10"/>
      <c r="F116" s="10"/>
      <c r="G116" s="20"/>
      <c r="H116" s="20"/>
    </row>
    <row r="117" spans="1:8" s="21" customFormat="1" ht="15" customHeight="1" x14ac:dyDescent="0.2">
      <c r="A117" s="111" t="s">
        <v>302</v>
      </c>
      <c r="B117" s="111"/>
      <c r="C117" s="111"/>
      <c r="D117" s="111"/>
      <c r="E117" s="111"/>
      <c r="F117" s="111"/>
      <c r="G117" s="20"/>
      <c r="H117" s="20"/>
    </row>
  </sheetData>
  <mergeCells count="8">
    <mergeCell ref="A117:F117"/>
    <mergeCell ref="A1:H1"/>
    <mergeCell ref="A3:A4"/>
    <mergeCell ref="E3:F3"/>
    <mergeCell ref="G3:H3"/>
    <mergeCell ref="A2:H2"/>
    <mergeCell ref="D3:D4"/>
    <mergeCell ref="B3:C3"/>
  </mergeCells>
  <phoneticPr fontId="3" type="noConversion"/>
  <pageMargins left="0.59055118110236227" right="0.39370078740157483" top="0.39370078740157483" bottom="0.39370078740157483" header="0.11811023622047245" footer="0.1181102362204724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O133"/>
  <sheetViews>
    <sheetView zoomScaleNormal="100" workbookViewId="0">
      <selection sqref="A1:H1"/>
    </sheetView>
  </sheetViews>
  <sheetFormatPr defaultRowHeight="15.75" x14ac:dyDescent="0.25"/>
  <cols>
    <col min="1" max="1" width="35.25" customWidth="1"/>
    <col min="2" max="3" width="14" customWidth="1"/>
    <col min="4" max="4" width="13.375" customWidth="1"/>
    <col min="5" max="5" width="10.75" customWidth="1"/>
    <col min="6" max="6" width="10.5" customWidth="1"/>
    <col min="7" max="7" width="11" customWidth="1"/>
    <col min="8" max="8" width="10.75" customWidth="1"/>
    <col min="10" max="10" width="10.25" bestFit="1" customWidth="1"/>
  </cols>
  <sheetData>
    <row r="1" spans="1:15" x14ac:dyDescent="0.25">
      <c r="A1" s="123" t="s">
        <v>307</v>
      </c>
      <c r="B1" s="123"/>
      <c r="C1" s="123"/>
      <c r="D1" s="123"/>
      <c r="E1" s="123"/>
      <c r="F1" s="123"/>
      <c r="G1" s="123"/>
      <c r="H1" s="123"/>
    </row>
    <row r="2" spans="1:15" x14ac:dyDescent="0.25">
      <c r="A2" s="124"/>
      <c r="B2" s="124"/>
      <c r="C2" s="124"/>
      <c r="D2" s="124"/>
      <c r="E2" s="124"/>
      <c r="F2" s="124"/>
      <c r="G2" s="124"/>
      <c r="H2" s="124"/>
    </row>
    <row r="3" spans="1:15" ht="48.75" customHeight="1" x14ac:dyDescent="0.25">
      <c r="A3" s="113"/>
      <c r="B3" s="115" t="s">
        <v>398</v>
      </c>
      <c r="C3" s="122"/>
      <c r="D3" s="120" t="s">
        <v>399</v>
      </c>
      <c r="E3" s="115" t="s">
        <v>94</v>
      </c>
      <c r="F3" s="116"/>
      <c r="G3" s="117" t="s">
        <v>315</v>
      </c>
      <c r="H3" s="118"/>
    </row>
    <row r="4" spans="1:15" s="19" customFormat="1" ht="44.25" customHeight="1" x14ac:dyDescent="0.2">
      <c r="A4" s="114"/>
      <c r="B4" s="13" t="s">
        <v>334</v>
      </c>
      <c r="C4" s="13" t="s">
        <v>335</v>
      </c>
      <c r="D4" s="121"/>
      <c r="E4" s="13" t="s">
        <v>334</v>
      </c>
      <c r="F4" s="13" t="s">
        <v>335</v>
      </c>
      <c r="G4" s="13" t="s">
        <v>336</v>
      </c>
      <c r="H4" s="12" t="s">
        <v>337</v>
      </c>
      <c r="J4" s="25"/>
      <c r="K4" s="25"/>
      <c r="L4" s="25"/>
      <c r="M4" s="25"/>
      <c r="N4" s="25"/>
      <c r="O4" s="25"/>
    </row>
    <row r="5" spans="1:15" s="19" customFormat="1" ht="14.25" customHeight="1" x14ac:dyDescent="0.2">
      <c r="A5" s="65" t="s">
        <v>102</v>
      </c>
      <c r="B5" s="82">
        <v>6735746.1189299999</v>
      </c>
      <c r="C5" s="54">
        <v>6410995.1047999999</v>
      </c>
      <c r="D5" s="72">
        <f>IF(6735746.11893="","-",6410995.1048/6735746.11893*100)</f>
        <v>95.178692777369875</v>
      </c>
      <c r="E5" s="72">
        <v>100</v>
      </c>
      <c r="F5" s="72">
        <v>100</v>
      </c>
      <c r="G5" s="72">
        <f>IF(5074244.25964="","-",(6735746.11893-5074244.25964)/5074244.25964*100)</f>
        <v>32.743828918631479</v>
      </c>
      <c r="H5" s="72">
        <f>IF(6735746.11893="","-",(6410995.1048-6735746.11893)/6735746.11893*100)</f>
        <v>-4.8213072226301197</v>
      </c>
      <c r="J5" s="25"/>
      <c r="K5" s="25"/>
      <c r="L5" s="25"/>
      <c r="M5" s="25"/>
      <c r="N5" s="25"/>
      <c r="O5" s="25"/>
    </row>
    <row r="6" spans="1:15" s="1" customFormat="1" ht="15" x14ac:dyDescent="0.25">
      <c r="A6" s="77" t="s">
        <v>105</v>
      </c>
      <c r="B6" s="22"/>
      <c r="C6" s="55"/>
      <c r="D6" s="73"/>
      <c r="E6" s="73"/>
      <c r="F6" s="73"/>
      <c r="G6" s="73"/>
      <c r="H6" s="73"/>
    </row>
    <row r="7" spans="1:15" ht="16.5" customHeight="1" x14ac:dyDescent="0.25">
      <c r="A7" s="78" t="s">
        <v>112</v>
      </c>
      <c r="B7" s="60">
        <v>3081300.1328599998</v>
      </c>
      <c r="C7" s="56">
        <v>3109132.2308100001</v>
      </c>
      <c r="D7" s="74">
        <f>IF(3081300.13286="","-",3109132.23081/3081300.13286*100)</f>
        <v>100.90325825949864</v>
      </c>
      <c r="E7" s="74">
        <f>IF(3081300.13286="","-",3081300.13286/6735746.11893*100)</f>
        <v>45.74549097390085</v>
      </c>
      <c r="F7" s="74">
        <f>IF(3109132.23081="","-",3109132.23081/6410995.1048*100)</f>
        <v>48.496874197925223</v>
      </c>
      <c r="G7" s="74">
        <f>IF(5074244.25964="","-",(3081300.13286-2323068.36557)/5074244.25964*100)</f>
        <v>14.9427526246794</v>
      </c>
      <c r="H7" s="74">
        <f>IF(6735746.11893="","-",(3109132.23081-3081300.13286)/6735746.11893*100)</f>
        <v>0.41319992556996132</v>
      </c>
    </row>
    <row r="8" spans="1:15" x14ac:dyDescent="0.25">
      <c r="A8" s="77" t="s">
        <v>0</v>
      </c>
      <c r="B8" s="61">
        <v>1134768.8877699999</v>
      </c>
      <c r="C8" s="58">
        <v>984700.44142000005</v>
      </c>
      <c r="D8" s="75">
        <f>IF(OR(1134768.88777="",984700.44142=""),"-",984700.44142/1134768.88777*100)</f>
        <v>86.77541762315073</v>
      </c>
      <c r="E8" s="75">
        <f>IF(1134768.88777="","-",1134768.88777/6735746.11893*100)</f>
        <v>16.846966434510787</v>
      </c>
      <c r="F8" s="75">
        <f>IF(984700.44142="","-",984700.44142/6410995.1048*100)</f>
        <v>15.359556906894865</v>
      </c>
      <c r="G8" s="75">
        <f>IF(OR(5074244.25964="",609858.09756="",1134768.88777=""),"-",(1134768.88777-609858.09756)/5074244.25964*100)</f>
        <v>10.344610218808043</v>
      </c>
      <c r="H8" s="75">
        <f>IF(OR(6735746.11893="",984700.44142="",1134768.88777=""),"-",(984700.44142-1134768.88777)/6735746.11893*100)</f>
        <v>-2.2279409541320248</v>
      </c>
    </row>
    <row r="9" spans="1:15" s="2" customFormat="1" x14ac:dyDescent="0.25">
      <c r="A9" s="77" t="s">
        <v>2</v>
      </c>
      <c r="B9" s="61">
        <v>434294.20866</v>
      </c>
      <c r="C9" s="58">
        <v>453576.32501999999</v>
      </c>
      <c r="D9" s="75">
        <f>IF(OR(434294.20866="",453576.32502=""),"-",453576.32502/434294.20866*100)</f>
        <v>104.4398741626084</v>
      </c>
      <c r="E9" s="75">
        <f>IF(434294.20866="","-",434294.20866/6735746.11893*100)</f>
        <v>6.4476035912260503</v>
      </c>
      <c r="F9" s="75">
        <f>IF(453576.32502="","-",453576.32502/6410995.1048*100)</f>
        <v>7.0749753759818219</v>
      </c>
      <c r="G9" s="75">
        <f>IF(OR(5074244.25964="",404258.4586="",434294.20866=""),"-",(434294.20866-404258.4586)/5074244.25964*100)</f>
        <v>0.59192558582370891</v>
      </c>
      <c r="H9" s="75">
        <f>IF(OR(6735746.11893="",453576.32502="",434294.20866=""),"-",(453576.32502-434294.20866)/6735746.11893*100)</f>
        <v>0.28626548595425721</v>
      </c>
    </row>
    <row r="10" spans="1:15" s="2" customFormat="1" x14ac:dyDescent="0.25">
      <c r="A10" s="77" t="s">
        <v>1</v>
      </c>
      <c r="B10" s="61">
        <v>330288.27425999998</v>
      </c>
      <c r="C10" s="57">
        <v>354145.16015000001</v>
      </c>
      <c r="D10" s="75">
        <f>IF(OR(330288.27426="",354145.16015=""),"-",354145.16015/330288.27426*100)</f>
        <v>107.22304960521247</v>
      </c>
      <c r="E10" s="75">
        <f>IF(330288.27426="","-",330288.27426/6735746.11893*100)</f>
        <v>4.9035143015821916</v>
      </c>
      <c r="F10" s="75">
        <f>IF(354145.16015="","-",354145.16015/6410995.1048*100)</f>
        <v>5.5240279295307317</v>
      </c>
      <c r="G10" s="75">
        <f>IF(OR(5074244.25964="",328473.12919="",330288.27426=""),"-",(330288.27426-328473.12919)/5074244.25964*100)</f>
        <v>3.5771732244689929E-2</v>
      </c>
      <c r="H10" s="75">
        <f>IF(OR(6735746.11893="",354145.16015="",330288.27426=""),"-",(354145.16015-330288.27426)/6735746.11893*100)</f>
        <v>0.3541832704019699</v>
      </c>
    </row>
    <row r="11" spans="1:15" s="2" customFormat="1" x14ac:dyDescent="0.25">
      <c r="A11" s="77" t="s">
        <v>3</v>
      </c>
      <c r="B11" s="61">
        <v>223109.42157000001</v>
      </c>
      <c r="C11" s="57">
        <v>234864.20376999999</v>
      </c>
      <c r="D11" s="75">
        <f>IF(OR(223109.42157="",234864.20377=""),"-",234864.20377/223109.42157*100)</f>
        <v>105.26861757665036</v>
      </c>
      <c r="E11" s="75">
        <f>IF(223109.42157="","-",223109.42157/6735746.11893*100)</f>
        <v>3.3123193426631379</v>
      </c>
      <c r="F11" s="75">
        <f>IF(234864.20377="","-",234864.20377/6410995.1048*100)</f>
        <v>3.6634594151250242</v>
      </c>
      <c r="G11" s="75">
        <f>IF(OR(5074244.25964="",191903.85096="",223109.42157=""),"-",(223109.42157-191903.85096)/5074244.25964*100)</f>
        <v>0.61497967013937016</v>
      </c>
      <c r="H11" s="75">
        <f>IF(OR(6735746.11893="",234864.20377="",223109.42157=""),"-",(234864.20377-223109.42157)/6735746.11893*100)</f>
        <v>0.17451343908234002</v>
      </c>
    </row>
    <row r="12" spans="1:15" s="2" customFormat="1" x14ac:dyDescent="0.25">
      <c r="A12" s="77" t="s">
        <v>262</v>
      </c>
      <c r="B12" s="61">
        <v>140349.28988999999</v>
      </c>
      <c r="C12" s="57">
        <v>158306.94263999999</v>
      </c>
      <c r="D12" s="75">
        <f>IF(OR(140349.28989="",158306.94264=""),"-",158306.94264/140349.28989*100)</f>
        <v>112.79497228954594</v>
      </c>
      <c r="E12" s="75">
        <f>IF(140349.28989="","-",140349.28989/6735746.11893*100)</f>
        <v>2.0836487511838557</v>
      </c>
      <c r="F12" s="75">
        <f>IF(158306.94264="","-",158306.94264/6410995.1048*100)</f>
        <v>2.4693037516355836</v>
      </c>
      <c r="G12" s="75">
        <f>IF(OR(5074244.25964="",128205.65705="",140349.28989=""),"-",(140349.28989-128205.65705)/5074244.25964*100)</f>
        <v>0.23931904375572055</v>
      </c>
      <c r="H12" s="75">
        <f>IF(OR(6735746.11893="",158306.94264="",140349.28989=""),"-",(158306.94264-140349.28989)/6735746.11893*100)</f>
        <v>0.26660228032544453</v>
      </c>
    </row>
    <row r="13" spans="1:15" s="2" customFormat="1" x14ac:dyDescent="0.25">
      <c r="A13" s="79" t="s">
        <v>36</v>
      </c>
      <c r="B13" s="58">
        <v>135358.09662</v>
      </c>
      <c r="C13" s="58">
        <v>138467.92038</v>
      </c>
      <c r="D13" s="75">
        <f>IF(OR(135358.09662="",138467.92038=""),"-",138467.92038/135358.09662*100)</f>
        <v>102.29747893746645</v>
      </c>
      <c r="E13" s="75">
        <f>IF(135358.09662="","-",135358.09662/6735746.11893*100)</f>
        <v>2.0095486710758359</v>
      </c>
      <c r="F13" s="75">
        <f>IF(138467.92038="","-",138467.92038/6410995.1048*100)</f>
        <v>2.1598506646234554</v>
      </c>
      <c r="G13" s="75">
        <f>IF(OR(5074244.25964="",91812.5878="",135358.09662=""),"-",(135358.09662-91812.5878)/5074244.25964*100)</f>
        <v>0.85816737610280924</v>
      </c>
      <c r="H13" s="75">
        <f>IF(OR(6735746.11893="",138467.92038="",135358.09662=""),"-",(138467.92038-135358.09662)/6735746.11893*100)</f>
        <v>4.616895745610447E-2</v>
      </c>
    </row>
    <row r="14" spans="1:15" s="2" customFormat="1" x14ac:dyDescent="0.25">
      <c r="A14" s="77" t="s">
        <v>265</v>
      </c>
      <c r="B14" s="61">
        <v>98870.391409999997</v>
      </c>
      <c r="C14" s="57">
        <v>114336.29491</v>
      </c>
      <c r="D14" s="75">
        <f>IF(OR(98870.39141="",114336.29491=""),"-",114336.29491/98870.39141*100)</f>
        <v>115.64260369503883</v>
      </c>
      <c r="E14" s="75">
        <f>IF(98870.39141="","-",98870.39141/6735746.11893*100)</f>
        <v>1.4678461697381484</v>
      </c>
      <c r="F14" s="75">
        <f>IF(114336.29491="","-",114336.29491/6410995.1048*100)</f>
        <v>1.7834406834033434</v>
      </c>
      <c r="G14" s="75">
        <f>IF(OR(5074244.25964="",85286.41408="",98870.39141=""),"-",(98870.39141-85286.41408)/5074244.25964*100)</f>
        <v>0.26770444296593104</v>
      </c>
      <c r="H14" s="75">
        <f>IF(OR(6735746.11893="",114336.29491="",98870.39141=""),"-",(114336.29491-98870.39141)/6735746.11893*100)</f>
        <v>0.22960935918494535</v>
      </c>
    </row>
    <row r="15" spans="1:15" s="2" customFormat="1" x14ac:dyDescent="0.25">
      <c r="A15" s="77" t="s">
        <v>4</v>
      </c>
      <c r="B15" s="61">
        <v>101159.526</v>
      </c>
      <c r="C15" s="57">
        <v>107058.70365</v>
      </c>
      <c r="D15" s="75">
        <f>IF(OR(101159.526="",107058.70365=""),"-",107058.70365/101159.526*100)</f>
        <v>105.83155920481477</v>
      </c>
      <c r="E15" s="75">
        <f>IF(101159.526="","-",101159.526/6735746.11893*100)</f>
        <v>1.5018310401531225</v>
      </c>
      <c r="F15" s="75">
        <f>IF(107058.70365="","-",107058.70365/6410995.1048*100)</f>
        <v>1.6699233410713992</v>
      </c>
      <c r="G15" s="75">
        <f>IF(OR(5074244.25964="",62917.1332="",101159.526=""),"-",(101159.526-62917.1332)/5074244.25964*100)</f>
        <v>0.75365691604907425</v>
      </c>
      <c r="H15" s="75">
        <f>IF(OR(6735746.11893="",107058.70365="",101159.526=""),"-",(107058.70365-101159.526)/6735746.11893*100)</f>
        <v>8.7580166262814937E-2</v>
      </c>
    </row>
    <row r="16" spans="1:15" s="2" customFormat="1" x14ac:dyDescent="0.25">
      <c r="A16" s="77" t="s">
        <v>6</v>
      </c>
      <c r="B16" s="61">
        <v>51042.748330000002</v>
      </c>
      <c r="C16" s="58">
        <v>95299.135219999996</v>
      </c>
      <c r="D16" s="75" t="s">
        <v>343</v>
      </c>
      <c r="E16" s="75">
        <f>IF(51042.74833="","-",51042.74833/6735746.11893*100)</f>
        <v>0.75778907679656349</v>
      </c>
      <c r="F16" s="75">
        <f>IF(95299.13522="","-",95299.13522/6410995.1048*100)</f>
        <v>1.4864952111513583</v>
      </c>
      <c r="G16" s="75">
        <f>IF(OR(5074244.25964="",29776.39329="",51042.74833=""),"-",(51042.74833-29776.39329)/5074244.25964*100)</f>
        <v>0.41910388920672048</v>
      </c>
      <c r="H16" s="75">
        <f>IF(OR(6735746.11893="",95299.13522="",51042.74833=""),"-",(95299.13522-51042.74833)/6735746.11893*100)</f>
        <v>0.65703763337550347</v>
      </c>
    </row>
    <row r="17" spans="1:8" s="2" customFormat="1" x14ac:dyDescent="0.25">
      <c r="A17" s="79" t="s">
        <v>34</v>
      </c>
      <c r="B17" s="58">
        <v>78690.328399999999</v>
      </c>
      <c r="C17" s="58">
        <v>87580.916859999998</v>
      </c>
      <c r="D17" s="75">
        <f>IF(OR(78690.3284="",87580.91686=""),"-",87580.91686/78690.3284*100)</f>
        <v>111.29819717463525</v>
      </c>
      <c r="E17" s="75">
        <f>IF(78690.3284="","-",78690.3284/6735746.11893*100)</f>
        <v>1.1682496194274654</v>
      </c>
      <c r="F17" s="75">
        <f>IF(87580.91686="","-",87580.91686/6410995.1048*100)</f>
        <v>1.3661048780777725</v>
      </c>
      <c r="G17" s="75">
        <f>IF(OR(5074244.25964="",69336.75505="",78690.3284=""),"-",(78690.3284-69336.75505)/5074244.25964*100)</f>
        <v>0.18433431406519629</v>
      </c>
      <c r="H17" s="75">
        <f>IF(OR(6735746.11893="",87580.91686="",78690.3284=""),"-",(87580.91686-78690.3284)/6735746.11893*100)</f>
        <v>0.13199114549484095</v>
      </c>
    </row>
    <row r="18" spans="1:8" s="2" customFormat="1" x14ac:dyDescent="0.25">
      <c r="A18" s="77" t="s">
        <v>5</v>
      </c>
      <c r="B18" s="61">
        <v>62071.16</v>
      </c>
      <c r="C18" s="58">
        <v>65987.897750000004</v>
      </c>
      <c r="D18" s="75">
        <f>IF(OR(62071.16="",65987.89775=""),"-",65987.89775/62071.16*100)</f>
        <v>106.31007661206912</v>
      </c>
      <c r="E18" s="75">
        <f>IF(62071.16="","-",62071.16/6735746.11893*100)</f>
        <v>0.92151869895387706</v>
      </c>
      <c r="F18" s="75">
        <f>IF(65987.89775="","-",65987.89775/6410995.1048*100)</f>
        <v>1.0292925929797383</v>
      </c>
      <c r="G18" s="75">
        <f>IF(OR(5074244.25964="",75564.58393="",62071.16=""),"-",(62071.16-75564.58393)/5074244.25964*100)</f>
        <v>-0.26591987376968135</v>
      </c>
      <c r="H18" s="75">
        <f>IF(OR(6735746.11893="",65987.89775="",62071.16=""),"-",(65987.89775-62071.16)/6735746.11893*100)</f>
        <v>5.8148535898532201E-2</v>
      </c>
    </row>
    <row r="19" spans="1:8" s="2" customFormat="1" ht="15.75" customHeight="1" x14ac:dyDescent="0.25">
      <c r="A19" s="77" t="s">
        <v>270</v>
      </c>
      <c r="B19" s="61">
        <v>65277.762699999999</v>
      </c>
      <c r="C19" s="57">
        <v>61315.046300000002</v>
      </c>
      <c r="D19" s="75">
        <f>IF(OR(65277.7627="",61315.0463=""),"-",61315.0463/65277.7627*100)</f>
        <v>93.929454325492685</v>
      </c>
      <c r="E19" s="75">
        <f>IF(65277.7627="","-",65277.7627/6735746.11893*100)</f>
        <v>0.96912445254646318</v>
      </c>
      <c r="F19" s="75">
        <f>IF(61315.0463="","-",61315.0463/6410995.1048*100)</f>
        <v>0.95640450971632451</v>
      </c>
      <c r="G19" s="75">
        <f>IF(OR(5074244.25964="",54860.11858="",65277.7627=""),"-",(65277.7627-54860.11858)/5074244.25964*100)</f>
        <v>0.20530434852852539</v>
      </c>
      <c r="H19" s="75">
        <f>IF(OR(6735746.11893="",61315.0463="",65277.7627=""),"-",(61315.0463-65277.7627)/6735746.11893*100)</f>
        <v>-5.8831142534651985E-2</v>
      </c>
    </row>
    <row r="20" spans="1:8" s="2" customFormat="1" x14ac:dyDescent="0.25">
      <c r="A20" s="77" t="s">
        <v>38</v>
      </c>
      <c r="B20" s="61">
        <v>41568.235910000003</v>
      </c>
      <c r="C20" s="57">
        <v>60297.114679999999</v>
      </c>
      <c r="D20" s="75">
        <f>IF(OR(41568.23591="",60297.11468=""),"-",60297.11468/41568.23591*100)</f>
        <v>145.0557459559991</v>
      </c>
      <c r="E20" s="75">
        <f>IF(41568.23591="","-",41568.23591/6735746.11893*100)</f>
        <v>0.61712889969497964</v>
      </c>
      <c r="F20" s="75">
        <f>IF(60297.11468="","-",60297.11468/6410995.1048*100)</f>
        <v>0.9405266061559574</v>
      </c>
      <c r="G20" s="75">
        <f>IF(OR(5074244.25964="",28719.50669="",41568.23591=""),"-",(41568.23591-28719.50669)/5074244.25964*100)</f>
        <v>0.25321463773822306</v>
      </c>
      <c r="H20" s="75">
        <f>IF(OR(6735746.11893="",60297.11468="",41568.23591=""),"-",(60297.11468-41568.23591)/6735746.11893*100)</f>
        <v>0.27805202926762262</v>
      </c>
    </row>
    <row r="21" spans="1:8" s="2" customFormat="1" x14ac:dyDescent="0.25">
      <c r="A21" s="77" t="s">
        <v>35</v>
      </c>
      <c r="B21" s="61">
        <v>40019.506809999999</v>
      </c>
      <c r="C21" s="57">
        <v>40168.868399999999</v>
      </c>
      <c r="D21" s="75">
        <f>IF(OR(40019.50681="",40168.8684=""),"-",40168.8684/40019.50681*100)</f>
        <v>100.37322196575064</v>
      </c>
      <c r="E21" s="75">
        <f>IF(40019.50681="","-",40019.50681/6735746.11893*100)</f>
        <v>0.59413621154054508</v>
      </c>
      <c r="F21" s="75">
        <f>IF(40168.8684="","-",40168.8684/6410995.1048*100)</f>
        <v>0.62656214430619384</v>
      </c>
      <c r="G21" s="75">
        <f>IF(OR(5074244.25964="",37853.86777="",40019.50681=""),"-",(40019.50681-37853.86777)/5074244.25964*100)</f>
        <v>4.2679045966022268E-2</v>
      </c>
      <c r="H21" s="75">
        <f>IF(OR(6735746.11893="",40168.8684="",40019.50681=""),"-",(40168.8684-40019.50681)/6735746.11893*100)</f>
        <v>2.2174468479481103E-3</v>
      </c>
    </row>
    <row r="22" spans="1:8" s="2" customFormat="1" x14ac:dyDescent="0.25">
      <c r="A22" s="77" t="s">
        <v>44</v>
      </c>
      <c r="B22" s="61">
        <v>24701.344969999998</v>
      </c>
      <c r="C22" s="57">
        <v>34070.698049999999</v>
      </c>
      <c r="D22" s="75">
        <f>IF(OR(24701.34497="",34070.69805=""),"-",34070.69805/24701.34497*100)</f>
        <v>137.9305381604895</v>
      </c>
      <c r="E22" s="75">
        <f>IF(24701.34497="","-",24701.34497/6735746.11893*100)</f>
        <v>0.36672024945506565</v>
      </c>
      <c r="F22" s="75">
        <f>IF(34070.69805="","-",34070.69805/6410995.1048*100)</f>
        <v>0.53144164818486295</v>
      </c>
      <c r="G22" s="75">
        <f>IF(OR(5074244.25964="",19423.187="",24701.34497=""),"-",(24701.34497-19423.187)/5074244.25964*100)</f>
        <v>0.1040186025726413</v>
      </c>
      <c r="H22" s="75">
        <f>IF(OR(6735746.11893="",34070.69805="",24701.34497=""),"-",(34070.69805-24701.34497)/6735746.11893*100)</f>
        <v>0.13909896416179593</v>
      </c>
    </row>
    <row r="23" spans="1:8" s="2" customFormat="1" x14ac:dyDescent="0.25">
      <c r="A23" s="77" t="s">
        <v>46</v>
      </c>
      <c r="B23" s="61">
        <v>21190.345099999999</v>
      </c>
      <c r="C23" s="57">
        <v>22743.627670000002</v>
      </c>
      <c r="D23" s="75">
        <f>IF(OR(21190.3451="",22743.62767=""),"-",22743.62767/21190.3451*100)</f>
        <v>107.33014286775351</v>
      </c>
      <c r="E23" s="75">
        <f>IF(21190.3451="","-",21190.3451/6735746.11893*100)</f>
        <v>0.31459536517338588</v>
      </c>
      <c r="F23" s="75">
        <f>IF(22743.62767="","-",22743.62767/6410995.1048*100)</f>
        <v>0.35475971043826776</v>
      </c>
      <c r="G23" s="75">
        <f>IF(OR(5074244.25964="",22399.67462="",21190.3451=""),"-",(21190.3451-22399.67462)/5074244.25964*100)</f>
        <v>-2.3832702134954E-2</v>
      </c>
      <c r="H23" s="75">
        <f>IF(OR(6735746.11893="",22743.62767="",21190.3451=""),"-",(22743.62767-21190.3451)/6735746.11893*100)</f>
        <v>2.3060289722540019E-2</v>
      </c>
    </row>
    <row r="24" spans="1:8" s="2" customFormat="1" x14ac:dyDescent="0.25">
      <c r="A24" s="77" t="s">
        <v>45</v>
      </c>
      <c r="B24" s="61">
        <v>20076.66778</v>
      </c>
      <c r="C24" s="57">
        <v>22528.651460000001</v>
      </c>
      <c r="D24" s="75">
        <f>IF(OR(20076.66778="",22528.65146=""),"-",22528.65146/20076.66778*100)</f>
        <v>112.21310083360856</v>
      </c>
      <c r="E24" s="75">
        <f>IF(20076.66778="","-",20076.66778/6735746.11893*100)</f>
        <v>0.29806152763948385</v>
      </c>
      <c r="F24" s="75">
        <f>IF(22528.65146="","-",22528.65146/6410995.1048*100)</f>
        <v>0.3514064679776856</v>
      </c>
      <c r="G24" s="75">
        <f>IF(OR(5074244.25964="",19406.32485="",20076.66778=""),"-",(20076.66778-19406.32485)/5074244.25964*100)</f>
        <v>1.3210694946867959E-2</v>
      </c>
      <c r="H24" s="75">
        <f>IF(OR(6735746.11893="",22528.65146="",20076.66778=""),"-",(22528.65146-20076.66778)/6735746.11893*100)</f>
        <v>3.6402554916804206E-2</v>
      </c>
    </row>
    <row r="25" spans="1:8" s="2" customFormat="1" x14ac:dyDescent="0.25">
      <c r="A25" s="77" t="s">
        <v>43</v>
      </c>
      <c r="B25" s="61">
        <v>15460.08066</v>
      </c>
      <c r="C25" s="57">
        <v>15159.05198</v>
      </c>
      <c r="D25" s="75">
        <f>IF(OR(15460.08066="",15159.05198=""),"-",15159.05198/15460.08066*100)</f>
        <v>98.052864751353766</v>
      </c>
      <c r="E25" s="75">
        <f>IF(15460.08066="","-",15460.08066/6735746.11893*100)</f>
        <v>0.22952291234004965</v>
      </c>
      <c r="F25" s="75">
        <f>IF(15159.05198="","-",15159.05198/6410995.1048*100)</f>
        <v>0.236453962796668</v>
      </c>
      <c r="G25" s="75">
        <f>IF(OR(5074244.25964="",11044.53868="",15460.08066=""),"-",(15460.08066-11044.53868)/5074244.25964*100)</f>
        <v>8.7018711635952414E-2</v>
      </c>
      <c r="H25" s="75">
        <f>IF(OR(6735746.11893="",15159.05198="",15460.08066=""),"-",(15159.05198-15460.08066)/6735746.11893*100)</f>
        <v>-4.4691215298925053E-3</v>
      </c>
    </row>
    <row r="26" spans="1:8" s="2" customFormat="1" x14ac:dyDescent="0.25">
      <c r="A26" s="77" t="s">
        <v>39</v>
      </c>
      <c r="B26" s="61">
        <v>13657.73207</v>
      </c>
      <c r="C26" s="57">
        <v>14501.275030000001</v>
      </c>
      <c r="D26" s="75">
        <f>IF(OR(13657.73207="",14501.27503=""),"-",14501.27503/13657.73207*100)</f>
        <v>106.1763033253002</v>
      </c>
      <c r="E26" s="75">
        <f>IF(13657.73207="","-",13657.73207/6735746.11893*100)</f>
        <v>0.2027649473250869</v>
      </c>
      <c r="F26" s="75">
        <f>IF(14501.27503="","-",14501.27503/6410995.1048*100)</f>
        <v>0.22619382471751848</v>
      </c>
      <c r="G26" s="75">
        <f>IF(OR(5074244.25964="",11470.41768="",13657.73207=""),"-",(13657.73207-11470.41768)/5074244.25964*100)</f>
        <v>4.3106210069500717E-2</v>
      </c>
      <c r="H26" s="75">
        <f>IF(OR(6735746.11893="",14501.27503="",13657.73207=""),"-",(14501.27503-13657.73207)/6735746.11893*100)</f>
        <v>1.2523378184182523E-2</v>
      </c>
    </row>
    <row r="27" spans="1:8" s="2" customFormat="1" x14ac:dyDescent="0.25">
      <c r="A27" s="77" t="s">
        <v>42</v>
      </c>
      <c r="B27" s="61">
        <v>15065.21788</v>
      </c>
      <c r="C27" s="57">
        <v>14038.462939999999</v>
      </c>
      <c r="D27" s="75">
        <f>IF(OR(15065.21788="",14038.46294=""),"-",14038.46294/15065.21788*100)</f>
        <v>93.184599464949784</v>
      </c>
      <c r="E27" s="75">
        <f>IF(15065.21788="","-",15065.21788/6735746.11893*100)</f>
        <v>0.22366071425496617</v>
      </c>
      <c r="F27" s="75">
        <f>IF(14038.46294="","-",14038.46294/6410995.1048*100)</f>
        <v>0.21897478800895057</v>
      </c>
      <c r="G27" s="75">
        <f>IF(OR(5074244.25964="",11697.40568="",15065.21788=""),"-",(15065.21788-11697.40568)/5074244.25964*100)</f>
        <v>6.637071507943007E-2</v>
      </c>
      <c r="H27" s="75">
        <f>IF(OR(6735746.11893="",14038.46294="",15065.21788=""),"-",(14038.46294-15065.21788)/6735746.11893*100)</f>
        <v>-1.5243373516030096E-2</v>
      </c>
    </row>
    <row r="28" spans="1:8" s="2" customFormat="1" x14ac:dyDescent="0.25">
      <c r="A28" s="77" t="s">
        <v>37</v>
      </c>
      <c r="B28" s="61">
        <v>12802.914500000001</v>
      </c>
      <c r="C28" s="57">
        <v>11677.267900000001</v>
      </c>
      <c r="D28" s="75">
        <f>IF(OR(12802.9145="",11677.2679=""),"-",11677.2679/12802.9145*100)</f>
        <v>91.207887860221206</v>
      </c>
      <c r="E28" s="75">
        <f>IF(12802.9145="","-",12802.9145/6735746.11893*100)</f>
        <v>0.19007418441765431</v>
      </c>
      <c r="F28" s="75">
        <f>IF(11677.2679="","-",11677.2679/6410995.1048*100)</f>
        <v>0.18214438958558979</v>
      </c>
      <c r="G28" s="75">
        <f>IF(OR(5074244.25964="",9758.95143="",12802.9145=""),"-",(12802.9145-9758.95143)/5074244.25964*100)</f>
        <v>5.9988501030810853E-2</v>
      </c>
      <c r="H28" s="75">
        <f>IF(OR(6735746.11893="",11677.2679="",12802.9145=""),"-",(11677.2679-12802.9145)/6735746.11893*100)</f>
        <v>-1.6711535442770122E-2</v>
      </c>
    </row>
    <row r="29" spans="1:8" s="2" customFormat="1" x14ac:dyDescent="0.25">
      <c r="A29" s="77" t="s">
        <v>47</v>
      </c>
      <c r="B29" s="61">
        <v>6558.21695</v>
      </c>
      <c r="C29" s="57">
        <v>5796.6016200000004</v>
      </c>
      <c r="D29" s="75">
        <f>IF(OR(6558.21695="",5796.60162=""),"-",5796.60162/6558.21695*100)</f>
        <v>88.38685368589401</v>
      </c>
      <c r="E29" s="75">
        <f>IF(6558.21695="","-",6558.21695/6735746.11893*100)</f>
        <v>9.7364372620412823E-2</v>
      </c>
      <c r="F29" s="75">
        <f>IF(5796.60162="","-",5796.60162/6410995.1048*100)</f>
        <v>9.0416565997063478E-2</v>
      </c>
      <c r="G29" s="75">
        <f>IF(OR(5074244.25964="",5654.33264="",6558.21695=""),"-",(6558.21695-5654.33264)/5074244.25964*100)</f>
        <v>1.7813180914237815E-2</v>
      </c>
      <c r="H29" s="75">
        <f>IF(OR(6735746.11893="",5796.60162="",6558.21695=""),"-",(5796.60162-6558.21695)/6735746.11893*100)</f>
        <v>-1.1307067050219898E-2</v>
      </c>
    </row>
    <row r="30" spans="1:8" s="2" customFormat="1" x14ac:dyDescent="0.25">
      <c r="A30" s="77" t="s">
        <v>263</v>
      </c>
      <c r="B30" s="61">
        <v>7730.5034299999998</v>
      </c>
      <c r="C30" s="57">
        <v>5295.3624099999997</v>
      </c>
      <c r="D30" s="75">
        <f>IF(OR(7730.50343="",5295.36241=""),"-",5295.36241/7730.50343*100)</f>
        <v>68.499580369502539</v>
      </c>
      <c r="E30" s="75">
        <f>IF(7730.50343="","-",7730.50343/6735746.11893*100)</f>
        <v>0.1147683314291546</v>
      </c>
      <c r="F30" s="75">
        <f>IF(5295.36241="","-",5295.36241/6410995.1048*100)</f>
        <v>8.2598135288471666E-2</v>
      </c>
      <c r="G30" s="75">
        <f>IF(OR(5074244.25964="",6195.13302="",7730.50343=""),"-",(7730.50343-6195.13302)/5074244.25964*100)</f>
        <v>3.0258110004915857E-2</v>
      </c>
      <c r="H30" s="75">
        <f>IF(OR(6735746.11893="",5295.36241="",7730.50343=""),"-",(5295.36241-7730.50343)/6735746.11893*100)</f>
        <v>-3.615250600310381E-2</v>
      </c>
    </row>
    <row r="31" spans="1:8" s="2" customFormat="1" x14ac:dyDescent="0.25">
      <c r="A31" s="77" t="s">
        <v>40</v>
      </c>
      <c r="B31" s="61">
        <v>4191.6666800000003</v>
      </c>
      <c r="C31" s="57">
        <v>4823.0597500000003</v>
      </c>
      <c r="D31" s="75">
        <f>IF(OR(4191.66668="",4823.05975=""),"-",4823.05975/4191.66668*100)</f>
        <v>115.06305529999823</v>
      </c>
      <c r="E31" s="75">
        <f>IF(4191.66668="","-",4191.66668/6735746.11893*100)</f>
        <v>6.2230176226800299E-2</v>
      </c>
      <c r="F31" s="75">
        <f>IF(4823.05975="","-",4823.05975/6410995.1048*100)</f>
        <v>7.5231062747012703E-2</v>
      </c>
      <c r="G31" s="75">
        <f>IF(OR(5074244.25964="",4305.61071="",4191.66668=""),"-",(4191.66668-4305.61071)/5074244.25964*100)</f>
        <v>-2.2455369542672271E-3</v>
      </c>
      <c r="H31" s="75">
        <f>IF(OR(6735746.11893="",4823.05975="",4191.66668=""),"-",(4823.05975-4191.66668)/6735746.11893*100)</f>
        <v>9.3737658583292836E-3</v>
      </c>
    </row>
    <row r="32" spans="1:8" s="2" customFormat="1" x14ac:dyDescent="0.25">
      <c r="A32" s="77" t="s">
        <v>48</v>
      </c>
      <c r="B32" s="61">
        <v>2262.5886599999999</v>
      </c>
      <c r="C32" s="57">
        <v>1541.7486799999999</v>
      </c>
      <c r="D32" s="75">
        <f>IF(OR(2262.58866="",1541.74868=""),"-",1541.74868/2262.58866*100)</f>
        <v>68.140917845844768</v>
      </c>
      <c r="E32" s="75">
        <f>IF(2262.58866="","-",2262.58866/6735746.11893*100)</f>
        <v>3.3590765151335911E-2</v>
      </c>
      <c r="F32" s="75">
        <f>IF(1541.74868="","-",1541.74868/6410995.1048*100)</f>
        <v>2.4048508145727201E-2</v>
      </c>
      <c r="G32" s="75">
        <f>IF(OR(5074244.25964="",1967.41661="",2262.58866=""),"-",(2262.58866-1967.41661)/5074244.25964*100)</f>
        <v>5.8170642739405953E-3</v>
      </c>
      <c r="H32" s="75">
        <f>IF(OR(6735746.11893="",1541.74868="",2262.58866=""),"-",(1541.74868-2262.58866)/6735746.11893*100)</f>
        <v>-1.0701709465773455E-2</v>
      </c>
    </row>
    <row r="33" spans="1:8" s="2" customFormat="1" x14ac:dyDescent="0.25">
      <c r="A33" s="77" t="s">
        <v>41</v>
      </c>
      <c r="B33" s="61">
        <v>566.98589000000004</v>
      </c>
      <c r="C33" s="57">
        <v>783.37672999999995</v>
      </c>
      <c r="D33" s="75">
        <f>IF(OR(566.98589="",783.37673=""),"-",783.37673/566.98589*100)</f>
        <v>138.16511906495589</v>
      </c>
      <c r="E33" s="75">
        <f>IF(566.98589="","-",566.98589/6735746.11893*100)</f>
        <v>8.4175662204155049E-3</v>
      </c>
      <c r="F33" s="75">
        <f>IF(783.37673="","-",783.37673/6410995.1048*100)</f>
        <v>1.2219268884068794E-2</v>
      </c>
      <c r="G33" s="75">
        <f>IF(OR(5074244.25964="",799.43444="",566.98589=""),"-",(566.98589-799.43444)/5074244.25964*100)</f>
        <v>-4.580949164171521E-3</v>
      </c>
      <c r="H33" s="75">
        <f>IF(OR(6735746.11893="",783.37673="",566.98589=""),"-",(783.37673-566.98589)/6735746.11893*100)</f>
        <v>3.2125741703930861E-3</v>
      </c>
    </row>
    <row r="34" spans="1:8" s="2" customFormat="1" x14ac:dyDescent="0.25">
      <c r="A34" s="77" t="s">
        <v>49</v>
      </c>
      <c r="B34" s="61">
        <v>43.578560000000003</v>
      </c>
      <c r="C34" s="57">
        <v>27.434619999999999</v>
      </c>
      <c r="D34" s="75">
        <f>IF(OR(43.57856="",27.43462=""),"-",27.43462/43.57856*100)</f>
        <v>62.954397758897954</v>
      </c>
      <c r="E34" s="75">
        <f>IF(43.57856="","-",43.57856/6735746.11893*100)</f>
        <v>6.4697450335201516E-4</v>
      </c>
      <c r="F34" s="75">
        <f>IF(27.43462="","-",27.43462/6410995.1048*100)</f>
        <v>4.2793075882181412E-4</v>
      </c>
      <c r="G34" s="75">
        <f>IF(OR(5074244.25964="",76.54357="",43.57856=""),"-",(43.57856-76.54357)/5074244.25964*100)</f>
        <v>-6.4965359003704628E-4</v>
      </c>
      <c r="H34" s="75">
        <f>IF(OR(6735746.11893="",27.43462="",43.57856=""),"-",(27.43462-43.57856)/6735746.11893*100)</f>
        <v>-2.3967560111313302E-4</v>
      </c>
    </row>
    <row r="35" spans="1:8" s="2" customFormat="1" ht="24.75" x14ac:dyDescent="0.25">
      <c r="A35" s="77" t="s">
        <v>395</v>
      </c>
      <c r="B35" s="61">
        <v>124.45140000000001</v>
      </c>
      <c r="C35" s="57">
        <v>40.640819999999998</v>
      </c>
      <c r="D35" s="75">
        <f>IF(OR(124.4514="",40.64082=""),"-",40.64082/124.4514*100)</f>
        <v>32.655976549882119</v>
      </c>
      <c r="E35" s="75">
        <f>IF(124.4514="","-",124.4514/6735746.11893*100)</f>
        <v>1.8476260506648907E-3</v>
      </c>
      <c r="F35" s="75">
        <f>IF(40.64082="","-",40.64082/6410995.1048*100)</f>
        <v>6.3392374094267613E-4</v>
      </c>
      <c r="G35" s="75">
        <f>IF(OR(5074244.25964="",42.84089="",124.4514=""),"-",(124.4514-42.84089)/5074244.25964*100)</f>
        <v>1.6083283701796016E-3</v>
      </c>
      <c r="H35" s="75">
        <f>IF(OR(6735746.11893="",40.64082="",124.4514=""),"-",(40.64082-124.4514)/6735746.11893*100)</f>
        <v>-1.244265720830251E-3</v>
      </c>
    </row>
    <row r="36" spans="1:8" s="2" customFormat="1" ht="13.5" customHeight="1" x14ac:dyDescent="0.25">
      <c r="A36" s="78" t="s">
        <v>176</v>
      </c>
      <c r="B36" s="60">
        <v>1715063.67077</v>
      </c>
      <c r="C36" s="56">
        <v>1180432.64069</v>
      </c>
      <c r="D36" s="74">
        <f>IF(1715063.67077="","-",1180432.64069/1715063.67077*100)</f>
        <v>68.827336314577153</v>
      </c>
      <c r="E36" s="74">
        <f>IF(1715063.67077="","-",1715063.67077/6735746.11893*100)</f>
        <v>25.462118679770619</v>
      </c>
      <c r="F36" s="74">
        <f>IF(1180432.64069="","-",1180432.64069/6410995.1048*100)</f>
        <v>18.412627390811672</v>
      </c>
      <c r="G36" s="74">
        <f>IF(5074244.25964="","-",(1715063.67077-1233675.62811)/5074244.25964*100)</f>
        <v>9.4868914074339976</v>
      </c>
      <c r="H36" s="74">
        <f>IF(6735746.11893="","-",(1180432.64069-1715063.67077)/6735746.11893*100)</f>
        <v>-7.937220623228125</v>
      </c>
    </row>
    <row r="37" spans="1:8" s="2" customFormat="1" x14ac:dyDescent="0.25">
      <c r="A37" s="77" t="s">
        <v>8</v>
      </c>
      <c r="B37" s="61">
        <v>661189.90468000004</v>
      </c>
      <c r="C37" s="57">
        <v>758244.07889</v>
      </c>
      <c r="D37" s="75">
        <f>IF(OR(661189.90468="",758244.07889=""),"-",758244.07889/661189.90468*100)</f>
        <v>114.67871386466069</v>
      </c>
      <c r="E37" s="75">
        <f>IF(661189.90468="","-",661189.90468/6735746.11893*100)</f>
        <v>9.8161345900761567</v>
      </c>
      <c r="F37" s="75">
        <f>IF(758244.07889="","-",758244.07889/6410995.1048*100)</f>
        <v>11.827244702188155</v>
      </c>
      <c r="G37" s="75">
        <f>IF(OR(5074244.25964="",473962.52068="",661189.90468=""),"-",(661189.90468-473962.52068)/5074244.25964*100)</f>
        <v>3.6897589950327534</v>
      </c>
      <c r="H37" s="75">
        <f>IF(OR(6735746.11893="",758244.07889="",661189.90468=""),"-",(758244.07889-661189.90468)/6735746.11893*100)</f>
        <v>1.4408823090472627</v>
      </c>
    </row>
    <row r="38" spans="1:8" s="2" customFormat="1" x14ac:dyDescent="0.25">
      <c r="A38" s="77" t="s">
        <v>264</v>
      </c>
      <c r="B38" s="61">
        <v>918913.49568000005</v>
      </c>
      <c r="C38" s="57">
        <v>259358.81378</v>
      </c>
      <c r="D38" s="75">
        <f>IF(OR(918913.49568="",259358.81378=""),"-",259358.81378/918913.49568*100)</f>
        <v>28.224508073861003</v>
      </c>
      <c r="E38" s="75">
        <f>IF(918913.49568="","-",918913.49568/6735746.11893*100)</f>
        <v>13.642341612275214</v>
      </c>
      <c r="F38" s="75">
        <f>IF(259358.81378="","-",259358.81378/6410995.1048*100)</f>
        <v>4.0455313027117201</v>
      </c>
      <c r="G38" s="75">
        <f>IF(OR(5074244.25964="",633433.13865="",918913.49568=""),"-",(918913.49568-633433.13865)/5074244.25964*100)</f>
        <v>5.6260665120258508</v>
      </c>
      <c r="H38" s="75">
        <f>IF(OR(6735746.11893="",259358.81378="",918913.49568=""),"-",(259358.81378-918913.49568)/6735746.11893*100)</f>
        <v>-9.7918578024548975</v>
      </c>
    </row>
    <row r="39" spans="1:8" s="2" customFormat="1" x14ac:dyDescent="0.25">
      <c r="A39" s="77" t="s">
        <v>7</v>
      </c>
      <c r="B39" s="61">
        <v>75917.274040000004</v>
      </c>
      <c r="C39" s="57">
        <v>65593.020539999998</v>
      </c>
      <c r="D39" s="75">
        <f>IF(OR(75917.27404="",65593.02054=""),"-",65593.02054/75917.27404*100)</f>
        <v>86.400653039043178</v>
      </c>
      <c r="E39" s="75">
        <f>IF(75917.27404="","-",75917.27404/6735746.11893*100)</f>
        <v>1.1270803961367202</v>
      </c>
      <c r="F39" s="75">
        <f>IF(65593.02054="","-",65593.02054/6410995.1048*100)</f>
        <v>1.0231332182875885</v>
      </c>
      <c r="G39" s="75">
        <f>IF(OR(5074244.25964="",97038.46709="",75917.27404=""),"-",(75917.27404-97038.46709)/5074244.25964*100)</f>
        <v>-0.41624312842004335</v>
      </c>
      <c r="H39" s="75">
        <f>IF(OR(6735746.11893="",65593.02054="",75917.27404=""),"-",(65593.02054-75917.27404)/6735746.11893*100)</f>
        <v>-0.15327557359955921</v>
      </c>
    </row>
    <row r="40" spans="1:8" s="2" customFormat="1" x14ac:dyDescent="0.25">
      <c r="A40" s="77" t="s">
        <v>9</v>
      </c>
      <c r="B40" s="61">
        <v>16136.41354</v>
      </c>
      <c r="C40" s="57">
        <v>51158.462549999997</v>
      </c>
      <c r="D40" s="75" t="s">
        <v>366</v>
      </c>
      <c r="E40" s="75">
        <f>IF(16136.41354="","-",16136.41354/6735746.11893*100)</f>
        <v>0.23956386204418484</v>
      </c>
      <c r="F40" s="75">
        <f>IF(51158.46255="","-",51158.46255/6410995.1048*100)</f>
        <v>0.79798005947153117</v>
      </c>
      <c r="G40" s="75">
        <f>IF(OR(5074244.25964="",12101.33132="",16136.41354=""),"-",(16136.41354-12101.33132)/5074244.25964*100)</f>
        <v>7.9520851057459249E-2</v>
      </c>
      <c r="H40" s="75">
        <f>IF(OR(6735746.11893="",51158.46255="",16136.41354=""),"-",(51158.46255-16136.41354)/6735746.11893*100)</f>
        <v>0.51994312718489732</v>
      </c>
    </row>
    <row r="41" spans="1:8" s="2" customFormat="1" x14ac:dyDescent="0.25">
      <c r="A41" s="77" t="s">
        <v>10</v>
      </c>
      <c r="B41" s="61">
        <v>10069.102779999999</v>
      </c>
      <c r="C41" s="57">
        <v>15744.613530000001</v>
      </c>
      <c r="D41" s="75">
        <f>IF(OR(10069.10278="",15744.61353=""),"-",15744.61353/10069.10278*100)</f>
        <v>156.3656054963817</v>
      </c>
      <c r="E41" s="75">
        <f>IF(10069.10278="","-",10069.10278/6735746.11893*100)</f>
        <v>0.14948756384540687</v>
      </c>
      <c r="F41" s="75">
        <f>IF(15744.61353="","-",15744.61353/6410995.1048*100)</f>
        <v>0.24558767044154806</v>
      </c>
      <c r="G41" s="75">
        <f>IF(OR(5074244.25964="",1102.47969="",10069.10278=""),"-",(10069.10278-1102.47969)/5074244.25964*100)</f>
        <v>0.17670854281335188</v>
      </c>
      <c r="H41" s="75">
        <f>IF(OR(6735746.11893="",15744.61353="",10069.10278=""),"-",(15744.61353-10069.10278)/6735746.11893*100)</f>
        <v>8.425957050325375E-2</v>
      </c>
    </row>
    <row r="42" spans="1:8" s="2" customFormat="1" x14ac:dyDescent="0.25">
      <c r="A42" s="77" t="s">
        <v>12</v>
      </c>
      <c r="B42" s="61">
        <v>12978.6206</v>
      </c>
      <c r="C42" s="57">
        <v>14813.33604</v>
      </c>
      <c r="D42" s="75">
        <f>IF(OR(12978.6206="",14813.33604=""),"-",14813.33604/12978.6206*100)</f>
        <v>114.13644405323014</v>
      </c>
      <c r="E42" s="75">
        <f>IF(12978.6206="","-",12978.6206/6735746.11893*100)</f>
        <v>0.19268274621463474</v>
      </c>
      <c r="F42" s="75">
        <f>IF(14813.33604="","-",14813.33604/6410995.1048*100)</f>
        <v>0.23106141555012347</v>
      </c>
      <c r="G42" s="75">
        <f>IF(OR(5074244.25964="",6377.21063="",12978.6206=""),"-",(12978.6206-6377.21063)/5074244.25964*100)</f>
        <v>0.13009641696807767</v>
      </c>
      <c r="H42" s="75">
        <f>IF(OR(6735746.11893="",14813.33604="",12978.6206=""),"-",(14813.33604-12978.6206)/6735746.11893*100)</f>
        <v>2.7238488618859226E-2</v>
      </c>
    </row>
    <row r="43" spans="1:8" s="2" customFormat="1" x14ac:dyDescent="0.25">
      <c r="A43" s="77" t="s">
        <v>11</v>
      </c>
      <c r="B43" s="61">
        <v>13254.590330000001</v>
      </c>
      <c r="C43" s="57">
        <v>8466.4274100000002</v>
      </c>
      <c r="D43" s="75">
        <f>IF(OR(13254.59033="",8466.42741=""),"-",8466.42741/13254.59033*100)</f>
        <v>63.875436352320669</v>
      </c>
      <c r="E43" s="75">
        <f>IF(13254.59033="","-",13254.59033/6735746.11893*100)</f>
        <v>0.19677983843170063</v>
      </c>
      <c r="F43" s="75">
        <f>IF(8466.42741="","-",8466.42741/6410995.1048*100)</f>
        <v>0.13206104936285273</v>
      </c>
      <c r="G43" s="75">
        <f>IF(OR(5074244.25964="",8547.64201="",13254.59033=""),"-",(13254.59033-8547.64201)/5074244.25964*100)</f>
        <v>9.2761563676360015E-2</v>
      </c>
      <c r="H43" s="75">
        <f>IF(OR(6735746.11893="",8466.42741="",13254.59033=""),"-",(8466.42741-13254.59033)/6735746.11893*100)</f>
        <v>-7.1085857980060257E-2</v>
      </c>
    </row>
    <row r="44" spans="1:8" s="2" customFormat="1" x14ac:dyDescent="0.25">
      <c r="A44" s="77" t="s">
        <v>266</v>
      </c>
      <c r="B44" s="61">
        <v>4978.84458</v>
      </c>
      <c r="C44" s="57">
        <v>3839.4273499999999</v>
      </c>
      <c r="D44" s="75">
        <f>IF(OR(4978.84458="",3839.42735=""),"-",3839.42735/4978.84458*100)</f>
        <v>77.114826307753518</v>
      </c>
      <c r="E44" s="75">
        <f>IF(4978.84458="","-",4978.84458/6735746.11893*100)</f>
        <v>7.3916749415592717E-2</v>
      </c>
      <c r="F44" s="75">
        <f>IF(3839.42735="","-",3839.42735/6410995.1048*100)</f>
        <v>5.9888165366486834E-2</v>
      </c>
      <c r="G44" s="75">
        <f>IF(OR(5074244.25964="",347.38256="",4978.84458=""),"-",(4978.84458-347.38256)/5074244.25964*100)</f>
        <v>9.1273927367631028E-2</v>
      </c>
      <c r="H44" s="75">
        <f>IF(OR(6735746.11893="",3839.42735="",4978.84458=""),"-",(3839.42735-4978.84458)/6735746.11893*100)</f>
        <v>-1.6915976491420983E-2</v>
      </c>
    </row>
    <row r="45" spans="1:8" s="2" customFormat="1" x14ac:dyDescent="0.25">
      <c r="A45" s="77" t="s">
        <v>13</v>
      </c>
      <c r="B45" s="61">
        <v>1623.81179</v>
      </c>
      <c r="C45" s="57">
        <v>3214.4605999999999</v>
      </c>
      <c r="D45" s="75" t="s">
        <v>367</v>
      </c>
      <c r="E45" s="75">
        <f>IF(1623.81179="","-",1623.81179/6735746.11893*100)</f>
        <v>2.4107378177993872E-2</v>
      </c>
      <c r="F45" s="75">
        <f>IF(3214.4606="","-",3214.4606/6410995.1048*100)</f>
        <v>5.0139807431662034E-2</v>
      </c>
      <c r="G45" s="75">
        <f>IF(OR(5074244.25964="",751.07653="",1623.81179=""),"-",(1623.81179-751.07653)/5074244.25964*100)</f>
        <v>1.7199315116571023E-2</v>
      </c>
      <c r="H45" s="75">
        <f>IF(OR(6735746.11893="",3214.4606="",1623.81179=""),"-",(3214.4606-1623.81179)/6735746.11893*100)</f>
        <v>2.3615035096552613E-2</v>
      </c>
    </row>
    <row r="46" spans="1:8" s="2" customFormat="1" x14ac:dyDescent="0.25">
      <c r="A46" s="77" t="s">
        <v>14</v>
      </c>
      <c r="B46" s="61">
        <v>1.6127499999999999</v>
      </c>
      <c r="C46" s="57" t="s">
        <v>276</v>
      </c>
      <c r="D46" s="75" t="str">
        <f>IF(OR(1.61275="",""=""),"-",""/1.61275*100)</f>
        <v>-</v>
      </c>
      <c r="E46" s="75">
        <f>IF(1.61275="","-",1.61275/6735746.11893*100)</f>
        <v>2.3943153015633429E-5</v>
      </c>
      <c r="F46" s="75" t="str">
        <f>IF(""="","-",""/6410995.1048*100)</f>
        <v>-</v>
      </c>
      <c r="G46" s="75">
        <f>IF(OR(5074244.25964="",14.37895="",1.61275=""),"-",(1.61275-14.37895)/5074244.25964*100)</f>
        <v>-2.5158820401179733E-4</v>
      </c>
      <c r="H46" s="75" t="str">
        <f>IF(OR(6735746.11893="",""="",1.61275=""),"-",(""-1.61275)/6735746.11893*100)</f>
        <v>-</v>
      </c>
    </row>
    <row r="47" spans="1:8" s="2" customFormat="1" x14ac:dyDescent="0.25">
      <c r="A47" s="78" t="s">
        <v>113</v>
      </c>
      <c r="B47" s="83">
        <v>1939382.3152999999</v>
      </c>
      <c r="C47" s="56">
        <v>2121430.2333</v>
      </c>
      <c r="D47" s="74">
        <f>IF(1939382.3153="","-",2121430.2333/1939382.3153*100)</f>
        <v>109.38690203390038</v>
      </c>
      <c r="E47" s="74">
        <f>IF(1939382.3153="","-",1939382.3153/6735746.11893*100)</f>
        <v>28.792390346328528</v>
      </c>
      <c r="F47" s="74">
        <f>IF(2121430.2333="","-",2121430.2333/6410995.1048*100)</f>
        <v>33.090498411263113</v>
      </c>
      <c r="G47" s="74">
        <f>IF(5074244.25964="","-",(1939382.3153-1517500.26596)/5074244.25964*100)</f>
        <v>8.3141848865180759</v>
      </c>
      <c r="H47" s="74">
        <f>IF(6735746.11893="","-",(2121430.2333-1939382.3153)/6735746.11893*100)</f>
        <v>2.7027134750280508</v>
      </c>
    </row>
    <row r="48" spans="1:8" s="2" customFormat="1" x14ac:dyDescent="0.25">
      <c r="A48" s="77" t="s">
        <v>53</v>
      </c>
      <c r="B48" s="61">
        <v>687306.65642000001</v>
      </c>
      <c r="C48" s="57">
        <v>725779.48311999999</v>
      </c>
      <c r="D48" s="75">
        <f>IF(OR(687306.65642="",725779.48312=""),"-",725779.48312/687306.65642*100)</f>
        <v>105.59762172250664</v>
      </c>
      <c r="E48" s="75">
        <f>IF(687306.65642="","-",687306.65642/6735746.11893*100)</f>
        <v>10.203868202342244</v>
      </c>
      <c r="F48" s="75">
        <f>IF(725779.48312="","-",725779.48312/6410995.1048*100)</f>
        <v>11.320855362634717</v>
      </c>
      <c r="G48" s="75">
        <f>IF(OR(5074244.25964="",597081.26886="",687306.65642=""),"-",(687306.65642-597081.26886)/5074244.25964*100)</f>
        <v>1.778104934317869</v>
      </c>
      <c r="H48" s="75">
        <f>IF(OR(6735746.11893="",725779.48312="",687306.65642=""),"-",(725779.48312-687306.65642)/6735746.11893*100)</f>
        <v>0.57117394303025693</v>
      </c>
    </row>
    <row r="49" spans="1:8" s="2" customFormat="1" x14ac:dyDescent="0.25">
      <c r="A49" s="79" t="s">
        <v>50</v>
      </c>
      <c r="B49" s="58">
        <v>477318.72918999998</v>
      </c>
      <c r="C49" s="58">
        <v>564455.50141999999</v>
      </c>
      <c r="D49" s="75">
        <f>IF(OR(477318.72919="",564455.50142=""),"-",564455.50142/477318.72919*100)</f>
        <v>118.25546891442313</v>
      </c>
      <c r="E49" s="75">
        <f>IF(477318.72919="","-",477318.72919/6735746.11893*100)</f>
        <v>7.0863527330484359</v>
      </c>
      <c r="F49" s="75">
        <f>IF(564455.50142="","-",564455.50142/6410995.1048*100)</f>
        <v>8.8044912247302207</v>
      </c>
      <c r="G49" s="75">
        <f>IF(OR(5074244.25964="",379169.15553="",477318.72919=""),"-",(477318.72919-379169.15553)/5074244.25964*100)</f>
        <v>1.9342697875360728</v>
      </c>
      <c r="H49" s="75">
        <f>IF(OR(6735746.11893="",564455.50142="",477318.72919=""),"-",(564455.50142-477318.72919)/6735746.11893*100)</f>
        <v>1.2936469203480314</v>
      </c>
    </row>
    <row r="50" spans="1:8" s="2" customFormat="1" x14ac:dyDescent="0.25">
      <c r="A50" s="77" t="s">
        <v>63</v>
      </c>
      <c r="B50" s="61">
        <v>196037.12078</v>
      </c>
      <c r="C50" s="58">
        <v>170707.01459999999</v>
      </c>
      <c r="D50" s="75">
        <f>IF(OR(196037.12078="",170707.0146=""),"-",170707.0146/196037.12078*100)</f>
        <v>87.078923583852074</v>
      </c>
      <c r="E50" s="75">
        <f>IF(196037.12078="","-",196037.12078/6735746.11893*100)</f>
        <v>2.9103994912911189</v>
      </c>
      <c r="F50" s="75">
        <f>IF(170707.0146="","-",170707.0146/6410995.1048*100)</f>
        <v>2.6627225853313989</v>
      </c>
      <c r="G50" s="75">
        <f>IF(OR(5074244.25964="",33643.17494="",196037.12078=""),"-",(196037.12078-33643.17494)/5074244.25964*100)</f>
        <v>3.2003572853530962</v>
      </c>
      <c r="H50" s="75">
        <f>IF(OR(6735746.11893="",170707.0146="",196037.12078=""),"-",(170707.0146-196037.12078)/6735746.11893*100)</f>
        <v>-0.37605494228490594</v>
      </c>
    </row>
    <row r="51" spans="1:8" s="2" customFormat="1" x14ac:dyDescent="0.25">
      <c r="A51" s="77" t="s">
        <v>15</v>
      </c>
      <c r="B51" s="61">
        <v>100357.27319000001</v>
      </c>
      <c r="C51" s="58">
        <v>88096.539510000002</v>
      </c>
      <c r="D51" s="75">
        <f>IF(OR(100357.27319="",88096.53951=""),"-",88096.53951/100357.27319*100)</f>
        <v>87.782914690410578</v>
      </c>
      <c r="E51" s="75">
        <f>IF(100357.27319="","-",100357.27319/6735746.11893*100)</f>
        <v>1.48992066235926</v>
      </c>
      <c r="F51" s="75">
        <f>IF(88096.53951="","-",88096.53951/6410995.1048*100)</f>
        <v>1.3741476645964199</v>
      </c>
      <c r="G51" s="75">
        <f>IF(OR(5074244.25964="",78076.54947="",100357.27319=""),"-",(100357.27319-78076.54947)/5074244.25964*100)</f>
        <v>0.43909442628173262</v>
      </c>
      <c r="H51" s="75">
        <f>IF(OR(6735746.11893="",88096.53951="",100357.27319=""),"-",(88096.53951-100357.27319)/6735746.11893*100)</f>
        <v>-0.18202487836563044</v>
      </c>
    </row>
    <row r="52" spans="1:8" s="2" customFormat="1" x14ac:dyDescent="0.25">
      <c r="A52" s="77" t="s">
        <v>69</v>
      </c>
      <c r="B52" s="61">
        <v>51659.859340000003</v>
      </c>
      <c r="C52" s="58">
        <v>71374.343380000006</v>
      </c>
      <c r="D52" s="75">
        <f>IF(OR(51659.85934="",71374.34338=""),"-",71374.34338/51659.85934*100)</f>
        <v>138.16209391947604</v>
      </c>
      <c r="E52" s="75">
        <f>IF(51659.85934="","-",51659.85934/6735746.11893*100)</f>
        <v>0.76695080883194533</v>
      </c>
      <c r="F52" s="75">
        <f>IF(71374.34338="","-",71374.34338/6410995.1048*100)</f>
        <v>1.1133114627799523</v>
      </c>
      <c r="G52" s="75">
        <f>IF(OR(5074244.25964="",48755.78834="",51659.85934=""),"-",(51659.85934-48755.78834)/5074244.25964*100)</f>
        <v>5.7231596497998249E-2</v>
      </c>
      <c r="H52" s="75">
        <f>IF(OR(6735746.11893="",71374.34338="",51659.85934=""),"-",(71374.34338-51659.85934)/6735746.11893*100)</f>
        <v>0.29268448798262792</v>
      </c>
    </row>
    <row r="53" spans="1:8" s="2" customFormat="1" ht="14.25" customHeight="1" x14ac:dyDescent="0.25">
      <c r="A53" s="77" t="s">
        <v>320</v>
      </c>
      <c r="B53" s="61">
        <v>52797.192860000003</v>
      </c>
      <c r="C53" s="58">
        <v>56387.88437</v>
      </c>
      <c r="D53" s="75">
        <f>IF(OR(52797.19286="",56387.88437=""),"-",56387.88437/52797.19286*100)</f>
        <v>106.80091367645488</v>
      </c>
      <c r="E53" s="75">
        <f>IF(52797.19286="","-",52797.19286/6735746.11893*100)</f>
        <v>0.78383585022036206</v>
      </c>
      <c r="F53" s="75">
        <f>IF(56387.88437="","-",56387.88437/6410995.1048*100)</f>
        <v>0.87954964008288861</v>
      </c>
      <c r="G53" s="75">
        <f>IF(OR(5074244.25964="",46417.43615="",52797.19286=""),"-",(52797.19286-46417.43615)/5074244.25964*100)</f>
        <v>0.12572821455884395</v>
      </c>
      <c r="H53" s="75">
        <f>IF(OR(6735746.11893="",56387.88437="",52797.19286=""),"-",(56387.88437-52797.19286)/6735746.11893*100)</f>
        <v>5.330799953859295E-2</v>
      </c>
    </row>
    <row r="54" spans="1:8" s="2" customFormat="1" x14ac:dyDescent="0.25">
      <c r="A54" s="77" t="s">
        <v>30</v>
      </c>
      <c r="B54" s="61">
        <v>46090.683900000004</v>
      </c>
      <c r="C54" s="57">
        <v>46469.966610000003</v>
      </c>
      <c r="D54" s="75">
        <f>IF(OR(46090.6839="",46469.96661=""),"-",46469.96661/46090.6839*100)</f>
        <v>100.82290536374532</v>
      </c>
      <c r="E54" s="75">
        <f>IF(46090.6839="","-",46090.6839/6735746.11893*100)</f>
        <v>0.68426990991343495</v>
      </c>
      <c r="F54" s="75">
        <f>IF(46469.96661="","-",46469.96661/6410995.1048*100)</f>
        <v>0.72484795028477411</v>
      </c>
      <c r="G54" s="75">
        <f>IF(OR(5074244.25964="",39110.00681="",46090.6839=""),"-",(46090.6839-39110.00681)/5074244.25964*100)</f>
        <v>0.13757077375095181</v>
      </c>
      <c r="H54" s="75">
        <f>IF(OR(6735746.11893="",46469.96661="",46090.6839=""),"-",(46469.96661-46090.6839)/6735746.11893*100)</f>
        <v>5.6308937911729081E-3</v>
      </c>
    </row>
    <row r="55" spans="1:8" s="2" customFormat="1" x14ac:dyDescent="0.25">
      <c r="A55" s="79" t="s">
        <v>65</v>
      </c>
      <c r="B55" s="58">
        <v>30922.98043</v>
      </c>
      <c r="C55" s="58">
        <v>41365.6057</v>
      </c>
      <c r="D55" s="75">
        <f>IF(OR(30922.98043="",41365.6057=""),"-",41365.6057/30922.98043*100)</f>
        <v>133.76978908497793</v>
      </c>
      <c r="E55" s="75">
        <f>IF(30922.98043="","-",30922.98043/6735746.11893*100)</f>
        <v>0.45908767765303243</v>
      </c>
      <c r="F55" s="75">
        <f>IF(41365.6057="","-",41365.6057/6410995.1048*100)</f>
        <v>0.64522909507494408</v>
      </c>
      <c r="G55" s="75">
        <f>IF(OR(5074244.25964="",37101.54599="",30922.98043=""),"-",(30922.98043-37101.54599)/5074244.25964*100)</f>
        <v>-0.12176326648568445</v>
      </c>
      <c r="H55" s="75">
        <f>IF(OR(6735746.11893="",41365.6057="",30922.98043=""),"-",(41365.6057-30922.98043)/6735746.11893*100)</f>
        <v>0.1550329404585524</v>
      </c>
    </row>
    <row r="56" spans="1:8" s="2" customFormat="1" x14ac:dyDescent="0.25">
      <c r="A56" s="77" t="s">
        <v>56</v>
      </c>
      <c r="B56" s="61">
        <v>25065.706770000001</v>
      </c>
      <c r="C56" s="58">
        <v>30420.467769999999</v>
      </c>
      <c r="D56" s="75">
        <f>IF(OR(25065.70677="",30420.46777=""),"-",30420.46777/25065.70677*100)</f>
        <v>121.36289652286551</v>
      </c>
      <c r="E56" s="75">
        <f>IF(25065.70677="","-",25065.70677/6735746.11893*100)</f>
        <v>0.37212962495061774</v>
      </c>
      <c r="F56" s="75">
        <f>IF(30420.46777="","-",30420.46777/6410995.1048*100)</f>
        <v>0.47450461703244451</v>
      </c>
      <c r="G56" s="75">
        <f>IF(OR(5074244.25964="",9284.84073="",25065.70677=""),"-",(25065.70677-9284.84073)/5074244.25964*100)</f>
        <v>0.31099933768500926</v>
      </c>
      <c r="H56" s="75">
        <f>IF(OR(6735746.11893="",30420.46777="",25065.70677=""),"-",(30420.46777-25065.70677)/6735746.11893*100)</f>
        <v>7.9497666709128043E-2</v>
      </c>
    </row>
    <row r="57" spans="1:8" s="2" customFormat="1" x14ac:dyDescent="0.25">
      <c r="A57" s="77" t="s">
        <v>60</v>
      </c>
      <c r="B57" s="61">
        <v>30514.077649999999</v>
      </c>
      <c r="C57" s="58">
        <v>29393.692050000001</v>
      </c>
      <c r="D57" s="75">
        <f>IF(OR(30514.07765="",29393.69205=""),"-",29393.69205/30514.07765*100)</f>
        <v>96.328299308761842</v>
      </c>
      <c r="E57" s="75">
        <f>IF(30514.07765="","-",30514.07765/6735746.11893*100)</f>
        <v>0.45301703940776328</v>
      </c>
      <c r="F57" s="75">
        <f>IF(29393.69205="","-",29393.69205/6410995.1048*100)</f>
        <v>0.45848876140916944</v>
      </c>
      <c r="G57" s="75">
        <f>IF(OR(5074244.25964="",22149.53961="",30514.07765=""),"-",(30514.07765-22149.53961)/5074244.25964*100)</f>
        <v>0.16484303104071374</v>
      </c>
      <c r="H57" s="75">
        <f>IF(OR(6735746.11893="",29393.69205="",30514.07765=""),"-",(29393.69205-30514.07765)/6735746.11893*100)</f>
        <v>-1.6633429767361475E-2</v>
      </c>
    </row>
    <row r="58" spans="1:8" s="2" customFormat="1" x14ac:dyDescent="0.25">
      <c r="A58" s="77" t="s">
        <v>321</v>
      </c>
      <c r="B58" s="61">
        <v>26673.821380000001</v>
      </c>
      <c r="C58" s="57">
        <v>28131.06061</v>
      </c>
      <c r="D58" s="75">
        <f>IF(OR(26673.82138="",28131.06061=""),"-",28131.06061/26673.82138*100)</f>
        <v>105.46318133138821</v>
      </c>
      <c r="E58" s="75">
        <f>IF(26673.82138="","-",26673.82138/6735746.11893*100)</f>
        <v>0.396003960200288</v>
      </c>
      <c r="F58" s="75">
        <f>IF(28131.06061="","-",28131.06061/6410995.1048*100)</f>
        <v>0.43879398049981183</v>
      </c>
      <c r="G58" s="75">
        <f>IF(OR(5074244.25964="",28022.69261="",26673.82138=""),"-",(26673.82138-28022.69261)/5074244.25964*100)</f>
        <v>-2.6582701994241301E-2</v>
      </c>
      <c r="H58" s="75">
        <f>IF(OR(6735746.11893="",28131.06061="",26673.82138=""),"-",(28131.06061-26673.82138)/6735746.11893*100)</f>
        <v>2.1634414425220166E-2</v>
      </c>
    </row>
    <row r="59" spans="1:8" s="2" customFormat="1" x14ac:dyDescent="0.25">
      <c r="A59" s="77" t="s">
        <v>72</v>
      </c>
      <c r="B59" s="61">
        <v>15394.087949999999</v>
      </c>
      <c r="C59" s="57">
        <v>23477.942510000001</v>
      </c>
      <c r="D59" s="75">
        <f>IF(OR(15394.08795="",23477.94251=""),"-",23477.94251/15394.08795*100)</f>
        <v>152.51272167767499</v>
      </c>
      <c r="E59" s="75">
        <f>IF(15394.08795="","-",15394.08795/6735746.11893*100)</f>
        <v>0.22854317366173849</v>
      </c>
      <c r="F59" s="75">
        <f>IF(23477.94251="","-",23477.94251/6410995.1048*100)</f>
        <v>0.36621370202609804</v>
      </c>
      <c r="G59" s="75">
        <f>IF(OR(5074244.25964="",16574.96148="",15394.08795=""),"-",(15394.08795-16574.96148)/5074244.25964*100)</f>
        <v>-2.3271909462312355E-2</v>
      </c>
      <c r="H59" s="75">
        <f>IF(OR(6735746.11893="",23477.94251="",15394.08795=""),"-",(23477.94251-15394.08795)/6735746.11893*100)</f>
        <v>0.12001424069831412</v>
      </c>
    </row>
    <row r="60" spans="1:8" s="2" customFormat="1" x14ac:dyDescent="0.25">
      <c r="A60" s="77" t="s">
        <v>68</v>
      </c>
      <c r="B60" s="61">
        <v>5205.66662</v>
      </c>
      <c r="C60" s="57">
        <v>20502.707910000001</v>
      </c>
      <c r="D60" s="75" t="s">
        <v>368</v>
      </c>
      <c r="E60" s="75">
        <f>IF(5205.66662="","-",5205.66662/6735746.11893*100)</f>
        <v>7.7284186904997845E-2</v>
      </c>
      <c r="F60" s="75">
        <f>IF(20502.70791="","-",20502.70791/6410995.1048*100)</f>
        <v>0.31980539019050791</v>
      </c>
      <c r="G60" s="75">
        <f>IF(OR(5074244.25964="",3399.47859="",5205.66662=""),"-",(5205.66662-3399.47859)/5074244.25964*100)</f>
        <v>3.5595212559360372E-2</v>
      </c>
      <c r="H60" s="75">
        <f>IF(OR(6735746.11893="",20502.70791="",5205.66662=""),"-",(20502.70791-5205.66662)/6735746.11893*100)</f>
        <v>0.22710240290989467</v>
      </c>
    </row>
    <row r="61" spans="1:8" s="2" customFormat="1" x14ac:dyDescent="0.25">
      <c r="A61" s="79" t="s">
        <v>267</v>
      </c>
      <c r="B61" s="58">
        <v>16582.66689</v>
      </c>
      <c r="C61" s="58">
        <v>16414.656169999998</v>
      </c>
      <c r="D61" s="75">
        <f>IF(OR(16582.66689="",16414.65617=""),"-",16414.65617/16582.66689*100)</f>
        <v>98.986829313315582</v>
      </c>
      <c r="E61" s="75">
        <f>IF(16582.66689="","-",16582.66689/6735746.11893*100)</f>
        <v>0.24618901302405713</v>
      </c>
      <c r="F61" s="75">
        <f>IF(16414.65617="","-",16414.65617/6410995.1048*100)</f>
        <v>0.25603913123736627</v>
      </c>
      <c r="G61" s="75">
        <f>IF(OR(5074244.25964="",17116.14013="",16582.66689=""),"-",(16582.66689-17116.14013)/5074244.25964*100)</f>
        <v>-1.0513353569578604E-2</v>
      </c>
      <c r="H61" s="75">
        <f>IF(OR(6735746.11893="",16414.65617="",16582.66689=""),"-",(16414.65617-16582.66689)/6735746.11893*100)</f>
        <v>-2.4943149137974224E-3</v>
      </c>
    </row>
    <row r="62" spans="1:8" s="2" customFormat="1" x14ac:dyDescent="0.25">
      <c r="A62" s="77" t="s">
        <v>64</v>
      </c>
      <c r="B62" s="61">
        <v>10747.32051</v>
      </c>
      <c r="C62" s="57">
        <v>13611.36119</v>
      </c>
      <c r="D62" s="75">
        <f>IF(OR(10747.32051="",13611.36119=""),"-",13611.36119/10747.32051*100)</f>
        <v>126.64888124751756</v>
      </c>
      <c r="E62" s="75">
        <f>IF(10747.32051="","-",10747.32051/6735746.11893*100)</f>
        <v>0.15955649634412369</v>
      </c>
      <c r="F62" s="75">
        <f>IF(13611.36119="","-",13611.36119/6410995.1048*100)</f>
        <v>0.21231276841576413</v>
      </c>
      <c r="G62" s="75">
        <f>IF(OR(5074244.25964="",9471.95923="",10747.32051=""),"-",(10747.32051-9471.95923)/5074244.25964*100)</f>
        <v>2.5134014342669458E-2</v>
      </c>
      <c r="H62" s="75">
        <f>IF(OR(6735746.11893="",13611.36119="",10747.32051=""),"-",(13611.36119-10747.32051)/6735746.11893*100)</f>
        <v>4.2520021233445247E-2</v>
      </c>
    </row>
    <row r="63" spans="1:8" s="2" customFormat="1" x14ac:dyDescent="0.25">
      <c r="A63" s="77" t="s">
        <v>71</v>
      </c>
      <c r="B63" s="61">
        <v>11342.109899999999</v>
      </c>
      <c r="C63" s="58">
        <v>12504.75517</v>
      </c>
      <c r="D63" s="75">
        <f>IF(OR(11342.1099="",12504.75517=""),"-",12504.75517/11342.1099*100)</f>
        <v>110.25069656572452</v>
      </c>
      <c r="E63" s="75">
        <f>IF(11342.1099="","-",11342.1099/6735746.11893*100)</f>
        <v>0.1683868379202175</v>
      </c>
      <c r="F63" s="75">
        <f>IF(12504.75517="","-",12504.75517/6410995.1048*100)</f>
        <v>0.19505170360584925</v>
      </c>
      <c r="G63" s="75">
        <f>IF(OR(5074244.25964="",9297.48504="",11342.1099=""),"-",(11342.1099-9297.48504)/5074244.25964*100)</f>
        <v>4.0294174962422068E-2</v>
      </c>
      <c r="H63" s="75">
        <f>IF(OR(6735746.11893="",12504.75517="",11342.1099=""),"-",(12504.75517-11342.1099)/6735746.11893*100)</f>
        <v>1.7260823811819852E-2</v>
      </c>
    </row>
    <row r="64" spans="1:8" s="2" customFormat="1" x14ac:dyDescent="0.25">
      <c r="A64" s="77" t="s">
        <v>57</v>
      </c>
      <c r="B64" s="61">
        <v>5123.2076500000003</v>
      </c>
      <c r="C64" s="57">
        <v>12426.122079999999</v>
      </c>
      <c r="D64" s="75" t="s">
        <v>351</v>
      </c>
      <c r="E64" s="75">
        <f>IF(5123.20765="","-",5123.20765/6735746.11893*100)</f>
        <v>7.6059987409588442E-2</v>
      </c>
      <c r="F64" s="75">
        <f>IF(12426.12208="","-",12426.12208/6410995.1048*100)</f>
        <v>0.19382516874324848</v>
      </c>
      <c r="G64" s="75">
        <f>IF(OR(5074244.25964="",7400.03644="",5123.20765=""),"-",(5123.20765-7400.03644)/5074244.25964*100)</f>
        <v>-4.4870303310182644E-2</v>
      </c>
      <c r="H64" s="75">
        <f>IF(OR(6735746.11893="",12426.12208="",5123.20765=""),"-",(12426.12208-5123.20765)/6735746.11893*100)</f>
        <v>0.10842027447376679</v>
      </c>
    </row>
    <row r="65" spans="1:8" s="2" customFormat="1" x14ac:dyDescent="0.25">
      <c r="A65" s="77" t="s">
        <v>76</v>
      </c>
      <c r="B65" s="61">
        <v>8105.3736500000005</v>
      </c>
      <c r="C65" s="57">
        <v>10175.447829999999</v>
      </c>
      <c r="D65" s="75">
        <f>IF(OR(8105.37365="",10175.44783=""),"-",10175.44783/8105.37365*100)</f>
        <v>125.53952808825784</v>
      </c>
      <c r="E65" s="75">
        <f>IF(8105.37365="","-",8105.37365/6735746.11893*100)</f>
        <v>0.12033371666459976</v>
      </c>
      <c r="F65" s="75">
        <f>IF(10175.44783="","-",10175.44783/6410995.1048*100)</f>
        <v>0.15871869598498839</v>
      </c>
      <c r="G65" s="75">
        <f>IF(OR(5074244.25964="",7685.13301="",8105.37365=""),"-",(8105.37365-7685.13301)/5074244.25964*100)</f>
        <v>8.2818370282753302E-3</v>
      </c>
      <c r="H65" s="75">
        <f>IF(OR(6735746.11893="",10175.44783="",8105.37365=""),"-",(10175.44783-8105.37365)/6735746.11893*100)</f>
        <v>3.0732663367200042E-2</v>
      </c>
    </row>
    <row r="66" spans="1:8" s="2" customFormat="1" x14ac:dyDescent="0.25">
      <c r="A66" s="79" t="s">
        <v>75</v>
      </c>
      <c r="B66" s="58">
        <v>10732.79689</v>
      </c>
      <c r="C66" s="58">
        <v>9738.3009099999999</v>
      </c>
      <c r="D66" s="75">
        <f>IF(OR(10732.79689="",9738.30091=""),"-",9738.30091/10732.79689*100)</f>
        <v>90.734046398226397</v>
      </c>
      <c r="E66" s="75">
        <f>IF(10732.79689="","-",10732.79689/6735746.11893*100)</f>
        <v>0.15934087628149718</v>
      </c>
      <c r="F66" s="75">
        <f>IF(9738.30091="","-",9738.30091/6410995.1048*100)</f>
        <v>0.15189998979579317</v>
      </c>
      <c r="G66" s="75">
        <f>IF(OR(5074244.25964="",10509.65657="",10732.79689=""),"-",(10732.79689-10509.65657)/5074244.25964*100)</f>
        <v>4.3975084482005492E-3</v>
      </c>
      <c r="H66" s="75">
        <f>IF(OR(6735746.11893="",9738.30091="",10732.79689=""),"-",(9738.30091-10732.79689)/6735746.11893*100)</f>
        <v>-1.4764451664903E-2</v>
      </c>
    </row>
    <row r="67" spans="1:8" s="2" customFormat="1" x14ac:dyDescent="0.25">
      <c r="A67" s="77" t="s">
        <v>67</v>
      </c>
      <c r="B67" s="61">
        <v>13118.801659999999</v>
      </c>
      <c r="C67" s="58">
        <v>9495.15769</v>
      </c>
      <c r="D67" s="75">
        <f>IF(OR(13118.80166="",9495.15769=""),"-",9495.15769/13118.80166*100)</f>
        <v>72.378239538076841</v>
      </c>
      <c r="E67" s="75">
        <f>IF(13118.80166="","-",13118.80166/6735746.11893*100)</f>
        <v>0.19476389739707073</v>
      </c>
      <c r="F67" s="75">
        <f>IF(9495.15769="","-",9495.15769/6410995.1048*100)</f>
        <v>0.14810739260884548</v>
      </c>
      <c r="G67" s="75">
        <f>IF(OR(5074244.25964="",8648.59729="",13118.80166=""),"-",(13118.80166-8648.59729)/5074244.25964*100)</f>
        <v>8.8095963482789544E-2</v>
      </c>
      <c r="H67" s="75">
        <f>IF(OR(6735746.11893="",9495.15769="",13118.80166=""),"-",(9495.15769-13118.80166)/6735746.11893*100)</f>
        <v>-5.3797217205324682E-2</v>
      </c>
    </row>
    <row r="68" spans="1:8" s="2" customFormat="1" x14ac:dyDescent="0.25">
      <c r="A68" s="77" t="s">
        <v>77</v>
      </c>
      <c r="B68" s="61">
        <v>8025.7740400000002</v>
      </c>
      <c r="C68" s="58">
        <v>9148.3852999999999</v>
      </c>
      <c r="D68" s="75">
        <f>IF(OR(8025.77404="",9148.3853=""),"-",9148.3853/8025.77404*100)</f>
        <v>113.98757620641908</v>
      </c>
      <c r="E68" s="75">
        <f>IF(8025.77404="","-",8025.77404/6735746.11893*100)</f>
        <v>0.11915196770027499</v>
      </c>
      <c r="F68" s="75">
        <f>IF(9148.3853="","-",9148.3853/6410995.1048*100)</f>
        <v>0.14269836664124855</v>
      </c>
      <c r="G68" s="75">
        <f>IF(OR(5074244.25964="",5866.28691="",8025.77404=""),"-",(8025.77404-5866.28691)/5074244.25964*100)</f>
        <v>4.2557808010472258E-2</v>
      </c>
      <c r="H68" s="75">
        <f>IF(OR(6735746.11893="",9148.3853="",8025.77404=""),"-",(9148.3853-8025.77404)/6735746.11893*100)</f>
        <v>1.6666472283523817E-2</v>
      </c>
    </row>
    <row r="69" spans="1:8" s="2" customFormat="1" x14ac:dyDescent="0.25">
      <c r="A69" s="77" t="s">
        <v>59</v>
      </c>
      <c r="B69" s="61">
        <v>7991.9214899999997</v>
      </c>
      <c r="C69" s="58">
        <v>8886.9111699999994</v>
      </c>
      <c r="D69" s="75">
        <f>IF(OR(7991.92149="",8886.91117=""),"-",8886.91117/7991.92149*100)</f>
        <v>111.19867958062235</v>
      </c>
      <c r="E69" s="75">
        <f>IF(7991.92149="","-",7991.92149/6735746.11893*100)</f>
        <v>0.11864938714865857</v>
      </c>
      <c r="F69" s="75">
        <f>IF(8886.91117="","-",8886.91117/6410995.1048*100)</f>
        <v>0.13861984020774321</v>
      </c>
      <c r="G69" s="75">
        <f>IF(OR(5074244.25964="",6242.61749="",7991.92149=""),"-",(7991.92149-6242.61749)/5074244.25964*100)</f>
        <v>3.4474178035018503E-2</v>
      </c>
      <c r="H69" s="75">
        <f>IF(OR(6735746.11893="",8886.91117="",7991.92149=""),"-",(8886.91117-7991.92149)/6735746.11893*100)</f>
        <v>1.3287164691150389E-2</v>
      </c>
    </row>
    <row r="70" spans="1:8" s="2" customFormat="1" x14ac:dyDescent="0.25">
      <c r="A70" s="77" t="s">
        <v>31</v>
      </c>
      <c r="B70" s="61">
        <v>4545.7268700000004</v>
      </c>
      <c r="C70" s="57">
        <v>8338.0798400000003</v>
      </c>
      <c r="D70" s="75" t="s">
        <v>349</v>
      </c>
      <c r="E70" s="75">
        <f>IF(4545.72687="","-",4545.72687/6735746.11893*100)</f>
        <v>6.7486612317895781E-2</v>
      </c>
      <c r="F70" s="75">
        <f>IF(8338.07984="","-",8338.07984/6410995.1048*100)</f>
        <v>0.13005905797303083</v>
      </c>
      <c r="G70" s="75">
        <f>IF(OR(5074244.25964="",2413.23495="",4545.72687=""),"-",(4545.72687-2413.23495)/5074244.25964*100)</f>
        <v>4.2025803467160908E-2</v>
      </c>
      <c r="H70" s="75">
        <f>IF(OR(6735746.11893="",8338.07984="",4545.72687=""),"-",(8338.07984-4545.72687)/6735746.11893*100)</f>
        <v>5.6301898899396616E-2</v>
      </c>
    </row>
    <row r="71" spans="1:8" s="2" customFormat="1" x14ac:dyDescent="0.25">
      <c r="A71" s="77" t="s">
        <v>78</v>
      </c>
      <c r="B71" s="61">
        <v>4980.22948</v>
      </c>
      <c r="C71" s="58">
        <v>8309.3321899999992</v>
      </c>
      <c r="D71" s="75" t="s">
        <v>341</v>
      </c>
      <c r="E71" s="75">
        <f>IF(4980.22948="","-",4980.22948/6735746.11893*100)</f>
        <v>7.3937309869854917E-2</v>
      </c>
      <c r="F71" s="75">
        <f>IF(8309.33219="","-",8309.33219/6410995.1048*100)</f>
        <v>0.12961064630635405</v>
      </c>
      <c r="G71" s="75">
        <f>IF(OR(5074244.25964="",5076.34264="",4980.22948=""),"-",(4980.22948-5076.34264)/5074244.25964*100)</f>
        <v>-1.8941374337154747E-3</v>
      </c>
      <c r="H71" s="75">
        <f>IF(OR(6735746.11893="",8309.33219="",4980.22948=""),"-",(8309.33219-4980.22948)/6735746.11893*100)</f>
        <v>4.9424408984833301E-2</v>
      </c>
    </row>
    <row r="72" spans="1:8" s="2" customFormat="1" x14ac:dyDescent="0.25">
      <c r="A72" s="77" t="s">
        <v>52</v>
      </c>
      <c r="B72" s="61">
        <v>2158.0392700000002</v>
      </c>
      <c r="C72" s="57">
        <v>7595.7542299999996</v>
      </c>
      <c r="D72" s="75" t="s">
        <v>369</v>
      </c>
      <c r="E72" s="75">
        <f>IF(2158.03927="","-",2158.03927/6735746.11893*100)</f>
        <v>3.2038607630045492E-2</v>
      </c>
      <c r="F72" s="75">
        <f>IF(7595.75423="","-",7595.75423/6410995.1048*100)</f>
        <v>0.11848011277239869</v>
      </c>
      <c r="G72" s="75">
        <f>IF(OR(5074244.25964="",2848.25468="",2158.03927=""),"-",(2158.03927-2848.25468)/5074244.25964*100)</f>
        <v>-1.3602329227426041E-2</v>
      </c>
      <c r="H72" s="75">
        <f>IF(OR(6735746.11893="",7595.75423="",2158.03927=""),"-",(7595.75423-2158.03927)/6735746.11893*100)</f>
        <v>8.0729214907877225E-2</v>
      </c>
    </row>
    <row r="73" spans="1:8" s="2" customFormat="1" x14ac:dyDescent="0.25">
      <c r="A73" s="77" t="s">
        <v>106</v>
      </c>
      <c r="B73" s="61">
        <v>3168.8753000000002</v>
      </c>
      <c r="C73" s="58">
        <v>7302.9450500000003</v>
      </c>
      <c r="D73" s="75" t="s">
        <v>347</v>
      </c>
      <c r="E73" s="75">
        <f>IF(3168.8753="","-",3168.8753/6735746.11893*100)</f>
        <v>4.7045646377529865E-2</v>
      </c>
      <c r="F73" s="75">
        <f>IF(7302.94505="","-",7302.94505/6410995.1048*100)</f>
        <v>0.11391281588301612</v>
      </c>
      <c r="G73" s="75">
        <f>IF(OR(5074244.25964="",4186.82365="",3168.8753=""),"-",(3168.8753-4186.82365)/5074244.25964*100)</f>
        <v>-2.0061082949763637E-2</v>
      </c>
      <c r="H73" s="75">
        <f>IF(OR(6735746.11893="",7302.94505="",3168.8753=""),"-",(7302.94505-3168.8753)/6735746.11893*100)</f>
        <v>6.1375082685817053E-2</v>
      </c>
    </row>
    <row r="74" spans="1:8" s="2" customFormat="1" x14ac:dyDescent="0.25">
      <c r="A74" s="77" t="s">
        <v>55</v>
      </c>
      <c r="B74" s="61">
        <v>9598.9712500000005</v>
      </c>
      <c r="C74" s="58">
        <v>7202.0005199999996</v>
      </c>
      <c r="D74" s="75">
        <f>IF(OR(9598.97125="",7202.00052=""),"-",7202.00052/9598.97125*100)</f>
        <v>75.028878954085826</v>
      </c>
      <c r="E74" s="75">
        <f>IF(9598.97125="","-",9598.97125/6735746.11893*100)</f>
        <v>0.14250791345925662</v>
      </c>
      <c r="F74" s="75">
        <f>IF(7202.00052="","-",7202.00052/6410995.1048*100)</f>
        <v>0.11233826266078042</v>
      </c>
      <c r="G74" s="75">
        <f>IF(OR(5074244.25964="",11244.92299="",9598.97125=""),"-",(9598.97125-11244.92299)/5074244.25964*100)</f>
        <v>-3.2437376992111397E-2</v>
      </c>
      <c r="H74" s="75">
        <f>IF(OR(6735746.11893="",7202.00052="",9598.97125=""),"-",(7202.00052-9598.97125)/6735746.11893*100)</f>
        <v>-3.5585823569917588E-2</v>
      </c>
    </row>
    <row r="75" spans="1:8" s="2" customFormat="1" x14ac:dyDescent="0.25">
      <c r="A75" s="77" t="s">
        <v>33</v>
      </c>
      <c r="B75" s="61">
        <v>6078.6377199999997</v>
      </c>
      <c r="C75" s="57">
        <v>7025.2695599999997</v>
      </c>
      <c r="D75" s="75">
        <f>IF(OR(6078.63772="",7025.26956=""),"-",7025.26956/6078.63772*100)</f>
        <v>115.5730919262614</v>
      </c>
      <c r="E75" s="75">
        <f>IF(6078.63772="","-",6078.63772/6735746.11893*100)</f>
        <v>9.0244460118779166E-2</v>
      </c>
      <c r="F75" s="75">
        <f>IF(7025.26956="","-",7025.26956/6410995.1048*100)</f>
        <v>0.10958157735512986</v>
      </c>
      <c r="G75" s="75">
        <f>IF(OR(5074244.25964="",3881.66005="",6078.63772=""),"-",(6078.63772-3881.66005)/5074244.25964*100)</f>
        <v>4.3296647886553803E-2</v>
      </c>
      <c r="H75" s="75">
        <f>IF(OR(6735746.11893="",7025.26956="",6078.63772=""),"-",(7025.26956-6078.63772)/6735746.11893*100)</f>
        <v>1.4053852732655789E-2</v>
      </c>
    </row>
    <row r="76" spans="1:8" s="2" customFormat="1" x14ac:dyDescent="0.25">
      <c r="A76" s="77" t="s">
        <v>74</v>
      </c>
      <c r="B76" s="61">
        <v>5608.2044299999998</v>
      </c>
      <c r="C76" s="57">
        <v>6533.2815499999997</v>
      </c>
      <c r="D76" s="75">
        <f>IF(OR(5608.20443="",6533.28155=""),"-",6533.28155/5608.20443*100)</f>
        <v>116.49506774488248</v>
      </c>
      <c r="E76" s="75">
        <f>IF(5608.20443="","-",5608.20443/6735746.11893*100)</f>
        <v>8.3260329753801432E-2</v>
      </c>
      <c r="F76" s="75">
        <f>IF(6533.28155="","-",6533.28155/6410995.1048*100)</f>
        <v>0.10190744873769195</v>
      </c>
      <c r="G76" s="75">
        <f>IF(OR(5074244.25964="",14899.30995="",5608.20443=""),"-",(5608.20443-14899.30995)/5074244.25964*100)</f>
        <v>-0.18310323753825702</v>
      </c>
      <c r="H76" s="75">
        <f>IF(OR(6735746.11893="",6533.28155="",5608.20443=""),"-",(6533.28155-5608.20443)/6735746.11893*100)</f>
        <v>1.3733847797502084E-2</v>
      </c>
    </row>
    <row r="77" spans="1:8" s="2" customFormat="1" x14ac:dyDescent="0.25">
      <c r="A77" s="77" t="s">
        <v>325</v>
      </c>
      <c r="B77" s="61">
        <v>3009.13724</v>
      </c>
      <c r="C77" s="57">
        <v>4818.53161</v>
      </c>
      <c r="D77" s="75" t="s">
        <v>370</v>
      </c>
      <c r="E77" s="75">
        <f>IF(3009.13724="","-",3009.13724/6735746.11893*100)</f>
        <v>4.4674148741194145E-2</v>
      </c>
      <c r="F77" s="75">
        <f>IF(4818.53161="","-",4818.53161/6410995.1048*100)</f>
        <v>7.5160431902253355E-2</v>
      </c>
      <c r="G77" s="75">
        <f>IF(OR(5074244.25964="",1660.79035="",3009.13724=""),"-",(3009.13724-1660.79035)/5074244.25964*100)</f>
        <v>2.6572368632795391E-2</v>
      </c>
      <c r="H77" s="75">
        <f>IF(OR(6735746.11893="",4818.53161="",3009.13724=""),"-",(4818.53161-3009.13724)/6735746.11893*100)</f>
        <v>2.6862567829195876E-2</v>
      </c>
    </row>
    <row r="78" spans="1:8" s="2" customFormat="1" x14ac:dyDescent="0.25">
      <c r="A78" s="79" t="s">
        <v>83</v>
      </c>
      <c r="B78" s="58">
        <v>3697.7772199999999</v>
      </c>
      <c r="C78" s="58">
        <v>4692.4775200000004</v>
      </c>
      <c r="D78" s="75">
        <f>IF(OR(3697.77722="",4692.47752=""),"-",4692.47752/3697.77722*100)</f>
        <v>126.89995207445193</v>
      </c>
      <c r="E78" s="75">
        <f>IF(3697.77722="","-",3697.77722/6735746.11893*100)</f>
        <v>5.4897811685743973E-2</v>
      </c>
      <c r="F78" s="75">
        <f>IF(4692.47752="","-",4692.47752/6410995.1048*100)</f>
        <v>7.3194214677947234E-2</v>
      </c>
      <c r="G78" s="75">
        <f>IF(OR(5074244.25964="",2746.72745="",3697.77722=""),"-",(3697.77722-2746.72745)/5074244.25964*100)</f>
        <v>1.8742688001138399E-2</v>
      </c>
      <c r="H78" s="75">
        <f>IF(OR(6735746.11893="",4692.47752="",3697.77722=""),"-",(4692.47752-3697.77722)/6735746.11893*100)</f>
        <v>1.4767485033387996E-2</v>
      </c>
    </row>
    <row r="79" spans="1:8" s="2" customFormat="1" x14ac:dyDescent="0.25">
      <c r="A79" s="77" t="s">
        <v>73</v>
      </c>
      <c r="B79" s="61">
        <v>3397.9164700000001</v>
      </c>
      <c r="C79" s="58">
        <v>4479.5497100000002</v>
      </c>
      <c r="D79" s="75">
        <f>IF(OR(3397.91647="",4479.54971=""),"-",4479.54971/3397.91647*100)</f>
        <v>131.83224924890519</v>
      </c>
      <c r="E79" s="75">
        <f>IF(3397.91647="","-",3397.91647/6735746.11893*100)</f>
        <v>5.04460294376382E-2</v>
      </c>
      <c r="F79" s="75">
        <f>IF(4479.54971="","-",4479.54971/6410995.1048*100)</f>
        <v>6.9872923575407184E-2</v>
      </c>
      <c r="G79" s="75">
        <f>IF(OR(5074244.25964="",2594.46899="",3397.91647=""),"-",(3397.91647-2594.46899)/5074244.25964*100)</f>
        <v>1.5833835323824205E-2</v>
      </c>
      <c r="H79" s="75">
        <f>IF(OR(6735746.11893="",4479.54971="",3397.91647=""),"-",(4479.54971-3397.91647)/6735746.11893*100)</f>
        <v>1.6058105826765066E-2</v>
      </c>
    </row>
    <row r="80" spans="1:8" s="2" customFormat="1" x14ac:dyDescent="0.25">
      <c r="A80" s="77" t="s">
        <v>62</v>
      </c>
      <c r="B80" s="61">
        <v>6934.4844599999997</v>
      </c>
      <c r="C80" s="57">
        <v>3840.1653900000001</v>
      </c>
      <c r="D80" s="75">
        <f>IF(OR(6934.48446="",3840.16539=""),"-",3840.16539/6934.48446*100)</f>
        <v>55.377806557230357</v>
      </c>
      <c r="E80" s="75">
        <f>IF(6934.48446="","-",6934.48446/6735746.11893*100)</f>
        <v>0.10295050225410766</v>
      </c>
      <c r="F80" s="75">
        <f>IF(3840.16539="","-",3840.16539/6410995.1048*100)</f>
        <v>5.9899677463874763E-2</v>
      </c>
      <c r="G80" s="75">
        <f>IF(OR(5074244.25964="",5591.29292="",6934.48446=""),"-",(6934.48446-5591.29292)/5074244.25964*100)</f>
        <v>2.6470770252106361E-2</v>
      </c>
      <c r="H80" s="75">
        <f>IF(OR(6735746.11893="",3840.16539="",6934.48446=""),"-",(3840.16539-6934.48446)/6735746.11893*100)</f>
        <v>-4.5938772266130849E-2</v>
      </c>
    </row>
    <row r="81" spans="1:8" s="2" customFormat="1" x14ac:dyDescent="0.25">
      <c r="A81" s="77" t="s">
        <v>282</v>
      </c>
      <c r="B81" s="61">
        <v>1229.22219</v>
      </c>
      <c r="C81" s="57">
        <v>3716.2217500000002</v>
      </c>
      <c r="D81" s="75" t="s">
        <v>360</v>
      </c>
      <c r="E81" s="75">
        <f>IF(1229.22219="","-",1229.22219/6735746.11893*100)</f>
        <v>1.824923576833485E-2</v>
      </c>
      <c r="F81" s="75">
        <f>IF(3716.22175="","-",3716.22175/6410995.1048*100)</f>
        <v>5.7966379466077175E-2</v>
      </c>
      <c r="G81" s="75">
        <f>IF(OR(5074244.25964="",311.5948="",1229.22219=""),"-",(1229.22219-311.5948)/5074244.25964*100)</f>
        <v>1.8084020852104237E-2</v>
      </c>
      <c r="H81" s="75">
        <f>IF(OR(6735746.11893="",3716.22175="",1229.22219=""),"-",(3716.22175-1229.22219)/6735746.11893*100)</f>
        <v>3.6922406457847168E-2</v>
      </c>
    </row>
    <row r="82" spans="1:8" x14ac:dyDescent="0.25">
      <c r="A82" s="77" t="s">
        <v>81</v>
      </c>
      <c r="B82" s="61">
        <v>3197.4696600000002</v>
      </c>
      <c r="C82" s="57">
        <v>3586.6180899999999</v>
      </c>
      <c r="D82" s="75">
        <f>IF(OR(3197.46966="",3586.61809=""),"-",3586.61809/3197.46966*100)</f>
        <v>112.17051204169985</v>
      </c>
      <c r="E82" s="75">
        <f>IF(3197.46966="","-",3197.46966/6735746.11893*100)</f>
        <v>4.7470162971462039E-2</v>
      </c>
      <c r="F82" s="75">
        <f>IF(3586.61809="","-",3586.61809/6410995.1048*100)</f>
        <v>5.5944795330051797E-2</v>
      </c>
      <c r="G82" s="75">
        <f>IF(OR(5074244.25964="",3540.4825="",3197.46966=""),"-",(3197.46966-3540.4825)/5074244.25964*100)</f>
        <v>-6.759880337812817E-3</v>
      </c>
      <c r="H82" s="75">
        <f>IF(OR(6735746.11893="",3586.61809="",3197.46966=""),"-",(3586.61809-3197.46966)/6735746.11893*100)</f>
        <v>5.7773619006563377E-3</v>
      </c>
    </row>
    <row r="83" spans="1:8" x14ac:dyDescent="0.25">
      <c r="A83" s="77" t="s">
        <v>88</v>
      </c>
      <c r="B83" s="61">
        <v>2019.94391</v>
      </c>
      <c r="C83" s="58">
        <v>2803.3872799999999</v>
      </c>
      <c r="D83" s="75">
        <f>IF(OR(2019.94391="",2803.38728=""),"-",2803.38728/2019.94391*100)</f>
        <v>138.7854022144605</v>
      </c>
      <c r="E83" s="75">
        <f>IF(2019.94391="","-",2019.94391/6735746.11893*100)</f>
        <v>2.9988421094482642E-2</v>
      </c>
      <c r="F83" s="75">
        <f>IF(2803.38728="","-",2803.38728/6410995.1048*100)</f>
        <v>4.3727802535694735E-2</v>
      </c>
      <c r="G83" s="75">
        <f>IF(OR(5074244.25964="",1462.57443="",2019.94391=""),"-",(2019.94391-1462.57443)/5074244.25964*100)</f>
        <v>1.0984285570035675E-2</v>
      </c>
      <c r="H83" s="75">
        <f>IF(OR(6735746.11893="",2803.38728="",2019.94391=""),"-",(2803.38728-2019.94391)/6735746.11893*100)</f>
        <v>1.163112973926121E-2</v>
      </c>
    </row>
    <row r="84" spans="1:8" x14ac:dyDescent="0.25">
      <c r="A84" s="77" t="s">
        <v>32</v>
      </c>
      <c r="B84" s="61">
        <v>3053.0808400000001</v>
      </c>
      <c r="C84" s="58">
        <v>2689.8047799999999</v>
      </c>
      <c r="D84" s="75">
        <f>IF(OR(3053.08084="",2689.80478=""),"-",2689.80478/3053.08084*100)</f>
        <v>88.101328492828245</v>
      </c>
      <c r="E84" s="75">
        <f>IF(3053.08084="","-",3053.08084/6735746.11893*100)</f>
        <v>4.5326542688710988E-2</v>
      </c>
      <c r="F84" s="75">
        <f>IF(2689.80478="","-",2689.80478/6410995.1048*100)</f>
        <v>4.1956119697956193E-2</v>
      </c>
      <c r="G84" s="75">
        <f>IF(OR(5074244.25964="",1554.90088="",3053.08084=""),"-",(3053.08084-1554.90088)/5074244.25964*100)</f>
        <v>2.9525184112959731E-2</v>
      </c>
      <c r="H84" s="75">
        <f>IF(OR(6735746.11893="",2689.80478="",3053.08084=""),"-",(2689.80478-3053.08084)/6735746.11893*100)</f>
        <v>-5.3932564200876972E-3</v>
      </c>
    </row>
    <row r="85" spans="1:8" x14ac:dyDescent="0.25">
      <c r="A85" s="77" t="s">
        <v>80</v>
      </c>
      <c r="B85" s="61">
        <v>2750.6918700000001</v>
      </c>
      <c r="C85" s="57">
        <v>2527.9923699999999</v>
      </c>
      <c r="D85" s="75">
        <f>IF(OR(2750.69187="",2527.99237=""),"-",2527.99237/2750.69187*100)</f>
        <v>91.903873260802555</v>
      </c>
      <c r="E85" s="75">
        <f>IF(2750.69187="","-",2750.69187/6735746.11893*100)</f>
        <v>4.0837226068683223E-2</v>
      </c>
      <c r="F85" s="75">
        <f>IF(2527.99237="","-",2527.99237/6410995.1048*100)</f>
        <v>3.9432136956511751E-2</v>
      </c>
      <c r="G85" s="75">
        <f>IF(OR(5074244.25964="",2458.5098="",2750.69187=""),"-",(2750.69187-2458.5098)/5074244.25964*100)</f>
        <v>5.7581396371472584E-3</v>
      </c>
      <c r="H85" s="75">
        <f>IF(OR(6735746.11893="",2527.99237="",2750.69187=""),"-",(2527.99237-2750.69187)/6735746.11893*100)</f>
        <v>-3.3062335792931707E-3</v>
      </c>
    </row>
    <row r="86" spans="1:8" x14ac:dyDescent="0.25">
      <c r="A86" s="77" t="s">
        <v>66</v>
      </c>
      <c r="B86" s="61">
        <v>3623.1707900000001</v>
      </c>
      <c r="C86" s="58">
        <v>2364.06891</v>
      </c>
      <c r="D86" s="75">
        <f>IF(OR(3623.17079="",2364.06891=""),"-",2364.06891/3623.17079*100)</f>
        <v>65.248619152176374</v>
      </c>
      <c r="E86" s="75">
        <f>IF(3623.17079="","-",3623.17079/6735746.11893*100)</f>
        <v>5.379019229684915E-2</v>
      </c>
      <c r="F86" s="75">
        <f>IF(2364.06891="","-",2364.06891/6410995.1048*100)</f>
        <v>3.6875225629637264E-2</v>
      </c>
      <c r="G86" s="75">
        <f>IF(OR(5074244.25964="",3183.88093="",3623.17079=""),"-",(3623.17079-3183.88093)/5074244.25964*100)</f>
        <v>8.6572470208827988E-3</v>
      </c>
      <c r="H86" s="75">
        <f>IF(OR(6735746.11893="",2364.06891="",3623.17079=""),"-",(2364.06891-3623.17079)/6735746.11893*100)</f>
        <v>-1.8692834583854737E-2</v>
      </c>
    </row>
    <row r="87" spans="1:8" x14ac:dyDescent="0.25">
      <c r="A87" s="77" t="s">
        <v>61</v>
      </c>
      <c r="B87" s="61">
        <v>1258.7187899999999</v>
      </c>
      <c r="C87" s="58">
        <v>2241.7710499999998</v>
      </c>
      <c r="D87" s="75" t="s">
        <v>349</v>
      </c>
      <c r="E87" s="75">
        <f>IF(1258.71879="","-",1258.71879/6735746.11893*100)</f>
        <v>1.8687147166407046E-2</v>
      </c>
      <c r="F87" s="75">
        <f>IF(2241.77105="","-",2241.77105/6410995.1048*100)</f>
        <v>3.4967598841583188E-2</v>
      </c>
      <c r="G87" s="75">
        <f>IF(OR(5074244.25964="",1200.70192="",1258.71879=""),"-",(1258.71879-1200.70192)/5074244.25964*100)</f>
        <v>1.1433598193421619E-3</v>
      </c>
      <c r="H87" s="75">
        <f>IF(OR(6735746.11893="",2241.77105="",1258.71879=""),"-",(2241.77105-1258.71879)/6735746.11893*100)</f>
        <v>1.4594556306646571E-2</v>
      </c>
    </row>
    <row r="88" spans="1:8" x14ac:dyDescent="0.25">
      <c r="A88" s="77" t="s">
        <v>58</v>
      </c>
      <c r="B88" s="61">
        <v>1198.16752</v>
      </c>
      <c r="C88" s="58">
        <v>2234.83329</v>
      </c>
      <c r="D88" s="75" t="s">
        <v>343</v>
      </c>
      <c r="E88" s="75">
        <f>IF(1198.16752="","-",1198.16752/6735746.11893*100)</f>
        <v>1.7788193005563186E-2</v>
      </c>
      <c r="F88" s="75">
        <f>IF(2234.83329="","-",2234.83329/6410995.1048*100)</f>
        <v>3.4859382256067391E-2</v>
      </c>
      <c r="G88" s="75">
        <f>IF(OR(5074244.25964="",791.39128="",1198.16752=""),"-",(1198.16752-791.39128)/5074244.25964*100)</f>
        <v>8.0164891397809697E-3</v>
      </c>
      <c r="H88" s="75">
        <f>IF(OR(6735746.11893="",2234.83329="",1198.16752=""),"-",(2234.83329-1198.16752)/6735746.11893*100)</f>
        <v>1.5390511336028182E-2</v>
      </c>
    </row>
    <row r="89" spans="1:8" x14ac:dyDescent="0.25">
      <c r="A89" s="77" t="s">
        <v>92</v>
      </c>
      <c r="B89" s="61">
        <v>1469.30224</v>
      </c>
      <c r="C89" s="57">
        <v>2221.6033600000001</v>
      </c>
      <c r="D89" s="75">
        <f>IF(OR(1469.30224="",2221.60336=""),"-",2221.60336/1469.30224*100)</f>
        <v>151.20125046566321</v>
      </c>
      <c r="E89" s="75">
        <f>IF(1469.30224="","-",1469.30224/6735746.11893*100)</f>
        <v>2.1813503865157621E-2</v>
      </c>
      <c r="F89" s="75">
        <f>IF(2221.60336="","-",2221.60336/6410995.1048*100)</f>
        <v>3.4653019128600727E-2</v>
      </c>
      <c r="G89" s="75">
        <f>IF(OR(5074244.25964="",621.36981="",1469.30224=""),"-",(1469.30224-621.36981)/5074244.25964*100)</f>
        <v>1.6710516613170644E-2</v>
      </c>
      <c r="H89" s="75">
        <f>IF(OR(6735746.11893="",2221.60336="",1469.30224=""),"-",(2221.60336-1469.30224)/6735746.11893*100)</f>
        <v>1.1168786749336482E-2</v>
      </c>
    </row>
    <row r="90" spans="1:8" x14ac:dyDescent="0.25">
      <c r="A90" s="77" t="s">
        <v>82</v>
      </c>
      <c r="B90" s="61">
        <v>1648.0275200000001</v>
      </c>
      <c r="C90" s="57">
        <v>2123.1701499999999</v>
      </c>
      <c r="D90" s="75">
        <f>IF(OR(1648.02752="",2123.17015=""),"-",2123.17015/1648.02752*100)</f>
        <v>128.8309888174683</v>
      </c>
      <c r="E90" s="75">
        <f>IF(1648.02752="","-",1648.02752/6735746.11893*100)</f>
        <v>2.446688890735383E-2</v>
      </c>
      <c r="F90" s="75">
        <f>IF(2123.17015="","-",2123.17015/6410995.1048*100)</f>
        <v>3.3117637984317806E-2</v>
      </c>
      <c r="G90" s="75">
        <f>IF(OR(5074244.25964="",2178.86643="",1648.02752=""),"-",(1648.02752-2178.86643)/5074244.25964*100)</f>
        <v>-1.0461437858288304E-2</v>
      </c>
      <c r="H90" s="75">
        <f>IF(OR(6735746.11893="",2123.17015="",1648.02752=""),"-",(2123.17015-1648.02752)/6735746.11893*100)</f>
        <v>7.0540460048615682E-3</v>
      </c>
    </row>
    <row r="91" spans="1:8" x14ac:dyDescent="0.25">
      <c r="A91" s="77" t="s">
        <v>117</v>
      </c>
      <c r="B91" s="61">
        <v>1203.7996599999999</v>
      </c>
      <c r="C91" s="57">
        <v>1947.6837599999999</v>
      </c>
      <c r="D91" s="75" t="s">
        <v>370</v>
      </c>
      <c r="E91" s="75">
        <f>IF(1203.79966="","-",1203.79966/6735746.11893*100)</f>
        <v>1.7871808686744688E-2</v>
      </c>
      <c r="F91" s="75">
        <f>IF(1947.68376="","-",1947.68376/6410995.1048*100)</f>
        <v>3.0380365733577653E-2</v>
      </c>
      <c r="G91" s="75">
        <f>IF(OR(5074244.25964="",1107.56696="",1203.79966=""),"-",(1203.79966-1107.56696)/5074244.25964*100)</f>
        <v>1.896493252511009E-3</v>
      </c>
      <c r="H91" s="75">
        <f>IF(OR(6735746.11893="",1947.68376="",1203.79966=""),"-",(1947.68376-1203.79966)/6735746.11893*100)</f>
        <v>1.1043826279458539E-2</v>
      </c>
    </row>
    <row r="92" spans="1:8" x14ac:dyDescent="0.25">
      <c r="A92" s="77" t="s">
        <v>79</v>
      </c>
      <c r="B92" s="61">
        <v>1675.4652000000001</v>
      </c>
      <c r="C92" s="58">
        <v>1711.7367400000001</v>
      </c>
      <c r="D92" s="75">
        <f>IF(OR(1675.4652="",1711.73674=""),"-",1711.73674/1675.4652*100)</f>
        <v>102.16486382408898</v>
      </c>
      <c r="E92" s="75">
        <f>IF(1675.4652="","-",1675.4652/6735746.11893*100)</f>
        <v>2.4874233238858394E-2</v>
      </c>
      <c r="F92" s="75">
        <f>IF(1711.73674="","-",1711.73674/6410995.1048*100)</f>
        <v>2.6700016331605046E-2</v>
      </c>
      <c r="G92" s="75">
        <f>IF(OR(5074244.25964="",1726.61479="",1675.4652=""),"-",(1675.4652-1726.61479)/5074244.25964*100)</f>
        <v>-1.0080238037975112E-3</v>
      </c>
      <c r="H92" s="75">
        <f>IF(OR(6735746.11893="",1711.73674="",1675.4652=""),"-",(1711.73674-1675.4652)/6735746.11893*100)</f>
        <v>5.3849327690756016E-4</v>
      </c>
    </row>
    <row r="93" spans="1:8" x14ac:dyDescent="0.25">
      <c r="A93" s="77" t="s">
        <v>268</v>
      </c>
      <c r="B93" s="61">
        <v>1189.3552099999999</v>
      </c>
      <c r="C93" s="58">
        <v>1335.22288</v>
      </c>
      <c r="D93" s="75">
        <f>IF(OR(1189.35521="",1335.22288=""),"-",1335.22288/1189.35521*100)</f>
        <v>112.26443275932681</v>
      </c>
      <c r="E93" s="75">
        <f>IF(1189.35521="","-",1189.35521/6735746.11893*100)</f>
        <v>1.7657363995021443E-2</v>
      </c>
      <c r="F93" s="75">
        <f>IF(1335.22288="","-",1335.22288/6410995.1048*100)</f>
        <v>2.0827076891702823E-2</v>
      </c>
      <c r="G93" s="75">
        <f>IF(OR(5074244.25964="",1776.28544="",1189.35521=""),"-",(1189.35521-1776.28544)/5074244.25964*100)</f>
        <v>-1.1566850154778336E-2</v>
      </c>
      <c r="H93" s="75">
        <f>IF(OR(6735746.11893="",1335.22288="",1189.35521=""),"-",(1335.22288-1189.35521)/6735746.11893*100)</f>
        <v>2.1655755342389858E-3</v>
      </c>
    </row>
    <row r="94" spans="1:8" x14ac:dyDescent="0.25">
      <c r="A94" s="77" t="s">
        <v>107</v>
      </c>
      <c r="B94" s="61">
        <v>273.74221</v>
      </c>
      <c r="C94" s="57">
        <v>1332.11526</v>
      </c>
      <c r="D94" s="75" t="s">
        <v>371</v>
      </c>
      <c r="E94" s="75">
        <f>IF(273.74221="","-",273.74221/6735746.11893*100)</f>
        <v>4.0640220870362172E-3</v>
      </c>
      <c r="F94" s="75">
        <f>IF(1332.11526="","-",1332.11526/6410995.1048*100)</f>
        <v>2.077860360558733E-2</v>
      </c>
      <c r="G94" s="75">
        <f>IF(OR(5074244.25964="",594.40929="",273.74221=""),"-",(273.74221-594.40929)/5074244.25964*100)</f>
        <v>-6.3195042176142757E-3</v>
      </c>
      <c r="H94" s="75">
        <f>IF(OR(6735746.11893="",1332.11526="",273.74221=""),"-",(1332.11526-273.74221)/6735746.11893*100)</f>
        <v>1.5712781202153251E-2</v>
      </c>
    </row>
    <row r="95" spans="1:8" x14ac:dyDescent="0.25">
      <c r="A95" s="77" t="s">
        <v>85</v>
      </c>
      <c r="B95" s="61">
        <v>1212.01269</v>
      </c>
      <c r="C95" s="57">
        <v>1114.7954299999999</v>
      </c>
      <c r="D95" s="75">
        <f>IF(OR(1212.01269="",1114.79543=""),"-",1114.79543/1212.01269*100)</f>
        <v>91.97885791113292</v>
      </c>
      <c r="E95" s="75">
        <f>IF(1212.01269="","-",1212.01269/6735746.11893*100)</f>
        <v>1.7993740687372185E-2</v>
      </c>
      <c r="F95" s="75">
        <f>IF(1114.79543="","-",1114.79543/6410995.1048*100)</f>
        <v>1.7388804885614985E-2</v>
      </c>
      <c r="G95" s="75">
        <f>IF(OR(5074244.25964="",1536.05545="",1212.01269=""),"-",(1212.01269-1536.05545)/5074244.25964*100)</f>
        <v>-6.3860299863252893E-3</v>
      </c>
      <c r="H95" s="75">
        <f>IF(OR(6735746.11893="",1114.79543="",1212.01269=""),"-",(1114.79543-1212.01269)/6735746.11893*100)</f>
        <v>-1.4433035076364114E-3</v>
      </c>
    </row>
    <row r="96" spans="1:8" x14ac:dyDescent="0.25">
      <c r="A96" s="77" t="s">
        <v>86</v>
      </c>
      <c r="B96" s="61">
        <v>628.45799999999997</v>
      </c>
      <c r="C96" s="58">
        <v>1005.90022</v>
      </c>
      <c r="D96" s="75" t="s">
        <v>370</v>
      </c>
      <c r="E96" s="75">
        <f>IF(628.458="","-",628.458/6735746.11893*100)</f>
        <v>9.3301913240731379E-3</v>
      </c>
      <c r="F96" s="75">
        <f>IF(1005.90022="","-",1005.90022/6410995.1048*100)</f>
        <v>1.5690235346566848E-2</v>
      </c>
      <c r="G96" s="75">
        <f>IF(OR(5074244.25964="",362.04312="",628.458=""),"-",(628.458-362.04312)/5074244.25964*100)</f>
        <v>5.2503361361421969E-3</v>
      </c>
      <c r="H96" s="75">
        <f>IF(OR(6735746.11893="",1005.90022="",628.458=""),"-",(1005.90022-628.458)/6735746.11893*100)</f>
        <v>5.6035695724820193E-3</v>
      </c>
    </row>
    <row r="97" spans="1:8" x14ac:dyDescent="0.25">
      <c r="A97" s="77" t="s">
        <v>84</v>
      </c>
      <c r="B97" s="61">
        <v>1361.62589</v>
      </c>
      <c r="C97" s="57">
        <v>994.41786999999999</v>
      </c>
      <c r="D97" s="75">
        <f>IF(OR(1361.62589="",994.41787=""),"-",994.41787/1361.62589*100)</f>
        <v>73.031651153460359</v>
      </c>
      <c r="E97" s="75">
        <f>IF(1361.62589="","-",1361.62589/6735746.11893*100)</f>
        <v>2.0214922978960194E-2</v>
      </c>
      <c r="F97" s="75">
        <f>IF(994.41787="","-",994.41787/6410995.1048*100)</f>
        <v>1.5511131325860249E-2</v>
      </c>
      <c r="G97" s="75">
        <f>IF(OR(5074244.25964="",441.2556="",1361.62589=""),"-",(1361.62589-441.2556)/5074244.25964*100)</f>
        <v>1.8138076192360856E-2</v>
      </c>
      <c r="H97" s="75">
        <f>IF(OR(6735746.11893="",994.41787="",1361.62589=""),"-",(994.41787-1361.62589)/6735746.11893*100)</f>
        <v>-5.4516309480252875E-3</v>
      </c>
    </row>
    <row r="98" spans="1:8" x14ac:dyDescent="0.25">
      <c r="A98" s="77" t="s">
        <v>322</v>
      </c>
      <c r="B98" s="61">
        <v>1265.4932799999999</v>
      </c>
      <c r="C98" s="58">
        <v>979.40272000000004</v>
      </c>
      <c r="D98" s="75">
        <f>IF(OR(1265.49328="",979.40272=""),"-",979.40272/1265.49328*100)</f>
        <v>77.392960948793032</v>
      </c>
      <c r="E98" s="75">
        <f>IF(1265.49328="","-",1265.49328/6735746.11893*100)</f>
        <v>1.8787722364468046E-2</v>
      </c>
      <c r="F98" s="75">
        <f>IF(979.40272="","-",979.40272/6410995.1048*100)</f>
        <v>1.5276921975290665E-2</v>
      </c>
      <c r="G98" s="75">
        <f>IF(OR(5074244.25964="",1089.99741="",1265.49328=""),"-",(1265.49328-1089.99741)/5074244.25964*100)</f>
        <v>3.4585617290021982E-3</v>
      </c>
      <c r="H98" s="75">
        <f>IF(OR(6735746.11893="",979.40272="",1265.49328=""),"-",(979.40272-1265.49328)/6735746.11893*100)</f>
        <v>-4.2473477317676346E-3</v>
      </c>
    </row>
    <row r="99" spans="1:8" x14ac:dyDescent="0.25">
      <c r="A99" s="77" t="s">
        <v>89</v>
      </c>
      <c r="B99" s="61">
        <v>424.70513999999997</v>
      </c>
      <c r="C99" s="58">
        <v>922.43481999999995</v>
      </c>
      <c r="D99" s="75" t="s">
        <v>362</v>
      </c>
      <c r="E99" s="75">
        <f>IF(424.70514="","-",424.70514/6735746.11893*100)</f>
        <v>6.3052426932543905E-3</v>
      </c>
      <c r="F99" s="75">
        <f>IF(922.43482="","-",922.43482/6410995.1048*100)</f>
        <v>1.4388325133946216E-2</v>
      </c>
      <c r="G99" s="75">
        <f>IF(OR(5074244.25964="",577.68736="",424.70514=""),"-",(424.70514-577.68736)/5074244.25964*100)</f>
        <v>-3.0148769387552815E-3</v>
      </c>
      <c r="H99" s="75">
        <f>IF(OR(6735746.11893="",922.43482="",424.70514=""),"-",(922.43482-424.70514)/6735746.11893*100)</f>
        <v>7.3893770817933723E-3</v>
      </c>
    </row>
    <row r="100" spans="1:8" x14ac:dyDescent="0.25">
      <c r="A100" s="77" t="s">
        <v>309</v>
      </c>
      <c r="B100" s="61">
        <v>252.21919</v>
      </c>
      <c r="C100" s="58">
        <v>894.55574999999999</v>
      </c>
      <c r="D100" s="75" t="s">
        <v>369</v>
      </c>
      <c r="E100" s="75">
        <f>IF(252.21919="","-",252.21919/6735746.11893*100)</f>
        <v>3.7444877753211106E-3</v>
      </c>
      <c r="F100" s="75">
        <f>IF(894.55575="","-",894.55575/6410995.1048*100)</f>
        <v>1.3953461754014348E-2</v>
      </c>
      <c r="G100" s="75">
        <f>IF(OR(5074244.25964="",435.70562="",252.21919=""),"-",(252.21919-435.70562)/5074244.25964*100)</f>
        <v>-3.6160346371070782E-3</v>
      </c>
      <c r="H100" s="75">
        <f>IF(OR(6735746.11893="",894.55575="",252.21919=""),"-",(894.55575-252.21919)/6735746.11893*100)</f>
        <v>9.5362347193400122E-3</v>
      </c>
    </row>
    <row r="101" spans="1:8" x14ac:dyDescent="0.25">
      <c r="A101" s="77" t="s">
        <v>70</v>
      </c>
      <c r="B101" s="61">
        <v>18.212969999999999</v>
      </c>
      <c r="C101" s="58">
        <v>592.73005000000001</v>
      </c>
      <c r="D101" s="75" t="s">
        <v>372</v>
      </c>
      <c r="E101" s="75">
        <f>IF(18.21297="","-",18.21297/6735746.11893*100)</f>
        <v>2.7039276241149662E-4</v>
      </c>
      <c r="F101" s="75">
        <f>IF(592.73005="","-",592.73005/6410995.1048*100)</f>
        <v>9.2455233596452895E-3</v>
      </c>
      <c r="G101" s="75">
        <f>IF(OR(5074244.25964="",30.97974="",18.21297=""),"-",(18.21297-30.97974)/5074244.25964*100)</f>
        <v>-2.5159943721167575E-4</v>
      </c>
      <c r="H101" s="75">
        <f>IF(OR(6735746.11893="",592.73005="",18.21297=""),"-",(592.73005-18.21297)/6735746.11893*100)</f>
        <v>8.5293755117252599E-3</v>
      </c>
    </row>
    <row r="102" spans="1:8" x14ac:dyDescent="0.25">
      <c r="A102" s="77" t="s">
        <v>308</v>
      </c>
      <c r="B102" s="61">
        <v>19.856159999999999</v>
      </c>
      <c r="C102" s="58">
        <v>555.75567000000001</v>
      </c>
      <c r="D102" s="75" t="s">
        <v>373</v>
      </c>
      <c r="E102" s="75">
        <f>IF(19.85616="","-",19.85616/6735746.11893*100)</f>
        <v>2.9478783269750418E-4</v>
      </c>
      <c r="F102" s="75">
        <f>IF(555.75567="","-",555.75567/6410995.1048*100)</f>
        <v>8.6687894923503858E-3</v>
      </c>
      <c r="G102" s="75">
        <f>IF(OR(5074244.25964="",981.113="",19.85616=""),"-",(19.85616-981.113)/5074244.25964*100)</f>
        <v>-1.894384248794909E-2</v>
      </c>
      <c r="H102" s="75">
        <f>IF(OR(6735746.11893="",555.75567="",19.85616=""),"-",(555.75567-19.85616)/6735746.11893*100)</f>
        <v>7.9560526857435903E-3</v>
      </c>
    </row>
    <row r="103" spans="1:8" x14ac:dyDescent="0.25">
      <c r="A103" s="77" t="s">
        <v>91</v>
      </c>
      <c r="B103" s="61">
        <v>1044.8198</v>
      </c>
      <c r="C103" s="58">
        <v>523.75</v>
      </c>
      <c r="D103" s="75">
        <f>IF(OR(1044.8198="",523.75=""),"-",523.75/1044.8198*100)</f>
        <v>50.128261351861823</v>
      </c>
      <c r="E103" s="75">
        <f>IF(1044.8198="","-",1044.8198/6735746.11893*100)</f>
        <v>1.5511567412905606E-2</v>
      </c>
      <c r="F103" s="75">
        <f>IF(523.75="","-",523.75/6410995.1048*100)</f>
        <v>8.169558569899097E-3</v>
      </c>
      <c r="G103" s="75">
        <f>IF(OR(5074244.25964="",591.65598="",1044.8198=""),"-",(1044.8198-591.65598)/5074244.25964*100)</f>
        <v>8.9306662591002346E-3</v>
      </c>
      <c r="H103" s="75">
        <f>IF(OR(6735746.11893="",523.75="",1044.8198=""),"-",(523.75-1044.8198)/6735746.11893*100)</f>
        <v>-7.7358883603940521E-3</v>
      </c>
    </row>
    <row r="104" spans="1:8" x14ac:dyDescent="0.25">
      <c r="A104" s="77" t="s">
        <v>103</v>
      </c>
      <c r="B104" s="61">
        <v>283.39220999999998</v>
      </c>
      <c r="C104" s="57">
        <v>478.06263000000001</v>
      </c>
      <c r="D104" s="75" t="s">
        <v>341</v>
      </c>
      <c r="E104" s="75">
        <f>IF(283.39221="","-",283.39221/6735746.11893*100)</f>
        <v>4.2072875817507497E-3</v>
      </c>
      <c r="F104" s="75">
        <f>IF(478.06263="","-",478.06263/6410995.1048*100)</f>
        <v>7.4569177200286422E-3</v>
      </c>
      <c r="G104" s="75">
        <f>IF(OR(5074244.25964="",435.81158="",283.39221=""),"-",(283.39221-435.81158)/5074244.25964*100)</f>
        <v>-3.0037846465596364E-3</v>
      </c>
      <c r="H104" s="75">
        <f>IF(OR(6735746.11893="",478.06263="",283.39221=""),"-",(478.06263-283.39221)/6735746.11893*100)</f>
        <v>2.890109225656566E-3</v>
      </c>
    </row>
    <row r="105" spans="1:8" x14ac:dyDescent="0.25">
      <c r="A105" s="77" t="s">
        <v>326</v>
      </c>
      <c r="B105" s="61">
        <v>0.75722999999999996</v>
      </c>
      <c r="C105" s="58">
        <v>462.54766000000001</v>
      </c>
      <c r="D105" s="75" t="s">
        <v>374</v>
      </c>
      <c r="E105" s="75">
        <f>IF(0.75723="","-",0.75723/6735746.11893*100)</f>
        <v>1.1241961716340475E-5</v>
      </c>
      <c r="F105" s="75">
        <f>IF(462.54766="","-",462.54766/6410995.1048*100)</f>
        <v>7.2149120758754626E-3</v>
      </c>
      <c r="G105" s="75">
        <f>IF(OR(5074244.25964="",21.4717="",0.75723=""),"-",(0.75723-21.4717)/5074244.25964*100)</f>
        <v>-4.0822768751517732E-4</v>
      </c>
      <c r="H105" s="75">
        <f>IF(OR(6735746.11893="",462.54766="",0.75723=""),"-",(462.54766-0.75723)/6735746.11893*100)</f>
        <v>6.8558170371385268E-3</v>
      </c>
    </row>
    <row r="106" spans="1:8" x14ac:dyDescent="0.25">
      <c r="A106" s="77" t="s">
        <v>286</v>
      </c>
      <c r="B106" s="61">
        <v>784.24941999999999</v>
      </c>
      <c r="C106" s="57">
        <v>408.80338</v>
      </c>
      <c r="D106" s="75">
        <f>IF(OR(784.24942="",408.80338=""),"-",408.80338/784.24942*100)</f>
        <v>52.126704792462583</v>
      </c>
      <c r="E106" s="75">
        <f>IF(784.24942="","-",784.24942/6735746.11893*100)</f>
        <v>1.1643096490765319E-2</v>
      </c>
      <c r="F106" s="75">
        <f>IF(408.80338="","-",408.80338/6410995.1048*100)</f>
        <v>6.3765979121388405E-3</v>
      </c>
      <c r="G106" s="75">
        <f>IF(OR(5074244.25964="",173.22134="",784.24942=""),"-",(784.24942-173.22134)/5074244.25964*100)</f>
        <v>1.2041755357739723E-2</v>
      </c>
      <c r="H106" s="75">
        <f>IF(OR(6735746.11893="",408.80338="",784.24942=""),"-",(408.80338-784.24942)/6735746.11893*100)</f>
        <v>-5.5739339543225113E-3</v>
      </c>
    </row>
    <row r="107" spans="1:8" x14ac:dyDescent="0.25">
      <c r="A107" s="77" t="s">
        <v>93</v>
      </c>
      <c r="B107" s="61">
        <v>638.27083000000005</v>
      </c>
      <c r="C107" s="58">
        <v>396.61860999999999</v>
      </c>
      <c r="D107" s="75">
        <f>IF(OR(638.27083="",396.61861=""),"-",396.61861/638.27083*100)</f>
        <v>62.139548191478525</v>
      </c>
      <c r="E107" s="75">
        <f>IF(638.27083="","-",638.27083/6735746.11893*100)</f>
        <v>9.475874219876208E-3</v>
      </c>
      <c r="F107" s="75">
        <f>IF(396.61861="","-",396.61861/6410995.1048*100)</f>
        <v>6.1865374020180774E-3</v>
      </c>
      <c r="G107" s="75">
        <f>IF(OR(5074244.25964="",271.15621="",638.27083=""),"-",(638.27083-271.15621)/5074244.25964*100)</f>
        <v>7.2348629907312651E-3</v>
      </c>
      <c r="H107" s="75">
        <f>IF(OR(6735746.11893="",396.61861="",638.27083=""),"-",(396.61861-638.27083)/6735746.11893*100)</f>
        <v>-3.5876087924523424E-3</v>
      </c>
    </row>
    <row r="108" spans="1:8" x14ac:dyDescent="0.25">
      <c r="A108" s="77" t="s">
        <v>273</v>
      </c>
      <c r="B108" s="61">
        <v>86.492819999999995</v>
      </c>
      <c r="C108" s="58">
        <v>377.51100000000002</v>
      </c>
      <c r="D108" s="75" t="s">
        <v>375</v>
      </c>
      <c r="E108" s="75">
        <f>IF(86.49282="","-",86.49282/6735746.11893*100)</f>
        <v>1.2840866991248733E-3</v>
      </c>
      <c r="F108" s="75">
        <f>IF(377.511="","-",377.511/6410995.1048*100)</f>
        <v>5.8884930315631087E-3</v>
      </c>
      <c r="G108" s="75">
        <f>IF(OR(5074244.25964="",85.11735="",86.49282=""),"-",(86.49282-85.11735)/5074244.25964*100)</f>
        <v>2.7106893748500346E-5</v>
      </c>
      <c r="H108" s="75">
        <f>IF(OR(6735746.11893="",377.511="",86.49282=""),"-",(377.511-86.49282)/6735746.11893*100)</f>
        <v>4.3205039926034125E-3</v>
      </c>
    </row>
    <row r="109" spans="1:8" x14ac:dyDescent="0.25">
      <c r="A109" s="77" t="s">
        <v>180</v>
      </c>
      <c r="B109" s="61">
        <v>185.55010999999999</v>
      </c>
      <c r="C109" s="57">
        <v>366.52359000000001</v>
      </c>
      <c r="D109" s="75" t="s">
        <v>367</v>
      </c>
      <c r="E109" s="75">
        <f>IF(185.55011="","-",185.55011/6735746.11893*100)</f>
        <v>2.7547075962161614E-3</v>
      </c>
      <c r="F109" s="75">
        <f>IF(366.52359="","-",366.52359/6410995.1048*100)</f>
        <v>5.7171091852118057E-3</v>
      </c>
      <c r="G109" s="75">
        <f>IF(OR(5074244.25964="",78.17314="",185.55011=""),"-",(185.55011-78.17314)/5074244.25964*100)</f>
        <v>2.1161174848058654E-3</v>
      </c>
      <c r="H109" s="75">
        <f>IF(OR(6735746.11893="",366.52359="",185.55011=""),"-",(366.52359-185.55011)/6735746.11893*100)</f>
        <v>2.6867621909233775E-3</v>
      </c>
    </row>
    <row r="110" spans="1:8" x14ac:dyDescent="0.25">
      <c r="A110" s="79" t="s">
        <v>108</v>
      </c>
      <c r="B110" s="58">
        <v>293.85998999999998</v>
      </c>
      <c r="C110" s="58">
        <v>288.60888</v>
      </c>
      <c r="D110" s="75">
        <f>IF(OR(293.85999="",288.60888=""),"-",288.60888/293.85999*100)</f>
        <v>98.213057177331279</v>
      </c>
      <c r="E110" s="75">
        <f>IF(293.85999="","-",293.85999/6735746.11893*100)</f>
        <v>4.3626939734878372E-3</v>
      </c>
      <c r="F110" s="75">
        <f>IF(288.60888="","-",288.60888/6410995.1048*100)</f>
        <v>4.5017797593374324E-3</v>
      </c>
      <c r="G110" s="75">
        <f>IF(OR(5074244.25964="",171.08099="",293.85999=""),"-",(293.85999-171.08099)/5074244.25964*100)</f>
        <v>2.4196509611602874E-3</v>
      </c>
      <c r="H110" s="75">
        <f>IF(OR(6735746.11893="",288.60888="",293.85999=""),"-",(288.60888-293.85999)/6735746.11893*100)</f>
        <v>-7.7958846834241173E-5</v>
      </c>
    </row>
    <row r="111" spans="1:8" x14ac:dyDescent="0.25">
      <c r="A111" s="79" t="s">
        <v>294</v>
      </c>
      <c r="B111" s="58">
        <v>145.87554</v>
      </c>
      <c r="C111" s="58">
        <v>230.81845999999999</v>
      </c>
      <c r="D111" s="75">
        <f>IF(OR(145.87554="",230.81846=""),"-",230.81846/145.87554*100)</f>
        <v>158.22972103479444</v>
      </c>
      <c r="E111" s="75">
        <f>IF(145.87554="","-",145.87554/6735746.11893*100)</f>
        <v>2.1656923735595443E-3</v>
      </c>
      <c r="F111" s="75">
        <f>IF(230.81846="","-",230.81846/6410995.1048*100)</f>
        <v>3.6003530844561566E-3</v>
      </c>
      <c r="G111" s="75">
        <f>IF(OR(5074244.25964="",4.1562="",145.87554=""),"-",(145.87554-4.1562)/5074244.25964*100)</f>
        <v>2.7929152155173249E-3</v>
      </c>
      <c r="H111" s="75">
        <f>IF(OR(6735746.11893="",230.81846="",145.87554=""),"-",(230.81846-145.87554)/6735746.11893*100)</f>
        <v>1.2610766275955412E-3</v>
      </c>
    </row>
    <row r="112" spans="1:8" x14ac:dyDescent="0.25">
      <c r="A112" s="77" t="s">
        <v>289</v>
      </c>
      <c r="B112" s="61">
        <v>147.90678</v>
      </c>
      <c r="C112" s="58">
        <v>228.79688999999999</v>
      </c>
      <c r="D112" s="75">
        <f>IF(OR(147.90678="",228.79689=""),"-",228.79689/147.90678*100)</f>
        <v>154.68992699320475</v>
      </c>
      <c r="E112" s="75">
        <f>IF(147.90678="","-",147.90678/6735746.11893*100)</f>
        <v>2.1958484982729067E-3</v>
      </c>
      <c r="F112" s="75">
        <f>IF(228.79689="","-",228.79689/6410995.1048*100)</f>
        <v>3.5688202261876106E-3</v>
      </c>
      <c r="G112" s="75">
        <f>IF(OR(5074244.25964="",134.54638="",147.90678=""),"-",(147.90678-134.54638)/5074244.25964*100)</f>
        <v>2.6329832220075021E-4</v>
      </c>
      <c r="H112" s="75">
        <f>IF(OR(6735746.11893="",228.79689="",147.90678=""),"-",(228.79689-147.90678)/6735746.11893*100)</f>
        <v>1.200907940586836E-3</v>
      </c>
    </row>
    <row r="113" spans="1:8" x14ac:dyDescent="0.25">
      <c r="A113" s="77" t="s">
        <v>274</v>
      </c>
      <c r="B113" s="61">
        <v>0.12814999999999999</v>
      </c>
      <c r="C113" s="58">
        <v>175.11741000000001</v>
      </c>
      <c r="D113" s="75" t="s">
        <v>376</v>
      </c>
      <c r="E113" s="75">
        <f>IF(0.12815="","-",0.12815/6735746.11893*100)</f>
        <v>1.9025360774784831E-6</v>
      </c>
      <c r="F113" s="75">
        <f>IF(175.11741="","-",175.11741/6410995.1048*100)</f>
        <v>2.7315168259742892E-3</v>
      </c>
      <c r="G113" s="75">
        <f>IF(OR(5074244.25964="",6.94972="",0.12815=""),"-",(0.12815-6.94972)/5074244.25964*100)</f>
        <v>-1.3443519174388281E-4</v>
      </c>
      <c r="H113" s="75">
        <f>IF(OR(6735746.11893="",175.11741="",0.12815=""),"-",(175.11741-0.12815)/6735746.11893*100)</f>
        <v>2.597919471878755E-3</v>
      </c>
    </row>
    <row r="114" spans="1:8" x14ac:dyDescent="0.25">
      <c r="A114" s="77" t="s">
        <v>109</v>
      </c>
      <c r="B114" s="61">
        <v>117.61263</v>
      </c>
      <c r="C114" s="57">
        <v>169.99852999999999</v>
      </c>
      <c r="D114" s="75">
        <f>IF(OR(117.61263="",169.99853=""),"-",169.99853/117.61263*100)</f>
        <v>144.54104971549398</v>
      </c>
      <c r="E114" s="75">
        <f>IF(117.61263="","-",117.61263/6735746.11893*100)</f>
        <v>1.7460965411012735E-3</v>
      </c>
      <c r="F114" s="75">
        <f>IF(169.99853="","-",169.99853/6410995.1048*100)</f>
        <v>2.6516714990582313E-3</v>
      </c>
      <c r="G114" s="75">
        <f>IF(OR(5074244.25964="",233.73916="",117.61263=""),"-",(117.61263-233.73916)/5074244.25964*100)</f>
        <v>-2.2885482853803097E-3</v>
      </c>
      <c r="H114" s="75">
        <f>IF(OR(6735746.11893="",169.99853="",117.61263=""),"-",(169.99853-117.61263)/6735746.11893*100)</f>
        <v>7.77729728452439E-4</v>
      </c>
    </row>
    <row r="115" spans="1:8" x14ac:dyDescent="0.25">
      <c r="A115" s="77" t="s">
        <v>295</v>
      </c>
      <c r="B115" s="61">
        <v>181.56146000000001</v>
      </c>
      <c r="C115" s="58">
        <v>169.03613000000001</v>
      </c>
      <c r="D115" s="75">
        <f>IF(OR(181.56146="",169.03613=""),"-",169.03613/181.56146*100)</f>
        <v>93.101327781788058</v>
      </c>
      <c r="E115" s="75">
        <f>IF(181.56146="","-",181.56146/6735746.11893*100)</f>
        <v>2.6954914391702422E-3</v>
      </c>
      <c r="F115" s="75">
        <f>IF(169.03613="","-",169.03613/6410995.1048*100)</f>
        <v>2.6366597889528939E-3</v>
      </c>
      <c r="G115" s="75">
        <f>IF(OR(5074244.25964="",104.00191="",181.56146=""),"-",(181.56146-104.00191)/5074244.25964*100)</f>
        <v>1.5284946098653635E-3</v>
      </c>
      <c r="H115" s="75">
        <f>IF(OR(6735746.11893="",169.03613="",181.56146=""),"-",(169.03613-181.56146)/6735746.11893*100)</f>
        <v>-1.8595311905831891E-4</v>
      </c>
    </row>
    <row r="116" spans="1:8" x14ac:dyDescent="0.25">
      <c r="A116" s="77" t="s">
        <v>54</v>
      </c>
      <c r="B116" s="61">
        <v>341.09240999999997</v>
      </c>
      <c r="C116" s="58">
        <v>159.41177999999999</v>
      </c>
      <c r="D116" s="75">
        <f>IF(OR(341.09241="",159.41178=""),"-",159.41178/341.09241*100)</f>
        <v>46.735657354556793</v>
      </c>
      <c r="E116" s="75">
        <f>IF(341.09241="","-",341.09241/6735746.11893*100)</f>
        <v>5.0639142862199185E-3</v>
      </c>
      <c r="F116" s="75">
        <f>IF(159.41178="","-",159.41178/6410995.1048*100)</f>
        <v>2.4865372285286292E-3</v>
      </c>
      <c r="G116" s="75">
        <f>IF(OR(5074244.25964="",208.67651="",341.09241=""),"-",(341.09241-208.67651)/5074244.25964*100)</f>
        <v>2.6095688978400584E-3</v>
      </c>
      <c r="H116" s="75">
        <f>IF(OR(6735746.11893="",159.41178="",341.09241=""),"-",(159.41178-341.09241)/6735746.11893*100)</f>
        <v>-2.6972606566837269E-3</v>
      </c>
    </row>
    <row r="117" spans="1:8" x14ac:dyDescent="0.25">
      <c r="A117" s="77" t="s">
        <v>287</v>
      </c>
      <c r="B117" s="61">
        <v>2.48489</v>
      </c>
      <c r="C117" s="58">
        <v>138.52921000000001</v>
      </c>
      <c r="D117" s="75" t="s">
        <v>377</v>
      </c>
      <c r="E117" s="75">
        <f>IF(2.48489="","-",2.48489/6735746.11893*100)</f>
        <v>3.6891087581471002E-5</v>
      </c>
      <c r="F117" s="75">
        <f>IF(138.52921="","-",138.52921/6410995.1048*100)</f>
        <v>2.1608066725285952E-3</v>
      </c>
      <c r="G117" s="75">
        <f>IF(OR(5074244.25964="",23.15915="",2.48489=""),"-",(2.48489-23.15915)/5074244.25964*100)</f>
        <v>-4.0743525423954992E-4</v>
      </c>
      <c r="H117" s="75">
        <f>IF(OR(6735746.11893="",138.52921="",2.48489=""),"-",(138.52921-2.48489)/6735746.11893*100)</f>
        <v>2.0197364567774295E-3</v>
      </c>
    </row>
    <row r="118" spans="1:8" x14ac:dyDescent="0.25">
      <c r="A118" s="77" t="s">
        <v>292</v>
      </c>
      <c r="B118" s="61">
        <v>0.96428999999999998</v>
      </c>
      <c r="C118" s="58">
        <v>137.20143999999999</v>
      </c>
      <c r="D118" s="75" t="s">
        <v>378</v>
      </c>
      <c r="E118" s="75">
        <f>IF(0.96429="","-",0.96429/6735746.11893*100)</f>
        <v>1.431600869412194E-5</v>
      </c>
      <c r="F118" s="75">
        <f>IF(137.20144="","-",137.20144/6410995.1048*100)</f>
        <v>2.1400958471684902E-3</v>
      </c>
      <c r="G118" s="75">
        <f>IF(OR(5074244.25964="",1.29828="",0.96429=""),"-",(0.96429-1.29828)/5074244.25964*100)</f>
        <v>-6.5820639076546071E-6</v>
      </c>
      <c r="H118" s="75">
        <f>IF(OR(6735746.11893="",137.20144="",0.96429=""),"-",(137.20144-0.96429)/6735746.11893*100)</f>
        <v>2.0225992428236266E-3</v>
      </c>
    </row>
    <row r="119" spans="1:8" x14ac:dyDescent="0.25">
      <c r="A119" s="77" t="s">
        <v>296</v>
      </c>
      <c r="B119" s="61">
        <v>225.64671000000001</v>
      </c>
      <c r="C119" s="58">
        <v>131.52865</v>
      </c>
      <c r="D119" s="75">
        <f>IF(OR(225.64671="",131.52865=""),"-",131.52865/225.64671*100)</f>
        <v>58.289637814794638</v>
      </c>
      <c r="E119" s="75">
        <f>IF(225.64671="","-",225.64671/6735746.11893*100)</f>
        <v>3.3499883459955121E-3</v>
      </c>
      <c r="F119" s="75">
        <f>IF(131.52865="","-",131.52865/6410995.1048*100)</f>
        <v>2.0516105198945278E-3</v>
      </c>
      <c r="G119" s="75">
        <f>IF(OR(5074244.25964="",71.85939="",225.64671=""),"-",(225.64671-71.85939)/5074244.25964*100)</f>
        <v>3.0307433408992158E-3</v>
      </c>
      <c r="H119" s="75">
        <f>IF(OR(6735746.11893="",131.52865="",225.64671=""),"-",(131.52865-225.64671)/6735746.11893*100)</f>
        <v>-1.3972922722768988E-3</v>
      </c>
    </row>
    <row r="120" spans="1:8" x14ac:dyDescent="0.25">
      <c r="A120" s="77" t="s">
        <v>261</v>
      </c>
      <c r="B120" s="61">
        <v>76.873390000000001</v>
      </c>
      <c r="C120" s="58">
        <v>119.85353000000001</v>
      </c>
      <c r="D120" s="75">
        <f>IF(OR(76.87339="",119.85353=""),"-",119.85353/76.87339*100)</f>
        <v>155.91029613758417</v>
      </c>
      <c r="E120" s="75">
        <f>IF(76.87339="","-",76.87339/6735746.11893*100)</f>
        <v>1.141275051682198E-3</v>
      </c>
      <c r="F120" s="75">
        <f>IF(119.85353="","-",119.85353/6410995.1048*100)</f>
        <v>1.869499633688131E-3</v>
      </c>
      <c r="G120" s="75">
        <f>IF(OR(5074244.25964="",78.06904="",76.87339=""),"-",(76.87339-78.06904)/5074244.25964*100)</f>
        <v>-2.3563114797410792E-5</v>
      </c>
      <c r="H120" s="75">
        <f>IF(OR(6735746.11893="",119.85353="",76.87339=""),"-",(119.85353-76.87339)/6735746.11893*100)</f>
        <v>6.3809026113988349E-4</v>
      </c>
    </row>
    <row r="121" spans="1:8" x14ac:dyDescent="0.25">
      <c r="A121" s="79" t="s">
        <v>339</v>
      </c>
      <c r="B121" s="58">
        <v>14.125069999999999</v>
      </c>
      <c r="C121" s="58">
        <v>104.89209</v>
      </c>
      <c r="D121" s="75" t="s">
        <v>379</v>
      </c>
      <c r="E121" s="75">
        <f>IF(14.12507="","-",14.12507/6735746.11893*100)</f>
        <v>2.097031234639797E-4</v>
      </c>
      <c r="F121" s="75">
        <f>IF(104.89209="","-",104.89209/6410995.1048*100)</f>
        <v>1.6361280625758995E-3</v>
      </c>
      <c r="G121" s="75">
        <f>IF(OR(5074244.25964="",262.58596="",14.12507=""),"-",(14.12507-262.58596)/5074244.25964*100)</f>
        <v>-4.896510244416721E-3</v>
      </c>
      <c r="H121" s="75">
        <f>IF(OR(6735746.11893="",104.89209="",14.12507=""),"-",(104.89209-14.12507)/6735746.11893*100)</f>
        <v>1.3475421786594698E-3</v>
      </c>
    </row>
    <row r="122" spans="1:8" x14ac:dyDescent="0.25">
      <c r="A122" s="77" t="s">
        <v>306</v>
      </c>
      <c r="B122" s="61">
        <v>96.169169999999994</v>
      </c>
      <c r="C122" s="58">
        <v>93.071809999999999</v>
      </c>
      <c r="D122" s="75">
        <f>IF(OR(96.16917="",93.07181=""),"-",93.07181/96.16917*100)</f>
        <v>96.779258883070327</v>
      </c>
      <c r="E122" s="75">
        <f>IF(96.16917="","-",96.16917/6735746.11893*100)</f>
        <v>1.4277433902938855E-3</v>
      </c>
      <c r="F122" s="75">
        <f>IF(93.07181="","-",93.07181/6410995.1048*100)</f>
        <v>1.451752941291686E-3</v>
      </c>
      <c r="G122" s="75">
        <f>IF(OR(5074244.25964="",31.1518="",96.16917=""),"-",(96.16917-31.1518)/5074244.25964*100)</f>
        <v>1.2813212504794312E-3</v>
      </c>
      <c r="H122" s="75">
        <f>IF(OR(6735746.11893="",93.07181="",96.16917=""),"-",(93.07181-96.16917)/6735746.11893*100)</f>
        <v>-4.5983918415440849E-5</v>
      </c>
    </row>
    <row r="123" spans="1:8" x14ac:dyDescent="0.25">
      <c r="A123" s="77" t="s">
        <v>305</v>
      </c>
      <c r="B123" s="61">
        <v>64.228279999999998</v>
      </c>
      <c r="C123" s="57">
        <v>91.324010000000001</v>
      </c>
      <c r="D123" s="75">
        <f>IF(OR(64.22828="",91.32401=""),"-",91.32401/64.22828*100)</f>
        <v>142.18660378263283</v>
      </c>
      <c r="E123" s="75">
        <f>IF(64.22828="","-",64.22828/6735746.11893*100)</f>
        <v>9.535436589495882E-4</v>
      </c>
      <c r="F123" s="75">
        <f>IF(91.32401="","-",91.32401/6410995.1048*100)</f>
        <v>1.4244904029270661E-3</v>
      </c>
      <c r="G123" s="75">
        <f>IF(OR(5074244.25964="",114.10548="",64.22828=""),"-",(64.22828-114.10548)/5074244.25964*100)</f>
        <v>-9.8294834556384987E-4</v>
      </c>
      <c r="H123" s="75">
        <f>IF(OR(6735746.11893="",91.32401="",64.22828=""),"-",(91.32401-64.22828)/6735746.11893*100)</f>
        <v>4.0226768529548246E-4</v>
      </c>
    </row>
    <row r="124" spans="1:8" s="21" customFormat="1" ht="12" x14ac:dyDescent="0.2">
      <c r="A124" s="77" t="s">
        <v>293</v>
      </c>
      <c r="B124" s="61">
        <v>55.815750000000001</v>
      </c>
      <c r="C124" s="57">
        <v>82.438310000000001</v>
      </c>
      <c r="D124" s="75">
        <f>IF(OR(55.81575="",82.43831=""),"-",82.43831/55.81575*100)</f>
        <v>147.6972180791264</v>
      </c>
      <c r="E124" s="75">
        <f>IF(55.81575="","-",55.81575/6735746.11893*100)</f>
        <v>8.2864984835364546E-4</v>
      </c>
      <c r="F124" s="75">
        <f>IF(82.43831="","-",82.43831/6410995.1048*100)</f>
        <v>1.2858894547942692E-3</v>
      </c>
      <c r="G124" s="75">
        <f>IF(OR(5074244.25964="",113.63933="",55.81575=""),"-",(55.81575-113.63933)/5074244.25964*100)</f>
        <v>-1.1395505821413174E-3</v>
      </c>
      <c r="H124" s="75">
        <f>IF(OR(6735746.11893="",82.43831="",55.81575=""),"-",(82.43831-55.81575)/6735746.11893*100)</f>
        <v>3.9524292528158851E-4</v>
      </c>
    </row>
    <row r="125" spans="1:8" s="21" customFormat="1" ht="14.25" customHeight="1" x14ac:dyDescent="0.2">
      <c r="A125" s="77" t="s">
        <v>288</v>
      </c>
      <c r="B125" s="61">
        <v>23.35324</v>
      </c>
      <c r="C125" s="58">
        <v>78.274029999999996</v>
      </c>
      <c r="D125" s="75" t="s">
        <v>380</v>
      </c>
      <c r="E125" s="75">
        <f>IF(23.35324="","-",23.35324/6735746.11893*100)</f>
        <v>3.4670606028883042E-4</v>
      </c>
      <c r="F125" s="75">
        <f>IF(78.27403="","-",78.27403/6410995.1048*100)</f>
        <v>1.220934172003893E-3</v>
      </c>
      <c r="G125" s="75">
        <f>IF(OR(5074244.25964="",111.76293="",23.35324=""),"-",(23.35324-111.76293)/5074244.25964*100)</f>
        <v>-1.7423223139493163E-3</v>
      </c>
      <c r="H125" s="75">
        <f>IF(OR(6735746.11893="",78.27403="",23.35324=""),"-",(78.27403-23.35324)/6735746.11893*100)</f>
        <v>8.1536312429667977E-4</v>
      </c>
    </row>
    <row r="126" spans="1:8" s="21" customFormat="1" ht="15" customHeight="1" x14ac:dyDescent="0.2">
      <c r="A126" s="77" t="s">
        <v>297</v>
      </c>
      <c r="B126" s="61">
        <v>92.182869999999994</v>
      </c>
      <c r="C126" s="57">
        <v>75.096729999999994</v>
      </c>
      <c r="D126" s="75">
        <f>IF(OR(92.18287="",75.09673=""),"-",75.09673/92.18287*100)</f>
        <v>81.464951134630553</v>
      </c>
      <c r="E126" s="75">
        <f>IF(92.18287="","-",92.18287/6735746.11893*100)</f>
        <v>1.3685621217363164E-3</v>
      </c>
      <c r="F126" s="75">
        <f>IF(75.09673="","-",75.09673/6410995.1048*100)</f>
        <v>1.1713740031367992E-3</v>
      </c>
      <c r="G126" s="75">
        <f>IF(OR(5074244.25964="",53.65025="",92.18287=""),"-",(92.18287-53.65025)/5074244.25964*100)</f>
        <v>7.5937653034333335E-4</v>
      </c>
      <c r="H126" s="75">
        <f>IF(OR(6735746.11893="",75.09673="",92.18287=""),"-",(75.09673-92.18287)/6735746.11893*100)</f>
        <v>-2.5366365801676331E-4</v>
      </c>
    </row>
    <row r="127" spans="1:8" x14ac:dyDescent="0.25">
      <c r="A127" s="77" t="s">
        <v>327</v>
      </c>
      <c r="B127" s="61">
        <v>57.779629999999997</v>
      </c>
      <c r="C127" s="57">
        <v>71.051069999999996</v>
      </c>
      <c r="D127" s="75">
        <f>IF(OR(57.77963="",71.05107=""),"-",71.05107/57.77963*100)</f>
        <v>122.96906366482443</v>
      </c>
      <c r="E127" s="75">
        <f>IF(57.77963="","-",57.77963/6735746.11893*100)</f>
        <v>8.5780593537540452E-4</v>
      </c>
      <c r="F127" s="75">
        <f>IF(71.05107="","-",71.05107/6410995.1048*100)</f>
        <v>1.1082689791293567E-3</v>
      </c>
      <c r="G127" s="75">
        <f>IF(OR(5074244.25964="",50.34093="",57.77963=""),"-",(57.77963-50.34093)/5074244.25964*100)</f>
        <v>1.4659719988583577E-4</v>
      </c>
      <c r="H127" s="75">
        <f>IF(OR(6735746.11893="",71.05107="",57.77963=""),"-",(71.05107-57.77963)/6735746.11893*100)</f>
        <v>1.9702999141701943E-4</v>
      </c>
    </row>
    <row r="128" spans="1:8" x14ac:dyDescent="0.25">
      <c r="A128" s="77" t="s">
        <v>298</v>
      </c>
      <c r="B128" s="61">
        <v>47.635390000000001</v>
      </c>
      <c r="C128" s="58">
        <v>62.795369999999998</v>
      </c>
      <c r="D128" s="75">
        <f>IF(OR(47.63539="",62.79537=""),"-",62.79537/47.63539*100)</f>
        <v>131.82503596590684</v>
      </c>
      <c r="E128" s="75">
        <f>IF(47.63539="","-",47.63539/6735746.11893*100)</f>
        <v>7.0720287194504696E-4</v>
      </c>
      <c r="F128" s="75">
        <f>IF(62.79537="","-",62.79537/6410995.1048*100)</f>
        <v>9.7949489858421899E-4</v>
      </c>
      <c r="G128" s="75">
        <f>IF(OR(5074244.25964="",97.65355="",47.63539=""),"-",(47.63539-97.65355)/5074244.25964*100)</f>
        <v>-9.8572629618639239E-4</v>
      </c>
      <c r="H128" s="75">
        <f>IF(OR(6735746.11893="",62.79537="",47.63539=""),"-",(62.79537-47.63539)/6735746.11893*100)</f>
        <v>2.250675683484374E-4</v>
      </c>
    </row>
    <row r="129" spans="1:8" x14ac:dyDescent="0.25">
      <c r="A129" s="79" t="s">
        <v>329</v>
      </c>
      <c r="B129" s="58">
        <v>74.815740000000005</v>
      </c>
      <c r="C129" s="58">
        <v>62.427610000000001</v>
      </c>
      <c r="D129" s="75">
        <f>IF(OR(74.81574="",62.42761=""),"-",62.42761/74.81574*100)</f>
        <v>83.44181317995384</v>
      </c>
      <c r="E129" s="75">
        <f>IF(74.81574="","-",74.81574/6735746.11893*100)</f>
        <v>1.1107268397444407E-3</v>
      </c>
      <c r="F129" s="75">
        <f>IF(62.42761="","-",62.42761/6410995.1048*100)</f>
        <v>9.7375850362542925E-4</v>
      </c>
      <c r="G129" s="75">
        <f>IF(OR(5074244.25964="",70.02609="",74.81574=""),"-",(74.81574-70.02609)/5074244.25964*100)</f>
        <v>9.4391396135506855E-5</v>
      </c>
      <c r="H129" s="75">
        <f>IF(OR(6735746.11893="",62.42761="",74.81574=""),"-",(62.42761-74.81574)/6735746.11893*100)</f>
        <v>-1.8391622518527923E-4</v>
      </c>
    </row>
    <row r="130" spans="1:8" x14ac:dyDescent="0.25">
      <c r="A130" s="77" t="s">
        <v>328</v>
      </c>
      <c r="B130" s="61">
        <v>21.99315</v>
      </c>
      <c r="C130" s="57">
        <v>61.726300000000002</v>
      </c>
      <c r="D130" s="75" t="s">
        <v>381</v>
      </c>
      <c r="E130" s="75">
        <f>IF(21.99315="","-",21.99315/6735746.11893*100)</f>
        <v>3.2651393938662432E-4</v>
      </c>
      <c r="F130" s="75">
        <f>IF(61.7263="","-",61.7263/6410995.1048*100)</f>
        <v>9.6281932821606236E-4</v>
      </c>
      <c r="G130" s="75">
        <f>IF(OR(5074244.25964="",9.94625="",21.99315=""),"-",(21.99315-9.94625)/5074244.25964*100)</f>
        <v>2.3741269406007444E-4</v>
      </c>
      <c r="H130" s="75">
        <f>IF(OR(6735746.11893="",61.7263="",21.99315=""),"-",(61.7263-21.99315)/6735746.11893*100)</f>
        <v>5.8988491101727826E-4</v>
      </c>
    </row>
    <row r="131" spans="1:8" x14ac:dyDescent="0.25">
      <c r="A131" s="80" t="s">
        <v>279</v>
      </c>
      <c r="B131" s="81">
        <v>26.840620000000001</v>
      </c>
      <c r="C131" s="81">
        <v>46.834629999999997</v>
      </c>
      <c r="D131" s="76" t="s">
        <v>341</v>
      </c>
      <c r="E131" s="76">
        <f>IF(26.84062="","-",26.84062/6735746.11893*100)</f>
        <v>3.9848028007717932E-4</v>
      </c>
      <c r="F131" s="76">
        <f>IF(46.83463="","-",46.83463/6410995.1048*100)</f>
        <v>7.305360436936579E-4</v>
      </c>
      <c r="G131" s="76">
        <f>IF(OR(5074244.25964="",88.10953="",26.84062=""),"-",(26.84062-88.10953)/5074244.25964*100)</f>
        <v>-1.2074489690479901E-3</v>
      </c>
      <c r="H131" s="76">
        <f>IF(OR(6735746.11893="",46.83463="",26.84062=""),"-",(46.83463-26.84062)/6735746.11893*100)</f>
        <v>2.9683437657795995E-4</v>
      </c>
    </row>
    <row r="132" spans="1:8" s="21" customFormat="1" ht="14.25" customHeight="1" x14ac:dyDescent="0.2">
      <c r="A132" s="9" t="s">
        <v>256</v>
      </c>
      <c r="B132" s="9"/>
      <c r="C132" s="9"/>
      <c r="D132" s="11"/>
      <c r="E132" s="10"/>
      <c r="F132" s="10"/>
      <c r="G132" s="20"/>
      <c r="H132" s="20"/>
    </row>
    <row r="133" spans="1:8" s="21" customFormat="1" ht="15" customHeight="1" x14ac:dyDescent="0.2">
      <c r="A133" s="49" t="s">
        <v>302</v>
      </c>
      <c r="B133" s="49"/>
      <c r="C133" s="49"/>
      <c r="D133" s="49"/>
      <c r="E133" s="49"/>
      <c r="F133" s="49"/>
      <c r="G133" s="20"/>
      <c r="H133" s="20"/>
    </row>
  </sheetData>
  <mergeCells count="7">
    <mergeCell ref="A1:H1"/>
    <mergeCell ref="A2:H2"/>
    <mergeCell ref="G3:H3"/>
    <mergeCell ref="B3:C3"/>
    <mergeCell ref="A3:A4"/>
    <mergeCell ref="D3:D4"/>
    <mergeCell ref="E3:F3"/>
  </mergeCells>
  <phoneticPr fontId="3" type="noConversion"/>
  <pageMargins left="0.59055118110236227" right="0.39370078740157483" top="0.39370078740157483" bottom="0.39370078740157483" header="0.11811023622047245" footer="0.1181102362204724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G152"/>
  <sheetViews>
    <sheetView workbookViewId="0">
      <selection sqref="A1:D1"/>
    </sheetView>
  </sheetViews>
  <sheetFormatPr defaultRowHeight="15.75" x14ac:dyDescent="0.25"/>
  <cols>
    <col min="1" max="1" width="47.875" style="26" customWidth="1"/>
    <col min="2" max="2" width="14" style="26" customWidth="1"/>
    <col min="3" max="3" width="14.25" style="26" customWidth="1"/>
    <col min="4" max="4" width="12.25" style="26" customWidth="1"/>
  </cols>
  <sheetData>
    <row r="1" spans="1:4" x14ac:dyDescent="0.25">
      <c r="A1" s="123" t="s">
        <v>310</v>
      </c>
      <c r="B1" s="123"/>
      <c r="C1" s="123"/>
      <c r="D1" s="123"/>
    </row>
    <row r="2" spans="1:4" x14ac:dyDescent="0.25">
      <c r="A2" s="124"/>
      <c r="B2" s="124"/>
      <c r="C2" s="124"/>
      <c r="D2" s="124"/>
    </row>
    <row r="3" spans="1:4" ht="38.25" customHeight="1" x14ac:dyDescent="0.25">
      <c r="A3" s="127"/>
      <c r="B3" s="115" t="s">
        <v>398</v>
      </c>
      <c r="C3" s="122"/>
      <c r="D3" s="125" t="s">
        <v>338</v>
      </c>
    </row>
    <row r="4" spans="1:4" ht="48.75" customHeight="1" x14ac:dyDescent="0.25">
      <c r="A4" s="128"/>
      <c r="B4" s="13" t="s">
        <v>334</v>
      </c>
      <c r="C4" s="13" t="s">
        <v>335</v>
      </c>
      <c r="D4" s="126"/>
    </row>
    <row r="5" spans="1:4" s="19" customFormat="1" ht="15.75" customHeight="1" x14ac:dyDescent="0.2">
      <c r="A5" s="92" t="s">
        <v>402</v>
      </c>
      <c r="B5" s="54">
        <v>-3457922.8714700001</v>
      </c>
      <c r="C5" s="54">
        <v>-3396115.7544300002</v>
      </c>
      <c r="D5" s="110">
        <f>IF(-3457922.87147="","-",-3396115.75443/-3457922.87147*100)</f>
        <v>98.212594111050109</v>
      </c>
    </row>
    <row r="6" spans="1:4" x14ac:dyDescent="0.25">
      <c r="A6" s="66" t="s">
        <v>340</v>
      </c>
      <c r="B6" s="94"/>
      <c r="C6" s="94"/>
      <c r="D6" s="94"/>
    </row>
    <row r="7" spans="1:4" x14ac:dyDescent="0.25">
      <c r="A7" s="67" t="s">
        <v>271</v>
      </c>
      <c r="B7" s="56">
        <v>-1140035.36396</v>
      </c>
      <c r="C7" s="56">
        <v>-1183187.2712900001</v>
      </c>
      <c r="D7" s="56">
        <f>IF(-1140035.36396="","-",-1183187.27129/-1140035.36396*100)</f>
        <v>103.78513761012718</v>
      </c>
    </row>
    <row r="8" spans="1:4" x14ac:dyDescent="0.25">
      <c r="A8" s="68" t="s">
        <v>2</v>
      </c>
      <c r="B8" s="57">
        <v>-255696.41660999999</v>
      </c>
      <c r="C8" s="57">
        <v>-290783.08520999999</v>
      </c>
      <c r="D8" s="57">
        <f>IF(OR(-255696.41661="",-290783.08521="",-255696.41661=0),"-",-290783.08521/-255696.41661*100)</f>
        <v>113.72200246885581</v>
      </c>
    </row>
    <row r="9" spans="1:4" x14ac:dyDescent="0.25">
      <c r="A9" s="68" t="s">
        <v>1</v>
      </c>
      <c r="B9" s="57">
        <v>-70951.282869999995</v>
      </c>
      <c r="C9" s="57">
        <v>-152182.58103999999</v>
      </c>
      <c r="D9" s="57" t="s">
        <v>350</v>
      </c>
    </row>
    <row r="10" spans="1:4" x14ac:dyDescent="0.25">
      <c r="A10" s="68" t="s">
        <v>3</v>
      </c>
      <c r="B10" s="57">
        <v>-131153.15101999999</v>
      </c>
      <c r="C10" s="57">
        <v>-144923.82352000001</v>
      </c>
      <c r="D10" s="57">
        <f>IF(OR(-131153.15102="",-144923.82352="",-131153.15102=0),"-",-144923.82352/-131153.15102*100)</f>
        <v>110.49968864103012</v>
      </c>
    </row>
    <row r="11" spans="1:4" x14ac:dyDescent="0.25">
      <c r="A11" s="68" t="s">
        <v>262</v>
      </c>
      <c r="B11" s="57">
        <v>-109768.25013</v>
      </c>
      <c r="C11" s="57">
        <v>-126592.61867</v>
      </c>
      <c r="D11" s="57">
        <f>IF(OR(-109768.25013="",-126592.61867="",-109768.25013=0),"-",-126592.61867/-109768.25013*100)</f>
        <v>115.32717203751966</v>
      </c>
    </row>
    <row r="12" spans="1:4" x14ac:dyDescent="0.25">
      <c r="A12" s="68" t="s">
        <v>36</v>
      </c>
      <c r="B12" s="57">
        <v>-94811.431039999996</v>
      </c>
      <c r="C12" s="57">
        <v>-102250.11767000001</v>
      </c>
      <c r="D12" s="57">
        <f>IF(OR(-94811.43104="",-102250.11767="",-94811.43104=0),"-",-102250.11767/-94811.43104*100)</f>
        <v>107.84576980687244</v>
      </c>
    </row>
    <row r="13" spans="1:4" x14ac:dyDescent="0.25">
      <c r="A13" s="68" t="s">
        <v>6</v>
      </c>
      <c r="B13" s="57">
        <v>-24442.632150000001</v>
      </c>
      <c r="C13" s="57">
        <v>-70084.557799999995</v>
      </c>
      <c r="D13" s="57" t="s">
        <v>352</v>
      </c>
    </row>
    <row r="14" spans="1:4" x14ac:dyDescent="0.25">
      <c r="A14" s="68" t="s">
        <v>4</v>
      </c>
      <c r="B14" s="57">
        <v>30046.38204</v>
      </c>
      <c r="C14" s="57">
        <v>-52487.226110000003</v>
      </c>
      <c r="D14" s="57" t="s">
        <v>382</v>
      </c>
    </row>
    <row r="15" spans="1:4" x14ac:dyDescent="0.25">
      <c r="A15" s="68" t="s">
        <v>5</v>
      </c>
      <c r="B15" s="57">
        <v>-46630.931879999996</v>
      </c>
      <c r="C15" s="57">
        <v>-50956.462140000003</v>
      </c>
      <c r="D15" s="57">
        <f>IF(OR(-46630.93188="",-50956.46214="",-46630.93188=0),"-",-50956.46214/-46630.93188*100)</f>
        <v>109.27609654280836</v>
      </c>
    </row>
    <row r="16" spans="1:4" x14ac:dyDescent="0.25">
      <c r="A16" s="68" t="s">
        <v>38</v>
      </c>
      <c r="B16" s="57">
        <v>-30076.06409</v>
      </c>
      <c r="C16" s="57">
        <v>-50822.258930000004</v>
      </c>
      <c r="D16" s="57" t="s">
        <v>341</v>
      </c>
    </row>
    <row r="17" spans="1:4" x14ac:dyDescent="0.25">
      <c r="A17" s="68" t="s">
        <v>34</v>
      </c>
      <c r="B17" s="57">
        <v>-53379.283609999999</v>
      </c>
      <c r="C17" s="57">
        <v>-44654.788760000003</v>
      </c>
      <c r="D17" s="57">
        <f>IF(OR(-53379.28361="",-44654.78876="",-53379.28361=0),"-",-44654.78876/-53379.28361*100)</f>
        <v>83.655653916708701</v>
      </c>
    </row>
    <row r="18" spans="1:4" x14ac:dyDescent="0.25">
      <c r="A18" s="68" t="s">
        <v>44</v>
      </c>
      <c r="B18" s="57">
        <v>-23497.39906</v>
      </c>
      <c r="C18" s="57">
        <v>-33525.982490000002</v>
      </c>
      <c r="D18" s="57">
        <f>IF(OR(-23497.39906="",-33525.98249="",-23497.39906=0),"-",-33525.98249/-23497.39906*100)</f>
        <v>142.67954680597742</v>
      </c>
    </row>
    <row r="19" spans="1:4" x14ac:dyDescent="0.25">
      <c r="A19" s="68" t="s">
        <v>35</v>
      </c>
      <c r="B19" s="57">
        <v>-25687.72782</v>
      </c>
      <c r="C19" s="57">
        <v>-28736.679469999999</v>
      </c>
      <c r="D19" s="57">
        <f>IF(OR(-25687.72782="",-28736.67947="",-25687.72782=0),"-",-28736.67947/-25687.72782*100)</f>
        <v>111.86929288321927</v>
      </c>
    </row>
    <row r="20" spans="1:4" x14ac:dyDescent="0.25">
      <c r="A20" s="68" t="s">
        <v>270</v>
      </c>
      <c r="B20" s="57">
        <v>-11240.552750000001</v>
      </c>
      <c r="C20" s="57">
        <v>-27754.684270000002</v>
      </c>
      <c r="D20" s="57" t="s">
        <v>344</v>
      </c>
    </row>
    <row r="21" spans="1:4" x14ac:dyDescent="0.25">
      <c r="A21" s="68" t="s">
        <v>46</v>
      </c>
      <c r="B21" s="57">
        <v>-21083.24193</v>
      </c>
      <c r="C21" s="57">
        <v>-22362.463919999998</v>
      </c>
      <c r="D21" s="57">
        <f>IF(OR(-21083.24193="",-22362.46392="",-21083.24193=0),"-",-22362.46392/-21083.24193*100)</f>
        <v>106.067482383626</v>
      </c>
    </row>
    <row r="22" spans="1:4" x14ac:dyDescent="0.25">
      <c r="A22" s="68" t="s">
        <v>45</v>
      </c>
      <c r="B22" s="57">
        <v>-5023.1307399999996</v>
      </c>
      <c r="C22" s="57">
        <v>-19873.751120000001</v>
      </c>
      <c r="D22" s="57" t="s">
        <v>348</v>
      </c>
    </row>
    <row r="23" spans="1:4" x14ac:dyDescent="0.25">
      <c r="A23" s="68" t="s">
        <v>43</v>
      </c>
      <c r="B23" s="57">
        <v>-15114.335849999999</v>
      </c>
      <c r="C23" s="57">
        <v>-14903.35536</v>
      </c>
      <c r="D23" s="57">
        <f>IF(OR(-15114.33585="",-14903.35536="",-15114.33585=0),"-",-14903.35536/-15114.33585*100)</f>
        <v>98.604103467768326</v>
      </c>
    </row>
    <row r="24" spans="1:4" x14ac:dyDescent="0.25">
      <c r="A24" s="68" t="s">
        <v>42</v>
      </c>
      <c r="B24" s="57">
        <v>-13909.2803</v>
      </c>
      <c r="C24" s="57">
        <v>-12492.19484</v>
      </c>
      <c r="D24" s="57">
        <f>IF(OR(-13909.2803="",-12492.19484="",-13909.2803=0),"-",-12492.19484/-13909.2803*100)</f>
        <v>89.811942606405012</v>
      </c>
    </row>
    <row r="25" spans="1:4" x14ac:dyDescent="0.25">
      <c r="A25" s="68" t="s">
        <v>39</v>
      </c>
      <c r="B25" s="57">
        <v>-9257.2114899999997</v>
      </c>
      <c r="C25" s="57">
        <v>-6312.4242299999996</v>
      </c>
      <c r="D25" s="57">
        <f>IF(OR(-9257.21149="",-6312.42423="",-9257.21149=0),"-",-6312.42423/-9257.21149*100)</f>
        <v>68.189262358529092</v>
      </c>
    </row>
    <row r="26" spans="1:4" x14ac:dyDescent="0.25">
      <c r="A26" s="68" t="s">
        <v>47</v>
      </c>
      <c r="B26" s="57">
        <v>-5858.9630699999998</v>
      </c>
      <c r="C26" s="57">
        <v>-5241.3056200000001</v>
      </c>
      <c r="D26" s="57">
        <f>IF(OR(-5858.96307="",-5241.30562="",-5858.96307=0),"-",-5241.30562/-5858.96307*100)</f>
        <v>89.457905048717095</v>
      </c>
    </row>
    <row r="27" spans="1:4" x14ac:dyDescent="0.25">
      <c r="A27" s="68" t="s">
        <v>40</v>
      </c>
      <c r="B27" s="57">
        <v>-1551.5236600000001</v>
      </c>
      <c r="C27" s="57">
        <v>-2159.3525</v>
      </c>
      <c r="D27" s="57">
        <f>IF(OR(-1551.52366="",-2159.3525="",-1551.52366=0),"-",-2159.3525/-1551.52366*100)</f>
        <v>139.17625336116367</v>
      </c>
    </row>
    <row r="28" spans="1:4" x14ac:dyDescent="0.25">
      <c r="A28" s="68" t="s">
        <v>48</v>
      </c>
      <c r="B28" s="57">
        <v>-2172.40994</v>
      </c>
      <c r="C28" s="57">
        <v>-1537.1542099999999</v>
      </c>
      <c r="D28" s="57">
        <f>IF(OR(-2172.40994="",-1537.15421="",-2172.40994=0),"-",-1537.15421/-2172.40994*100)</f>
        <v>70.758017706363461</v>
      </c>
    </row>
    <row r="29" spans="1:4" x14ac:dyDescent="0.25">
      <c r="A29" s="68" t="s">
        <v>49</v>
      </c>
      <c r="B29" s="57">
        <v>-33.729430000000001</v>
      </c>
      <c r="C29" s="57">
        <v>169.50615999999999</v>
      </c>
      <c r="D29" s="57" t="s">
        <v>382</v>
      </c>
    </row>
    <row r="30" spans="1:4" x14ac:dyDescent="0.25">
      <c r="A30" s="68" t="s">
        <v>265</v>
      </c>
      <c r="B30" s="57">
        <v>-23690.264309999999</v>
      </c>
      <c r="C30" s="57">
        <v>939.39481000000001</v>
      </c>
      <c r="D30" s="57" t="s">
        <v>382</v>
      </c>
    </row>
    <row r="31" spans="1:4" ht="16.5" customHeight="1" x14ac:dyDescent="0.25">
      <c r="A31" s="68" t="s">
        <v>263</v>
      </c>
      <c r="B31" s="57">
        <v>-4659.4169599999996</v>
      </c>
      <c r="C31" s="57">
        <v>2429.2554100000002</v>
      </c>
      <c r="D31" s="57" t="s">
        <v>382</v>
      </c>
    </row>
    <row r="32" spans="1:4" x14ac:dyDescent="0.25">
      <c r="A32" s="68" t="s">
        <v>37</v>
      </c>
      <c r="B32" s="57">
        <v>-2362.0051899999999</v>
      </c>
      <c r="C32" s="57">
        <v>3452.1495399999999</v>
      </c>
      <c r="D32" s="57" t="s">
        <v>382</v>
      </c>
    </row>
    <row r="33" spans="1:4" x14ac:dyDescent="0.25">
      <c r="A33" s="68" t="s">
        <v>41</v>
      </c>
      <c r="B33" s="57">
        <v>13180.254269999999</v>
      </c>
      <c r="C33" s="57">
        <v>23661.048269999999</v>
      </c>
      <c r="D33" s="57" t="s">
        <v>349</v>
      </c>
    </row>
    <row r="34" spans="1:4" ht="15" customHeight="1" x14ac:dyDescent="0.25">
      <c r="A34" s="68" t="s">
        <v>0</v>
      </c>
      <c r="B34" s="57">
        <v>-201086.91297</v>
      </c>
      <c r="C34" s="57">
        <v>46838.883220000003</v>
      </c>
      <c r="D34" s="57" t="s">
        <v>382</v>
      </c>
    </row>
    <row r="35" spans="1:4" ht="14.25" customHeight="1" x14ac:dyDescent="0.25">
      <c r="A35" s="68" t="s">
        <v>396</v>
      </c>
      <c r="B35" s="57">
        <v>-124.45140000000001</v>
      </c>
      <c r="C35" s="57">
        <v>-40.640819999999998</v>
      </c>
      <c r="D35" s="57">
        <f>IF(OR(-124.4514="",-40.64082="",-124.4514=0),"-",-40.64082/-124.4514*100)</f>
        <v>32.655976549882119</v>
      </c>
    </row>
    <row r="36" spans="1:4" x14ac:dyDescent="0.25">
      <c r="A36" s="67" t="s">
        <v>176</v>
      </c>
      <c r="B36" s="56">
        <v>-987691.74935000006</v>
      </c>
      <c r="C36" s="56">
        <v>-459887.12641000003</v>
      </c>
      <c r="D36" s="56">
        <f>IF(-987691.74935="","-",-459887.12641/-987691.74935*100)</f>
        <v>46.561807032675098</v>
      </c>
    </row>
    <row r="37" spans="1:4" x14ac:dyDescent="0.25">
      <c r="A37" s="68" t="s">
        <v>8</v>
      </c>
      <c r="B37" s="57">
        <v>-171458.12281999999</v>
      </c>
      <c r="C37" s="57">
        <v>-267090.15159000002</v>
      </c>
      <c r="D37" s="57">
        <f>IF(OR(-171458.12282="",-267090.15159="",-171458.12282=0),"-",-267090.15159/-171458.12282*100)</f>
        <v>155.77573532074439</v>
      </c>
    </row>
    <row r="38" spans="1:4" x14ac:dyDescent="0.25">
      <c r="A38" s="68" t="s">
        <v>264</v>
      </c>
      <c r="B38" s="57">
        <v>-762711.49632999999</v>
      </c>
      <c r="C38" s="57">
        <v>-151773.55814000001</v>
      </c>
      <c r="D38" s="57">
        <f>IF(OR(-762711.49633="",-151773.55814="",-762711.49633=0),"-",-151773.55814/-762711.49633*100)</f>
        <v>19.899209448172865</v>
      </c>
    </row>
    <row r="39" spans="1:4" x14ac:dyDescent="0.25">
      <c r="A39" s="68" t="s">
        <v>9</v>
      </c>
      <c r="B39" s="57">
        <v>-1836.55162</v>
      </c>
      <c r="C39" s="57">
        <v>-17754.902139999998</v>
      </c>
      <c r="D39" s="57" t="s">
        <v>383</v>
      </c>
    </row>
    <row r="40" spans="1:4" x14ac:dyDescent="0.25">
      <c r="A40" s="68" t="s">
        <v>12</v>
      </c>
      <c r="B40" s="57">
        <v>-11817.66581</v>
      </c>
      <c r="C40" s="57">
        <v>-13525.328890000001</v>
      </c>
      <c r="D40" s="57">
        <f>IF(OR(-11817.66581="",-13525.32889="",-11817.66581=0),"-",-13525.32889/-11817.66581*100)</f>
        <v>114.45008775383539</v>
      </c>
    </row>
    <row r="41" spans="1:4" x14ac:dyDescent="0.25">
      <c r="A41" s="68" t="s">
        <v>10</v>
      </c>
      <c r="B41" s="57">
        <v>-7915.1711500000001</v>
      </c>
      <c r="C41" s="57">
        <v>-11882.010259999999</v>
      </c>
      <c r="D41" s="57">
        <f>IF(OR(-7915.17115="",-11882.01026="",-7915.17115=0),"-",-11882.01026/-7915.17115*100)</f>
        <v>150.11690884283658</v>
      </c>
    </row>
    <row r="42" spans="1:4" x14ac:dyDescent="0.25">
      <c r="A42" s="68" t="s">
        <v>11</v>
      </c>
      <c r="B42" s="57">
        <v>-7311.8672699999997</v>
      </c>
      <c r="C42" s="57">
        <v>-1648.1365900000001</v>
      </c>
      <c r="D42" s="57">
        <f>IF(OR(-7311.86727="",-1648.13659="",-7311.86727=0),"-",-1648.13659/-7311.86727*100)</f>
        <v>22.540570406169312</v>
      </c>
    </row>
    <row r="43" spans="1:4" x14ac:dyDescent="0.25">
      <c r="A43" s="68" t="s">
        <v>7</v>
      </c>
      <c r="B43" s="57">
        <v>-22143.815910000001</v>
      </c>
      <c r="C43" s="57">
        <v>-578.60134000000005</v>
      </c>
      <c r="D43" s="57">
        <f>IF(OR(-22143.81591="",-578.60134="",-22143.81591=0),"-",-578.60134/-22143.81591*100)</f>
        <v>2.6129251722089486</v>
      </c>
    </row>
    <row r="44" spans="1:4" x14ac:dyDescent="0.25">
      <c r="A44" s="68" t="s">
        <v>14</v>
      </c>
      <c r="B44" s="57">
        <v>60.51388</v>
      </c>
      <c r="C44" s="57">
        <v>133.55304000000001</v>
      </c>
      <c r="D44" s="57" t="s">
        <v>362</v>
      </c>
    </row>
    <row r="45" spans="1:4" x14ac:dyDescent="0.25">
      <c r="A45" s="68" t="s">
        <v>13</v>
      </c>
      <c r="B45" s="57">
        <v>617.98573999999996</v>
      </c>
      <c r="C45" s="57">
        <v>868.38379999999995</v>
      </c>
      <c r="D45" s="57">
        <f>IF(OR(617.98574="",868.3838="",617.98574=0),"-",868.3838/617.98574*100)</f>
        <v>140.51842037649607</v>
      </c>
    </row>
    <row r="46" spans="1:4" x14ac:dyDescent="0.25">
      <c r="A46" s="68" t="s">
        <v>266</v>
      </c>
      <c r="B46" s="57">
        <v>-3175.5580599999998</v>
      </c>
      <c r="C46" s="57">
        <v>3363.6257000000001</v>
      </c>
      <c r="D46" s="57" t="s">
        <v>382</v>
      </c>
    </row>
    <row r="47" spans="1:4" x14ac:dyDescent="0.25">
      <c r="A47" s="67" t="s">
        <v>113</v>
      </c>
      <c r="B47" s="56">
        <v>-1330195.75816</v>
      </c>
      <c r="C47" s="56">
        <v>-1753041.3567300001</v>
      </c>
      <c r="D47" s="56">
        <f>IF(-1330195.75816="","-",-1753041.35673/-1330195.75816*100)</f>
        <v>131.78822334803587</v>
      </c>
    </row>
    <row r="48" spans="1:4" x14ac:dyDescent="0.25">
      <c r="A48" s="68" t="s">
        <v>53</v>
      </c>
      <c r="B48" s="57">
        <v>-681037.31652999995</v>
      </c>
      <c r="C48" s="57">
        <v>-720656.73140000005</v>
      </c>
      <c r="D48" s="57">
        <f>IF(OR(-681037.31653="",-720656.7314="",-681037.31653=0),"-",-720656.7314/-681037.31653*100)</f>
        <v>105.81751012879408</v>
      </c>
    </row>
    <row r="49" spans="1:4" x14ac:dyDescent="0.25">
      <c r="A49" s="70" t="s">
        <v>50</v>
      </c>
      <c r="B49" s="58">
        <v>-214176.98842000001</v>
      </c>
      <c r="C49" s="58">
        <v>-459840.57734999998</v>
      </c>
      <c r="D49" s="57" t="s">
        <v>350</v>
      </c>
    </row>
    <row r="50" spans="1:4" x14ac:dyDescent="0.25">
      <c r="A50" s="68" t="s">
        <v>63</v>
      </c>
      <c r="B50" s="58">
        <v>-195952.63188999999</v>
      </c>
      <c r="C50" s="57">
        <v>-170454.88652</v>
      </c>
      <c r="D50" s="57">
        <f>IF(OR(-195952.63189="",-170454.88652="",-195952.63189=0),"-",-170454.88652/-195952.63189*100)</f>
        <v>86.987801529344395</v>
      </c>
    </row>
    <row r="51" spans="1:4" x14ac:dyDescent="0.25">
      <c r="A51" s="68" t="s">
        <v>69</v>
      </c>
      <c r="B51" s="57">
        <v>-49082.9617</v>
      </c>
      <c r="C51" s="57">
        <v>-68619.731039999999</v>
      </c>
      <c r="D51" s="57">
        <f>IF(OR(-49082.9617="",-68619.73104="",-49082.9617=0),"-",-68619.73104/-49082.9617*100)</f>
        <v>139.80356658062058</v>
      </c>
    </row>
    <row r="52" spans="1:4" x14ac:dyDescent="0.25">
      <c r="A52" s="68" t="s">
        <v>15</v>
      </c>
      <c r="B52" s="58">
        <v>-70318.009869999994</v>
      </c>
      <c r="C52" s="57">
        <v>-50531.15281</v>
      </c>
      <c r="D52" s="57">
        <f>IF(OR(-70318.00987="",-50531.15281="",-70318.00987=0),"-",-50531.15281/-70318.00987*100)</f>
        <v>71.860897234462655</v>
      </c>
    </row>
    <row r="53" spans="1:4" x14ac:dyDescent="0.25">
      <c r="A53" s="68" t="s">
        <v>30</v>
      </c>
      <c r="B53" s="57">
        <v>-44037.473859999998</v>
      </c>
      <c r="C53" s="57">
        <v>-45896.058989999998</v>
      </c>
      <c r="D53" s="57">
        <f>IF(OR(-44037.47386="",-45896.05899="",-44037.47386=0),"-",-45896.05899/-44037.47386*100)</f>
        <v>104.22046263577391</v>
      </c>
    </row>
    <row r="54" spans="1:4" x14ac:dyDescent="0.25">
      <c r="A54" s="70" t="s">
        <v>65</v>
      </c>
      <c r="B54" s="58">
        <v>-29786.46963</v>
      </c>
      <c r="C54" s="58">
        <v>-39184.204400000002</v>
      </c>
      <c r="D54" s="57">
        <f>IF(OR(-29786.46963="",-39184.2044="",-29786.46963=0),"-",-39184.2044/-29786.46963*100)</f>
        <v>131.55034781475041</v>
      </c>
    </row>
    <row r="55" spans="1:4" x14ac:dyDescent="0.25">
      <c r="A55" s="68" t="s">
        <v>320</v>
      </c>
      <c r="B55" s="57">
        <v>-1633.2475300000001</v>
      </c>
      <c r="C55" s="57">
        <v>-26191.49885</v>
      </c>
      <c r="D55" s="57" t="s">
        <v>384</v>
      </c>
    </row>
    <row r="56" spans="1:4" x14ac:dyDescent="0.25">
      <c r="A56" s="68" t="s">
        <v>72</v>
      </c>
      <c r="B56" s="57">
        <v>-15226.11656</v>
      </c>
      <c r="C56" s="57">
        <v>-23471.62083</v>
      </c>
      <c r="D56" s="57">
        <f>IF(OR(-15226.11656="",-23471.62083="",-15226.11656=0),"-",-23471.62083/-15226.11656*100)</f>
        <v>154.15369202979488</v>
      </c>
    </row>
    <row r="57" spans="1:4" x14ac:dyDescent="0.25">
      <c r="A57" s="68" t="s">
        <v>56</v>
      </c>
      <c r="B57" s="57">
        <v>-19089.863160000001</v>
      </c>
      <c r="C57" s="57">
        <v>-23125.58698</v>
      </c>
      <c r="D57" s="57">
        <f>IF(OR(-19089.86316="",-23125.58698="",-19089.86316=0),"-",-23125.58698/-19089.86316*100)</f>
        <v>121.14066395434548</v>
      </c>
    </row>
    <row r="58" spans="1:4" x14ac:dyDescent="0.25">
      <c r="A58" s="68" t="s">
        <v>60</v>
      </c>
      <c r="B58" s="57">
        <v>-18336.245029999998</v>
      </c>
      <c r="C58" s="57">
        <v>-18424.002759999999</v>
      </c>
      <c r="D58" s="57">
        <f>IF(OR(-18336.24503="",-18424.00276="",-18336.24503=0),"-",-18424.00276/-18336.24503*100)</f>
        <v>100.47860251570822</v>
      </c>
    </row>
    <row r="59" spans="1:4" x14ac:dyDescent="0.25">
      <c r="A59" s="70" t="s">
        <v>267</v>
      </c>
      <c r="B59" s="58">
        <v>-16303.884260000001</v>
      </c>
      <c r="C59" s="58">
        <v>-16126.487880000001</v>
      </c>
      <c r="D59" s="57">
        <f>IF(OR(-16303.88426="",-16126.48788="",-16303.88426=0),"-",-16126.48788/-16303.88426*100)</f>
        <v>98.911937933494627</v>
      </c>
    </row>
    <row r="60" spans="1:4" x14ac:dyDescent="0.25">
      <c r="A60" s="68" t="s">
        <v>64</v>
      </c>
      <c r="B60" s="57">
        <v>-10664.35255</v>
      </c>
      <c r="C60" s="57">
        <v>-13211.157579999999</v>
      </c>
      <c r="D60" s="57">
        <f>IF(OR(-10664.35255="",-13211.15758="",-10664.35255=0),"-",-13211.15758/-10664.35255*100)</f>
        <v>123.88147820563189</v>
      </c>
    </row>
    <row r="61" spans="1:4" x14ac:dyDescent="0.25">
      <c r="A61" s="68" t="s">
        <v>68</v>
      </c>
      <c r="B61" s="57">
        <v>-2406.3204599999999</v>
      </c>
      <c r="C61" s="57">
        <v>-12309.867399999999</v>
      </c>
      <c r="D61" s="57" t="s">
        <v>385</v>
      </c>
    </row>
    <row r="62" spans="1:4" x14ac:dyDescent="0.25">
      <c r="A62" s="68" t="s">
        <v>71</v>
      </c>
      <c r="B62" s="57">
        <v>-9783.3479399999997</v>
      </c>
      <c r="C62" s="57">
        <v>-11587.78852</v>
      </c>
      <c r="D62" s="57">
        <f>IF(OR(-9783.34794="",-11587.78852="",-9783.34794=0),"-",-11587.78852/-9783.34794*100)</f>
        <v>118.44399883420687</v>
      </c>
    </row>
    <row r="63" spans="1:4" x14ac:dyDescent="0.25">
      <c r="A63" s="68" t="s">
        <v>76</v>
      </c>
      <c r="B63" s="57">
        <v>-7790.5205800000003</v>
      </c>
      <c r="C63" s="57">
        <v>-9761.9802</v>
      </c>
      <c r="D63" s="57">
        <f>IF(OR(-7790.52058="",-9761.9802="",-7790.52058=0),"-",-9761.9802/-7790.52058*100)</f>
        <v>125.30587782620297</v>
      </c>
    </row>
    <row r="64" spans="1:4" x14ac:dyDescent="0.25">
      <c r="A64" s="70" t="s">
        <v>75</v>
      </c>
      <c r="B64" s="58">
        <v>-10515.90263</v>
      </c>
      <c r="C64" s="58">
        <v>-9524.0399400000006</v>
      </c>
      <c r="D64" s="57">
        <f>IF(OR(-10515.90263="",-9524.03994="",-10515.90263=0),"-",-9524.03994/-10515.90263*100)</f>
        <v>90.567973811678399</v>
      </c>
    </row>
    <row r="65" spans="1:4" x14ac:dyDescent="0.25">
      <c r="A65" s="68" t="s">
        <v>67</v>
      </c>
      <c r="B65" s="57">
        <v>-13055.236419999999</v>
      </c>
      <c r="C65" s="57">
        <v>-9495.15769</v>
      </c>
      <c r="D65" s="57">
        <f>IF(OR(-13055.23642="",-9495.15769="",-13055.23642=0),"-",-9495.15769/-13055.23642*100)</f>
        <v>72.730645271608196</v>
      </c>
    </row>
    <row r="66" spans="1:4" x14ac:dyDescent="0.25">
      <c r="A66" s="68" t="s">
        <v>77</v>
      </c>
      <c r="B66" s="57">
        <v>-6260.3724700000002</v>
      </c>
      <c r="C66" s="57">
        <v>-9073.5269100000005</v>
      </c>
      <c r="D66" s="57">
        <f>IF(OR(-6260.37247="",-9073.52691="",-6260.37247=0),"-",-9073.52691/-6260.37247*100)</f>
        <v>144.93589564328272</v>
      </c>
    </row>
    <row r="67" spans="1:4" x14ac:dyDescent="0.25">
      <c r="A67" s="68" t="s">
        <v>33</v>
      </c>
      <c r="B67" s="57">
        <v>-5036.0243099999998</v>
      </c>
      <c r="C67" s="57">
        <v>-6705.0586599999997</v>
      </c>
      <c r="D67" s="57">
        <f>IF(OR(-5036.02431="",-6705.05866="",-5036.02431=0),"-",-6705.05866/-5036.02431*100)</f>
        <v>133.14190415415212</v>
      </c>
    </row>
    <row r="68" spans="1:4" x14ac:dyDescent="0.25">
      <c r="A68" s="68" t="s">
        <v>74</v>
      </c>
      <c r="B68" s="57">
        <v>-4518.4071700000004</v>
      </c>
      <c r="C68" s="57">
        <v>-6486.5088400000004</v>
      </c>
      <c r="D68" s="57">
        <f>IF(OR(-4518.40717="",-6486.50884="",-4518.40717=0),"-",-6486.50884/-4518.40717*100)</f>
        <v>143.5574218071188</v>
      </c>
    </row>
    <row r="69" spans="1:4" x14ac:dyDescent="0.25">
      <c r="A69" s="68" t="s">
        <v>78</v>
      </c>
      <c r="B69" s="57">
        <v>-4668.7695999999996</v>
      </c>
      <c r="C69" s="57">
        <v>-6174.3003200000003</v>
      </c>
      <c r="D69" s="57">
        <f>IF(OR(-4668.7696="",-6174.30032="",-4668.7696=0),"-",-6174.30032/-4668.7696*100)</f>
        <v>132.24684122343498</v>
      </c>
    </row>
    <row r="70" spans="1:4" x14ac:dyDescent="0.25">
      <c r="A70" s="68" t="s">
        <v>321</v>
      </c>
      <c r="B70" s="57">
        <v>32906.336629999998</v>
      </c>
      <c r="C70" s="57">
        <v>-4862.2813200000001</v>
      </c>
      <c r="D70" s="57" t="s">
        <v>382</v>
      </c>
    </row>
    <row r="71" spans="1:4" x14ac:dyDescent="0.25">
      <c r="A71" s="68" t="s">
        <v>73</v>
      </c>
      <c r="B71" s="57">
        <v>-3367.0057999999999</v>
      </c>
      <c r="C71" s="57">
        <v>-4474.2782699999998</v>
      </c>
      <c r="D71" s="57">
        <f>IF(OR(-3367.0058="",-4474.27827="",-3367.0058=0),"-",-4474.27827/-3367.0058*100)</f>
        <v>132.88596859559908</v>
      </c>
    </row>
    <row r="72" spans="1:4" x14ac:dyDescent="0.25">
      <c r="A72" s="68" t="s">
        <v>106</v>
      </c>
      <c r="B72" s="57">
        <v>-863.46672999999998</v>
      </c>
      <c r="C72" s="57">
        <v>-4439.8931300000004</v>
      </c>
      <c r="D72" s="57" t="s">
        <v>385</v>
      </c>
    </row>
    <row r="73" spans="1:4" x14ac:dyDescent="0.25">
      <c r="A73" s="68" t="s">
        <v>59</v>
      </c>
      <c r="B73" s="57">
        <v>-7671.5323200000003</v>
      </c>
      <c r="C73" s="57">
        <v>-4353.4675299999999</v>
      </c>
      <c r="D73" s="57">
        <f>IF(OR(-7671.53232="",-4353.46753="",-7671.53232=0),"-",-4353.46753/-7671.53232*100)</f>
        <v>56.748343725937659</v>
      </c>
    </row>
    <row r="74" spans="1:4" x14ac:dyDescent="0.25">
      <c r="A74" s="68" t="s">
        <v>55</v>
      </c>
      <c r="B74" s="57">
        <v>-9415.7402000000002</v>
      </c>
      <c r="C74" s="57">
        <v>-4162.7210400000004</v>
      </c>
      <c r="D74" s="57">
        <f>IF(OR(-9415.7402="",-4162.72104="",-9415.7402=0),"-",-4162.72104/-9415.7402*100)</f>
        <v>44.210236811759103</v>
      </c>
    </row>
    <row r="75" spans="1:4" x14ac:dyDescent="0.25">
      <c r="A75" s="68" t="s">
        <v>282</v>
      </c>
      <c r="B75" s="57">
        <v>-1228.62219</v>
      </c>
      <c r="C75" s="57">
        <v>-3636.9978500000002</v>
      </c>
      <c r="D75" s="57" t="s">
        <v>360</v>
      </c>
    </row>
    <row r="76" spans="1:4" x14ac:dyDescent="0.25">
      <c r="A76" s="68" t="s">
        <v>81</v>
      </c>
      <c r="B76" s="57">
        <v>-2948.2753600000001</v>
      </c>
      <c r="C76" s="57">
        <v>-3586.6180899999999</v>
      </c>
      <c r="D76" s="57">
        <f>IF(OR(-2948.27536="",-3586.61809="",-2948.27536=0),"-",-3586.61809/-2948.27536*100)</f>
        <v>121.65139452917315</v>
      </c>
    </row>
    <row r="77" spans="1:4" x14ac:dyDescent="0.25">
      <c r="A77" s="70" t="s">
        <v>83</v>
      </c>
      <c r="B77" s="58">
        <v>-2102.5552400000001</v>
      </c>
      <c r="C77" s="58">
        <v>-3140.6037799999999</v>
      </c>
      <c r="D77" s="57">
        <f>IF(OR(-2102.55524="",-3140.60378="",-2102.55524=0),"-",-3140.60378/-2102.55524*100)</f>
        <v>149.37080939666535</v>
      </c>
    </row>
    <row r="78" spans="1:4" x14ac:dyDescent="0.25">
      <c r="A78" s="68" t="s">
        <v>325</v>
      </c>
      <c r="B78" s="57">
        <v>-1822.77583</v>
      </c>
      <c r="C78" s="57">
        <v>-2850.8766999999998</v>
      </c>
      <c r="D78" s="57">
        <f>IF(OR(-1822.77583="",-2850.8767="",-1822.77583=0),"-",-2850.8767/-1822.77583*100)</f>
        <v>156.4030339375303</v>
      </c>
    </row>
    <row r="79" spans="1:4" x14ac:dyDescent="0.25">
      <c r="A79" s="68" t="s">
        <v>66</v>
      </c>
      <c r="B79" s="57">
        <v>48225.338100000001</v>
      </c>
      <c r="C79" s="57">
        <v>-2364.06891</v>
      </c>
      <c r="D79" s="57" t="s">
        <v>382</v>
      </c>
    </row>
    <row r="80" spans="1:4" x14ac:dyDescent="0.25">
      <c r="A80" s="68" t="s">
        <v>88</v>
      </c>
      <c r="B80" s="57">
        <v>-1936.6335200000001</v>
      </c>
      <c r="C80" s="57">
        <v>-2340.8753200000001</v>
      </c>
      <c r="D80" s="57">
        <f>IF(OR(-1936.63352="",-2340.87532="",-1936.63352=0),"-",-2340.87532/-1936.63352*100)</f>
        <v>120.87342782334987</v>
      </c>
    </row>
    <row r="81" spans="1:4" x14ac:dyDescent="0.25">
      <c r="A81" s="68" t="s">
        <v>58</v>
      </c>
      <c r="B81" s="57">
        <v>-1177.28352</v>
      </c>
      <c r="C81" s="57">
        <v>-2224.2782900000002</v>
      </c>
      <c r="D81" s="57" t="s">
        <v>343</v>
      </c>
    </row>
    <row r="82" spans="1:4" x14ac:dyDescent="0.25">
      <c r="A82" s="68" t="s">
        <v>82</v>
      </c>
      <c r="B82" s="57">
        <v>-1648.0275200000001</v>
      </c>
      <c r="C82" s="57">
        <v>-2114.2341299999998</v>
      </c>
      <c r="D82" s="57">
        <f>IF(OR(-1648.02752="",-2114.23413="",-1648.02752=0),"-",-2114.23413/-1648.02752*100)</f>
        <v>128.28876364880119</v>
      </c>
    </row>
    <row r="83" spans="1:4" x14ac:dyDescent="0.25">
      <c r="A83" s="68" t="s">
        <v>117</v>
      </c>
      <c r="B83" s="57">
        <v>-1203.7996599999999</v>
      </c>
      <c r="C83" s="57">
        <v>-1947.6837599999999</v>
      </c>
      <c r="D83" s="57" t="s">
        <v>370</v>
      </c>
    </row>
    <row r="84" spans="1:4" x14ac:dyDescent="0.25">
      <c r="A84" s="68" t="s">
        <v>80</v>
      </c>
      <c r="B84" s="57">
        <v>-2046.92824</v>
      </c>
      <c r="C84" s="57">
        <v>-1734.75829</v>
      </c>
      <c r="D84" s="57">
        <f>IF(OR(-2046.92824="",-1734.75829="",-2046.92824=0),"-",-1734.75829/-2046.92824*100)</f>
        <v>84.749345682973228</v>
      </c>
    </row>
    <row r="85" spans="1:4" x14ac:dyDescent="0.25">
      <c r="A85" s="68" t="s">
        <v>61</v>
      </c>
      <c r="B85" s="57">
        <v>2431.6770700000002</v>
      </c>
      <c r="C85" s="57">
        <v>-1731.5685800000001</v>
      </c>
      <c r="D85" s="57" t="s">
        <v>382</v>
      </c>
    </row>
    <row r="86" spans="1:4" x14ac:dyDescent="0.25">
      <c r="A86" s="68" t="s">
        <v>92</v>
      </c>
      <c r="B86" s="57">
        <v>110.73877</v>
      </c>
      <c r="C86" s="57">
        <v>-1561.2112500000001</v>
      </c>
      <c r="D86" s="57" t="s">
        <v>382</v>
      </c>
    </row>
    <row r="87" spans="1:4" x14ac:dyDescent="0.25">
      <c r="A87" s="68" t="s">
        <v>268</v>
      </c>
      <c r="B87" s="57">
        <v>-1189.3552099999999</v>
      </c>
      <c r="C87" s="57">
        <v>-1335.22288</v>
      </c>
      <c r="D87" s="57">
        <f>IF(OR(-1189.35521="",-1335.22288="",-1189.35521=0),"-",-1335.22288/-1189.35521*100)</f>
        <v>112.26443275932681</v>
      </c>
    </row>
    <row r="88" spans="1:4" x14ac:dyDescent="0.25">
      <c r="A88" s="68" t="s">
        <v>31</v>
      </c>
      <c r="B88" s="57">
        <v>2042.7255700000001</v>
      </c>
      <c r="C88" s="57">
        <v>-1074.37435</v>
      </c>
      <c r="D88" s="57" t="s">
        <v>382</v>
      </c>
    </row>
    <row r="89" spans="1:4" x14ac:dyDescent="0.25">
      <c r="A89" s="68" t="s">
        <v>86</v>
      </c>
      <c r="B89" s="57">
        <v>-594.03371000000004</v>
      </c>
      <c r="C89" s="57">
        <v>-995.95132999999998</v>
      </c>
      <c r="D89" s="57" t="s">
        <v>341</v>
      </c>
    </row>
    <row r="90" spans="1:4" x14ac:dyDescent="0.25">
      <c r="A90" s="68" t="s">
        <v>322</v>
      </c>
      <c r="B90" s="58">
        <v>-1230.14328</v>
      </c>
      <c r="C90" s="57">
        <v>-915.02192000000002</v>
      </c>
      <c r="D90" s="57">
        <f>IF(OR(-1230.14328="",-915.02192="",-1230.14328=0),"-",-915.02192/-1230.14328*100)</f>
        <v>74.383361261787329</v>
      </c>
    </row>
    <row r="91" spans="1:4" x14ac:dyDescent="0.25">
      <c r="A91" s="68" t="s">
        <v>309</v>
      </c>
      <c r="B91" s="57">
        <v>-249.16573</v>
      </c>
      <c r="C91" s="57">
        <v>-894.55574999999999</v>
      </c>
      <c r="D91" s="57" t="s">
        <v>345</v>
      </c>
    </row>
    <row r="92" spans="1:4" x14ac:dyDescent="0.25">
      <c r="A92" s="68" t="s">
        <v>84</v>
      </c>
      <c r="B92" s="57">
        <v>-1351.89004</v>
      </c>
      <c r="C92" s="57">
        <v>-750.86892999999998</v>
      </c>
      <c r="D92" s="57">
        <f>IF(OR(-1351.89004="",-750.86893="",-1351.89004=0),"-",-750.86893/-1351.89004*100)</f>
        <v>55.54216007094778</v>
      </c>
    </row>
    <row r="93" spans="1:4" x14ac:dyDescent="0.25">
      <c r="A93" s="68" t="s">
        <v>89</v>
      </c>
      <c r="B93" s="57">
        <v>-256.20744999999999</v>
      </c>
      <c r="C93" s="57">
        <v>-708.71964000000003</v>
      </c>
      <c r="D93" s="57" t="s">
        <v>381</v>
      </c>
    </row>
    <row r="94" spans="1:4" x14ac:dyDescent="0.25">
      <c r="A94" s="68" t="s">
        <v>32</v>
      </c>
      <c r="B94" s="57">
        <v>-2371.8752199999999</v>
      </c>
      <c r="C94" s="57">
        <v>-689.44536000000005</v>
      </c>
      <c r="D94" s="57">
        <f>IF(OR(-2371.87522="",-689.44536="",-2371.87522=0),"-",-689.44536/-2371.87522*100)</f>
        <v>29.067522363170522</v>
      </c>
    </row>
    <row r="95" spans="1:4" x14ac:dyDescent="0.25">
      <c r="A95" s="68" t="s">
        <v>107</v>
      </c>
      <c r="B95" s="57">
        <v>90.367999999999995</v>
      </c>
      <c r="C95" s="57">
        <v>-553.17633000000001</v>
      </c>
      <c r="D95" s="57" t="s">
        <v>382</v>
      </c>
    </row>
    <row r="96" spans="1:4" x14ac:dyDescent="0.25">
      <c r="A96" s="68" t="s">
        <v>308</v>
      </c>
      <c r="B96" s="57">
        <v>4063.1534999999999</v>
      </c>
      <c r="C96" s="57">
        <v>-515.97950000000003</v>
      </c>
      <c r="D96" s="57" t="s">
        <v>382</v>
      </c>
    </row>
    <row r="97" spans="1:4" x14ac:dyDescent="0.25">
      <c r="A97" s="68" t="s">
        <v>103</v>
      </c>
      <c r="B97" s="57">
        <v>-283.39220999999998</v>
      </c>
      <c r="C97" s="57">
        <v>-478.06263000000001</v>
      </c>
      <c r="D97" s="57" t="s">
        <v>341</v>
      </c>
    </row>
    <row r="98" spans="1:4" x14ac:dyDescent="0.25">
      <c r="A98" s="68" t="s">
        <v>326</v>
      </c>
      <c r="B98" s="57">
        <v>98.515810000000002</v>
      </c>
      <c r="C98" s="57">
        <v>-462.54766000000001</v>
      </c>
      <c r="D98" s="57" t="s">
        <v>382</v>
      </c>
    </row>
    <row r="99" spans="1:4" x14ac:dyDescent="0.25">
      <c r="A99" s="68" t="s">
        <v>286</v>
      </c>
      <c r="B99" s="57">
        <v>-784.24941999999999</v>
      </c>
      <c r="C99" s="57">
        <v>-408.80338</v>
      </c>
      <c r="D99" s="57">
        <f>IF(OR(-784.24942="",-408.80338="",-784.24942=0),"-",-408.80338/-784.24942*100)</f>
        <v>52.126704792462583</v>
      </c>
    </row>
    <row r="100" spans="1:4" x14ac:dyDescent="0.25">
      <c r="A100" s="68" t="s">
        <v>85</v>
      </c>
      <c r="B100" s="57">
        <v>-549.33327999999995</v>
      </c>
      <c r="C100" s="57">
        <v>-364.71433999999999</v>
      </c>
      <c r="D100" s="57">
        <f>IF(OR(-549.33328="",-364.71434="",-549.33328=0),"-",-364.71434/-549.33328*100)</f>
        <v>66.392179989532039</v>
      </c>
    </row>
    <row r="101" spans="1:4" x14ac:dyDescent="0.25">
      <c r="A101" s="68" t="s">
        <v>273</v>
      </c>
      <c r="B101" s="58">
        <v>-47.633789999999998</v>
      </c>
      <c r="C101" s="57">
        <v>-331.096</v>
      </c>
      <c r="D101" s="57" t="s">
        <v>386</v>
      </c>
    </row>
    <row r="102" spans="1:4" x14ac:dyDescent="0.25">
      <c r="A102" s="68" t="s">
        <v>79</v>
      </c>
      <c r="B102" s="58">
        <v>-1232.80413</v>
      </c>
      <c r="C102" s="57">
        <v>-326.27562999999998</v>
      </c>
      <c r="D102" s="57">
        <f>IF(OR(-1232.80413="",-326.27563="",-1232.80413=0),"-",-326.27563/-1232.80413*100)</f>
        <v>26.466137001017348</v>
      </c>
    </row>
    <row r="103" spans="1:4" x14ac:dyDescent="0.25">
      <c r="A103" s="68" t="s">
        <v>91</v>
      </c>
      <c r="B103" s="57">
        <v>-932.95270000000005</v>
      </c>
      <c r="C103" s="57">
        <v>-319.41336999999999</v>
      </c>
      <c r="D103" s="57">
        <f>IF(OR(-932.9527="",-319.41337="",-932.9527=0),"-",-319.41337/-932.9527*100)</f>
        <v>34.236823581731421</v>
      </c>
    </row>
    <row r="104" spans="1:4" x14ac:dyDescent="0.25">
      <c r="A104" s="70" t="s">
        <v>108</v>
      </c>
      <c r="B104" s="58">
        <v>-293.85998999999998</v>
      </c>
      <c r="C104" s="58">
        <v>-288.60888</v>
      </c>
      <c r="D104" s="57">
        <f>IF(OR(-293.85999="",-288.60888="",-293.85999=0),"-",-288.60888/-293.85999*100)</f>
        <v>98.213057177331279</v>
      </c>
    </row>
    <row r="105" spans="1:4" x14ac:dyDescent="0.25">
      <c r="A105" s="70" t="s">
        <v>294</v>
      </c>
      <c r="B105" s="58">
        <v>-145.87554</v>
      </c>
      <c r="C105" s="58">
        <v>-230.81845999999999</v>
      </c>
      <c r="D105" s="57">
        <f>IF(OR(-145.87554="",-230.81846="",-145.87554=0),"-",-230.81846/-145.87554*100)</f>
        <v>158.22972103479444</v>
      </c>
    </row>
    <row r="106" spans="1:4" x14ac:dyDescent="0.25">
      <c r="A106" s="68" t="s">
        <v>289</v>
      </c>
      <c r="B106" s="57">
        <v>-147.90678</v>
      </c>
      <c r="C106" s="57">
        <v>-228.79688999999999</v>
      </c>
      <c r="D106" s="57">
        <f>IF(OR(-147.90678="",-228.79689="",-147.90678=0),"-",-228.79689/-147.90678*100)</f>
        <v>154.68992699320475</v>
      </c>
    </row>
    <row r="107" spans="1:4" x14ac:dyDescent="0.25">
      <c r="A107" s="68" t="s">
        <v>93</v>
      </c>
      <c r="B107" s="57">
        <v>-140.01972000000001</v>
      </c>
      <c r="C107" s="57">
        <v>-205.32490000000001</v>
      </c>
      <c r="D107" s="57">
        <f>IF(OR(-140.01972="",-205.3249="",-140.01972=0),"-",-205.3249/-140.01972*100)</f>
        <v>146.63998756746551</v>
      </c>
    </row>
    <row r="108" spans="1:4" x14ac:dyDescent="0.25">
      <c r="A108" s="68" t="s">
        <v>109</v>
      </c>
      <c r="B108" s="57">
        <v>45.044890000000002</v>
      </c>
      <c r="C108" s="57">
        <v>-169.93253000000001</v>
      </c>
      <c r="D108" s="57" t="s">
        <v>382</v>
      </c>
    </row>
    <row r="109" spans="1:4" x14ac:dyDescent="0.25">
      <c r="A109" s="68" t="s">
        <v>295</v>
      </c>
      <c r="B109" s="57">
        <v>-181.56146000000001</v>
      </c>
      <c r="C109" s="57">
        <v>-169.03613000000001</v>
      </c>
      <c r="D109" s="57">
        <f>IF(OR(-181.56146="",-169.03613="",-181.56146=0),"-",-169.03613/-181.56146*100)</f>
        <v>93.101327781788058</v>
      </c>
    </row>
    <row r="110" spans="1:4" x14ac:dyDescent="0.25">
      <c r="A110" s="68" t="s">
        <v>287</v>
      </c>
      <c r="B110" s="57">
        <v>-2.48489</v>
      </c>
      <c r="C110" s="57">
        <v>-138.52921000000001</v>
      </c>
      <c r="D110" s="57" t="s">
        <v>377</v>
      </c>
    </row>
    <row r="111" spans="1:4" x14ac:dyDescent="0.25">
      <c r="A111" s="68" t="s">
        <v>296</v>
      </c>
      <c r="B111" s="57">
        <v>-225.33373</v>
      </c>
      <c r="C111" s="57">
        <v>-131.52865</v>
      </c>
      <c r="D111" s="57">
        <f>IF(OR(-225.33373="",-131.52865="",-225.33373=0),"-",-131.52865/-225.33373*100)</f>
        <v>58.370599909742758</v>
      </c>
    </row>
    <row r="112" spans="1:4" x14ac:dyDescent="0.25">
      <c r="A112" s="68" t="s">
        <v>261</v>
      </c>
      <c r="B112" s="57">
        <v>-76.873390000000001</v>
      </c>
      <c r="C112" s="57">
        <v>-119.85353000000001</v>
      </c>
      <c r="D112" s="57">
        <f>IF(OR(-76.87339="",-119.85353="",-76.87339=0),"-",-119.85353/-76.87339*100)</f>
        <v>155.91029613758417</v>
      </c>
    </row>
    <row r="113" spans="1:4" x14ac:dyDescent="0.25">
      <c r="A113" s="70" t="s">
        <v>339</v>
      </c>
      <c r="B113" s="58">
        <v>0.47361999999999999</v>
      </c>
      <c r="C113" s="58">
        <v>-103.80409</v>
      </c>
      <c r="D113" s="57" t="s">
        <v>382</v>
      </c>
    </row>
    <row r="114" spans="1:4" x14ac:dyDescent="0.25">
      <c r="A114" s="68" t="s">
        <v>180</v>
      </c>
      <c r="B114" s="57">
        <v>266.80705</v>
      </c>
      <c r="C114" s="57">
        <v>-92.419439999999994</v>
      </c>
      <c r="D114" s="57" t="s">
        <v>382</v>
      </c>
    </row>
    <row r="115" spans="1:4" x14ac:dyDescent="0.25">
      <c r="A115" s="68" t="s">
        <v>306</v>
      </c>
      <c r="B115" s="57">
        <v>127.41077</v>
      </c>
      <c r="C115" s="57">
        <v>-92.265879999999996</v>
      </c>
      <c r="D115" s="57" t="s">
        <v>382</v>
      </c>
    </row>
    <row r="116" spans="1:4" x14ac:dyDescent="0.25">
      <c r="A116" s="68" t="s">
        <v>293</v>
      </c>
      <c r="B116" s="57">
        <v>-55.815750000000001</v>
      </c>
      <c r="C116" s="57">
        <v>-82.438310000000001</v>
      </c>
      <c r="D116" s="57">
        <f>IF(OR(-55.81575="",-82.43831="",-55.81575=0),"-",-82.43831/-55.81575*100)</f>
        <v>147.6972180791264</v>
      </c>
    </row>
    <row r="117" spans="1:4" x14ac:dyDescent="0.25">
      <c r="A117" s="68" t="s">
        <v>288</v>
      </c>
      <c r="B117" s="57">
        <v>-23.35324</v>
      </c>
      <c r="C117" s="57">
        <v>-78.274029999999996</v>
      </c>
      <c r="D117" s="57" t="s">
        <v>380</v>
      </c>
    </row>
    <row r="118" spans="1:4" x14ac:dyDescent="0.25">
      <c r="A118" s="68" t="s">
        <v>297</v>
      </c>
      <c r="B118" s="58">
        <v>-92.182869999999994</v>
      </c>
      <c r="C118" s="57">
        <v>-75.096729999999994</v>
      </c>
      <c r="D118" s="57">
        <f>IF(OR(-92.18287="",-75.09673="",-92.18287=0),"-",-75.09673/-92.18287*100)</f>
        <v>81.464951134630553</v>
      </c>
    </row>
    <row r="119" spans="1:4" x14ac:dyDescent="0.25">
      <c r="A119" s="68" t="s">
        <v>327</v>
      </c>
      <c r="B119" s="57">
        <v>-57.779629999999997</v>
      </c>
      <c r="C119" s="57">
        <v>-71.051069999999996</v>
      </c>
      <c r="D119" s="57">
        <f>IF(OR(-57.77963="",-71.05107="",-57.77963=0),"-",-71.05107/-57.77963*100)</f>
        <v>122.96906366482443</v>
      </c>
    </row>
    <row r="120" spans="1:4" x14ac:dyDescent="0.25">
      <c r="A120" s="68" t="s">
        <v>305</v>
      </c>
      <c r="B120" s="57">
        <v>-33.920470000000002</v>
      </c>
      <c r="C120" s="57">
        <v>-68.90258</v>
      </c>
      <c r="D120" s="57" t="s">
        <v>367</v>
      </c>
    </row>
    <row r="121" spans="1:4" x14ac:dyDescent="0.25">
      <c r="A121" s="68" t="s">
        <v>298</v>
      </c>
      <c r="B121" s="57">
        <v>-47.635390000000001</v>
      </c>
      <c r="C121" s="57">
        <v>-62.795369999999998</v>
      </c>
      <c r="D121" s="57">
        <f>IF(OR(-47.63539="",-62.79537="",-47.63539=0),"-",-62.79537/-47.63539*100)</f>
        <v>131.82503596590684</v>
      </c>
    </row>
    <row r="122" spans="1:4" x14ac:dyDescent="0.25">
      <c r="A122" s="70" t="s">
        <v>329</v>
      </c>
      <c r="B122" s="58">
        <v>-74.815740000000005</v>
      </c>
      <c r="C122" s="58">
        <v>-62.427610000000001</v>
      </c>
      <c r="D122" s="57">
        <f>IF(OR(-74.81574="",-62.42761="",-74.81574=0),"-",-62.42761/-74.81574*100)</f>
        <v>83.44181317995384</v>
      </c>
    </row>
    <row r="123" spans="1:4" x14ac:dyDescent="0.25">
      <c r="A123" s="68" t="s">
        <v>328</v>
      </c>
      <c r="B123" s="57">
        <v>-21.99315</v>
      </c>
      <c r="C123" s="57">
        <v>-61.726300000000002</v>
      </c>
      <c r="D123" s="57" t="s">
        <v>381</v>
      </c>
    </row>
    <row r="124" spans="1:4" x14ac:dyDescent="0.25">
      <c r="A124" s="68" t="s">
        <v>285</v>
      </c>
      <c r="B124" s="57">
        <v>-175.30394999999999</v>
      </c>
      <c r="C124" s="57">
        <v>50.252049999999997</v>
      </c>
      <c r="D124" s="57" t="s">
        <v>382</v>
      </c>
    </row>
    <row r="125" spans="1:4" x14ac:dyDescent="0.25">
      <c r="A125" s="68" t="s">
        <v>274</v>
      </c>
      <c r="B125" s="57">
        <v>227.77484000000001</v>
      </c>
      <c r="C125" s="57">
        <v>55.407249999999998</v>
      </c>
      <c r="D125" s="57">
        <f>IF(OR(227.77484="",55.40725="",227.77484=0),"-",55.40725/227.77484*100)</f>
        <v>24.325447885288821</v>
      </c>
    </row>
    <row r="126" spans="1:4" x14ac:dyDescent="0.25">
      <c r="A126" s="68" t="s">
        <v>283</v>
      </c>
      <c r="B126" s="57">
        <v>107.67785000000001</v>
      </c>
      <c r="C126" s="57">
        <v>82.436719999999994</v>
      </c>
      <c r="D126" s="57">
        <f>IF(OR(107.67785="",82.43672="",107.67785=0),"-",82.43672/107.67785*100)</f>
        <v>76.558660857362952</v>
      </c>
    </row>
    <row r="127" spans="1:4" x14ac:dyDescent="0.25">
      <c r="A127" s="68" t="s">
        <v>324</v>
      </c>
      <c r="B127" s="57" t="s">
        <v>276</v>
      </c>
      <c r="C127" s="57">
        <v>111.00945</v>
      </c>
      <c r="D127" s="57" t="str">
        <f>IF(OR(0="",111.00945="",0=0),"-",111.00945/0*100)</f>
        <v>-</v>
      </c>
    </row>
    <row r="128" spans="1:4" x14ac:dyDescent="0.25">
      <c r="A128" s="68" t="s">
        <v>292</v>
      </c>
      <c r="B128" s="57">
        <v>117.50088</v>
      </c>
      <c r="C128" s="57">
        <v>113.18004000000001</v>
      </c>
      <c r="D128" s="57">
        <f>IF(OR(117.50088="",113.18004="",117.50088=0),"-",113.18004/117.50088*100)</f>
        <v>96.322716902205343</v>
      </c>
    </row>
    <row r="129" spans="1:5" x14ac:dyDescent="0.25">
      <c r="A129" s="68" t="s">
        <v>301</v>
      </c>
      <c r="B129" s="58">
        <v>0.91564000000000001</v>
      </c>
      <c r="C129" s="57">
        <v>134.45276000000001</v>
      </c>
      <c r="D129" s="57" t="s">
        <v>387</v>
      </c>
    </row>
    <row r="130" spans="1:5" x14ac:dyDescent="0.25">
      <c r="A130" s="68" t="s">
        <v>300</v>
      </c>
      <c r="B130" s="57">
        <v>-0.9</v>
      </c>
      <c r="C130" s="57">
        <v>162.27208999999999</v>
      </c>
      <c r="D130" s="57" t="s">
        <v>382</v>
      </c>
    </row>
    <row r="131" spans="1:5" x14ac:dyDescent="0.25">
      <c r="A131" s="68" t="s">
        <v>291</v>
      </c>
      <c r="B131" s="58">
        <v>39.533410000000003</v>
      </c>
      <c r="C131" s="57">
        <v>164.60524000000001</v>
      </c>
      <c r="D131" s="57" t="s">
        <v>363</v>
      </c>
    </row>
    <row r="132" spans="1:5" x14ac:dyDescent="0.25">
      <c r="A132" s="68" t="s">
        <v>104</v>
      </c>
      <c r="B132" s="57">
        <v>349.86164000000002</v>
      </c>
      <c r="C132" s="57">
        <v>170.30425</v>
      </c>
      <c r="D132" s="57">
        <f>IF(OR(349.86164="",170.30425="",349.86164=0),"-",170.30425/349.86164*100)</f>
        <v>48.677600093568415</v>
      </c>
    </row>
    <row r="133" spans="1:5" x14ac:dyDescent="0.25">
      <c r="A133" s="68" t="s">
        <v>278</v>
      </c>
      <c r="B133" s="57" t="s">
        <v>276</v>
      </c>
      <c r="C133" s="57">
        <v>175.10164</v>
      </c>
      <c r="D133" s="57" t="str">
        <f>IF(OR(0="",175.10164="",0=0),"-",175.10164/0*100)</f>
        <v>-</v>
      </c>
    </row>
    <row r="134" spans="1:5" x14ac:dyDescent="0.25">
      <c r="A134" s="70" t="s">
        <v>299</v>
      </c>
      <c r="B134" s="58">
        <v>176.90536</v>
      </c>
      <c r="C134" s="58">
        <v>215.64302000000001</v>
      </c>
      <c r="D134" s="57">
        <f>IF(OR(176.90536="",215.64302="",176.90536=0),"-",215.64302/176.90536*100)</f>
        <v>121.89739191622007</v>
      </c>
    </row>
    <row r="135" spans="1:5" x14ac:dyDescent="0.25">
      <c r="A135" s="70" t="s">
        <v>284</v>
      </c>
      <c r="B135" s="58">
        <v>100.9478</v>
      </c>
      <c r="C135" s="58">
        <v>224.83832000000001</v>
      </c>
      <c r="D135" s="57" t="s">
        <v>362</v>
      </c>
    </row>
    <row r="136" spans="1:5" x14ac:dyDescent="0.25">
      <c r="A136" s="70" t="s">
        <v>275</v>
      </c>
      <c r="B136" s="58">
        <v>-0.19067999999999999</v>
      </c>
      <c r="C136" s="58">
        <v>280.89094</v>
      </c>
      <c r="D136" s="57" t="s">
        <v>382</v>
      </c>
      <c r="E136" s="8"/>
    </row>
    <row r="137" spans="1:5" x14ac:dyDescent="0.25">
      <c r="A137" s="68" t="s">
        <v>280</v>
      </c>
      <c r="B137" s="57">
        <v>2.76335</v>
      </c>
      <c r="C137" s="57">
        <v>411.05941000000001</v>
      </c>
      <c r="D137" s="57" t="s">
        <v>388</v>
      </c>
    </row>
    <row r="138" spans="1:5" x14ac:dyDescent="0.25">
      <c r="A138" s="68" t="s">
        <v>269</v>
      </c>
      <c r="B138" s="57">
        <v>634.24797000000001</v>
      </c>
      <c r="C138" s="57">
        <v>454.88204999999999</v>
      </c>
      <c r="D138" s="57">
        <f>IF(OR(634.24797="",454.88205="",634.24797=0),"-",454.88205/634.24797*100)</f>
        <v>71.719906332534251</v>
      </c>
    </row>
    <row r="139" spans="1:5" x14ac:dyDescent="0.25">
      <c r="A139" s="68" t="s">
        <v>111</v>
      </c>
      <c r="B139" s="57">
        <v>493.62385</v>
      </c>
      <c r="C139" s="57">
        <v>465.69828000000001</v>
      </c>
      <c r="D139" s="57">
        <f>IF(OR(493.62385="",465.69828="",493.62385=0),"-",465.69828/493.62385*100)</f>
        <v>94.342742961062356</v>
      </c>
    </row>
    <row r="140" spans="1:5" x14ac:dyDescent="0.25">
      <c r="A140" s="68" t="s">
        <v>323</v>
      </c>
      <c r="B140" s="57">
        <v>-0.20194000000000001</v>
      </c>
      <c r="C140" s="57">
        <v>669.88760000000002</v>
      </c>
      <c r="D140" s="57" t="s">
        <v>382</v>
      </c>
    </row>
    <row r="141" spans="1:5" x14ac:dyDescent="0.25">
      <c r="A141" s="68" t="s">
        <v>116</v>
      </c>
      <c r="B141" s="57">
        <v>487.15267</v>
      </c>
      <c r="C141" s="57">
        <v>677.54165</v>
      </c>
      <c r="D141" s="57">
        <f>IF(OR(487.15267="",677.54165="",487.15267=0),"-",677.54165/487.15267*100)</f>
        <v>139.0819945624028</v>
      </c>
    </row>
    <row r="142" spans="1:5" x14ac:dyDescent="0.25">
      <c r="A142" s="68" t="s">
        <v>118</v>
      </c>
      <c r="B142" s="57">
        <v>861.29323999999997</v>
      </c>
      <c r="C142" s="57">
        <v>748.88133000000005</v>
      </c>
      <c r="D142" s="57">
        <f>IF(OR(861.29324="",748.88133="",861.29324=0),"-",748.88133/861.29324*100)</f>
        <v>86.948474134082375</v>
      </c>
    </row>
    <row r="143" spans="1:5" x14ac:dyDescent="0.25">
      <c r="A143" s="68" t="s">
        <v>70</v>
      </c>
      <c r="B143" s="57">
        <v>1584.51782</v>
      </c>
      <c r="C143" s="57">
        <v>906.95894999999996</v>
      </c>
      <c r="D143" s="57">
        <f>IF(OR(1584.51782="",906.95895="",1584.51782=0),"-",906.95895/1584.51782*100)</f>
        <v>57.238797730908445</v>
      </c>
    </row>
    <row r="144" spans="1:5" x14ac:dyDescent="0.25">
      <c r="A144" s="68" t="s">
        <v>87</v>
      </c>
      <c r="B144" s="57">
        <v>1180.47957</v>
      </c>
      <c r="C144" s="57">
        <v>1099.91868</v>
      </c>
      <c r="D144" s="57">
        <f>IF(OR(1180.47957="",1099.91868="",1180.47957=0),"-",1099.91868/1180.47957*100)</f>
        <v>93.175579480803734</v>
      </c>
    </row>
    <row r="145" spans="1:7" x14ac:dyDescent="0.25">
      <c r="A145" s="68" t="s">
        <v>290</v>
      </c>
      <c r="B145" s="57">
        <v>48.742350000000002</v>
      </c>
      <c r="C145" s="57">
        <v>1748.5465099999999</v>
      </c>
      <c r="D145" s="57" t="s">
        <v>355</v>
      </c>
    </row>
    <row r="146" spans="1:7" x14ac:dyDescent="0.25">
      <c r="A146" s="70" t="s">
        <v>279</v>
      </c>
      <c r="B146" s="58">
        <v>-26.840620000000001</v>
      </c>
      <c r="C146" s="58">
        <v>2953.4653699999999</v>
      </c>
      <c r="D146" s="57" t="s">
        <v>382</v>
      </c>
    </row>
    <row r="147" spans="1:7" x14ac:dyDescent="0.25">
      <c r="A147" s="68" t="s">
        <v>51</v>
      </c>
      <c r="B147" s="57">
        <v>5812.1190299999998</v>
      </c>
      <c r="C147" s="57">
        <v>3595.4441999999999</v>
      </c>
      <c r="D147" s="57">
        <f>IF(OR(5812.11903="",3595.4442="",5812.11903=0),"-",3595.4442/5812.11903*100)</f>
        <v>61.861159096048311</v>
      </c>
    </row>
    <row r="148" spans="1:7" x14ac:dyDescent="0.25">
      <c r="A148" s="68" t="s">
        <v>62</v>
      </c>
      <c r="B148" s="57">
        <v>3016.79007</v>
      </c>
      <c r="C148" s="57">
        <v>4096.1084600000004</v>
      </c>
      <c r="D148" s="57">
        <f>IF(OR(3016.79007="",4096.10846="",3016.79007=0),"-",4096.10846/3016.79007*100)</f>
        <v>135.7770466275766</v>
      </c>
    </row>
    <row r="149" spans="1:7" x14ac:dyDescent="0.25">
      <c r="A149" s="68" t="s">
        <v>57</v>
      </c>
      <c r="B149" s="57">
        <v>2515.8485999999998</v>
      </c>
      <c r="C149" s="57">
        <v>5661.5267000000003</v>
      </c>
      <c r="D149" s="57" t="s">
        <v>347</v>
      </c>
    </row>
    <row r="150" spans="1:7" x14ac:dyDescent="0.25">
      <c r="A150" s="68" t="s">
        <v>52</v>
      </c>
      <c r="B150" s="57">
        <v>11050.177369999999</v>
      </c>
      <c r="C150" s="57">
        <v>5784.0981400000001</v>
      </c>
      <c r="D150" s="57">
        <f>IF(OR(11050.17737="",5784.09814="",11050.17737=0),"-",5784.09814/11050.17737*100)</f>
        <v>52.343939344387195</v>
      </c>
    </row>
    <row r="151" spans="1:7" x14ac:dyDescent="0.25">
      <c r="A151" s="71" t="s">
        <v>54</v>
      </c>
      <c r="B151" s="59">
        <v>15334.255300000001</v>
      </c>
      <c r="C151" s="59">
        <v>26327.455669999999</v>
      </c>
      <c r="D151" s="59" t="s">
        <v>341</v>
      </c>
    </row>
    <row r="152" spans="1:7" s="21" customFormat="1" ht="15" customHeight="1" x14ac:dyDescent="0.2">
      <c r="A152" s="9" t="s">
        <v>256</v>
      </c>
      <c r="B152" s="10"/>
      <c r="C152" s="11"/>
      <c r="D152" s="10"/>
      <c r="E152" s="10"/>
      <c r="F152" s="20"/>
      <c r="G152" s="20"/>
    </row>
  </sheetData>
  <sortState xmlns:xlrd2="http://schemas.microsoft.com/office/spreadsheetml/2017/richdata2" ref="A48:E105">
    <sortCondition ref="C48:C105"/>
  </sortState>
  <mergeCells count="5">
    <mergeCell ref="A1:D1"/>
    <mergeCell ref="A2:D2"/>
    <mergeCell ref="B3:C3"/>
    <mergeCell ref="D3:D4"/>
    <mergeCell ref="A3:A4"/>
  </mergeCells>
  <phoneticPr fontId="3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J40"/>
  <sheetViews>
    <sheetView workbookViewId="0">
      <selection sqref="A1:F1"/>
    </sheetView>
  </sheetViews>
  <sheetFormatPr defaultRowHeight="15.75" x14ac:dyDescent="0.25"/>
  <cols>
    <col min="1" max="1" width="24.625" style="26" customWidth="1"/>
    <col min="2" max="2" width="12" style="26" customWidth="1"/>
    <col min="3" max="3" width="11.75" style="26" customWidth="1"/>
    <col min="4" max="4" width="13.625" style="26" customWidth="1"/>
    <col min="5" max="5" width="10.5" style="26" customWidth="1"/>
    <col min="6" max="6" width="10" style="26" customWidth="1"/>
    <col min="7" max="10" width="9" style="26"/>
  </cols>
  <sheetData>
    <row r="1" spans="1:10" s="29" customFormat="1" ht="15" customHeight="1" x14ac:dyDescent="0.2">
      <c r="A1" s="112" t="s">
        <v>311</v>
      </c>
      <c r="B1" s="112"/>
      <c r="C1" s="112"/>
      <c r="D1" s="112"/>
      <c r="E1" s="112"/>
      <c r="F1" s="112"/>
      <c r="G1" s="28"/>
      <c r="H1" s="28"/>
      <c r="I1" s="28"/>
      <c r="J1" s="28"/>
    </row>
    <row r="2" spans="1:10" x14ac:dyDescent="0.25">
      <c r="A2" s="130"/>
      <c r="B2" s="130"/>
      <c r="C2" s="130"/>
      <c r="D2" s="130"/>
      <c r="E2" s="130"/>
      <c r="F2" s="130"/>
    </row>
    <row r="3" spans="1:10" ht="18.75" customHeight="1" x14ac:dyDescent="0.25">
      <c r="A3" s="113"/>
      <c r="B3" s="115" t="s">
        <v>398</v>
      </c>
      <c r="C3" s="122"/>
      <c r="D3" s="120" t="s">
        <v>400</v>
      </c>
      <c r="E3" s="115" t="s">
        <v>94</v>
      </c>
      <c r="F3" s="129"/>
    </row>
    <row r="4" spans="1:10" ht="44.25" customHeight="1" x14ac:dyDescent="0.25">
      <c r="A4" s="114"/>
      <c r="B4" s="13" t="s">
        <v>334</v>
      </c>
      <c r="C4" s="13" t="s">
        <v>335</v>
      </c>
      <c r="D4" s="121"/>
      <c r="E4" s="13" t="s">
        <v>334</v>
      </c>
      <c r="F4" s="12" t="s">
        <v>335</v>
      </c>
    </row>
    <row r="5" spans="1:10" s="29" customFormat="1" ht="15.75" customHeight="1" x14ac:dyDescent="0.2">
      <c r="A5" s="92" t="s">
        <v>110</v>
      </c>
      <c r="B5" s="85">
        <v>3277823.2474600002</v>
      </c>
      <c r="C5" s="85">
        <v>3014879.3503700001</v>
      </c>
      <c r="D5" s="84">
        <f>C5/B5*100</f>
        <v>91.978094081376824</v>
      </c>
      <c r="E5" s="84">
        <v>100</v>
      </c>
      <c r="F5" s="84">
        <v>100</v>
      </c>
      <c r="G5" s="28"/>
      <c r="H5" s="28"/>
      <c r="I5" s="28"/>
      <c r="J5" s="28"/>
    </row>
    <row r="6" spans="1:10" ht="15.75" customHeight="1" x14ac:dyDescent="0.25">
      <c r="A6" s="66" t="s">
        <v>105</v>
      </c>
      <c r="B6" s="86"/>
      <c r="C6" s="87"/>
      <c r="D6" s="84"/>
      <c r="E6" s="74"/>
      <c r="F6" s="74"/>
    </row>
    <row r="7" spans="1:10" x14ac:dyDescent="0.25">
      <c r="A7" s="66" t="s">
        <v>95</v>
      </c>
      <c r="B7" s="86">
        <v>462107.65717999998</v>
      </c>
      <c r="C7" s="64">
        <v>404068.86291000003</v>
      </c>
      <c r="D7" s="75">
        <f t="shared" ref="D7:D38" si="0">C7/B7*100</f>
        <v>87.440417104494614</v>
      </c>
      <c r="E7" s="75">
        <f>IF(462107.65718="","-",462107.65718/3277823.24746*100)</f>
        <v>14.098004141562217</v>
      </c>
      <c r="F7" s="75">
        <f>IF(404068.86291="","-",404068.86291/3014879.35037*100)</f>
        <v>13.402488655488346</v>
      </c>
    </row>
    <row r="8" spans="1:10" x14ac:dyDescent="0.25">
      <c r="A8" s="66" t="s">
        <v>96</v>
      </c>
      <c r="B8" s="86">
        <v>288438.44639</v>
      </c>
      <c r="C8" s="64">
        <v>90745.112720000005</v>
      </c>
      <c r="D8" s="75">
        <f t="shared" si="0"/>
        <v>31.460824261028918</v>
      </c>
      <c r="E8" s="75">
        <f>IF(288438.44639="","-",288438.44639/3277823.24746*100)</f>
        <v>8.7996949382036469</v>
      </c>
      <c r="F8" s="75">
        <f>IF(90745.11272="","-",90745.11272/3014879.35037*100)</f>
        <v>3.0099085958071035</v>
      </c>
    </row>
    <row r="9" spans="1:10" x14ac:dyDescent="0.25">
      <c r="A9" s="66" t="s">
        <v>97</v>
      </c>
      <c r="B9" s="86">
        <v>2482613.51987</v>
      </c>
      <c r="C9" s="64">
        <v>2453929.8928899998</v>
      </c>
      <c r="D9" s="75">
        <f t="shared" si="0"/>
        <v>98.84461972230369</v>
      </c>
      <c r="E9" s="75">
        <f>IF(2482613.51987="","-",2482613.51987/3277823.24746*100)</f>
        <v>75.739700784469946</v>
      </c>
      <c r="F9" s="75">
        <f>IF(2453929.89289="","-",2453929.89289/3014879.35037*100)</f>
        <v>81.393966647084639</v>
      </c>
    </row>
    <row r="10" spans="1:10" x14ac:dyDescent="0.25">
      <c r="A10" s="66" t="s">
        <v>98</v>
      </c>
      <c r="B10" s="86">
        <v>29166.897929999999</v>
      </c>
      <c r="C10" s="64">
        <v>31756.86778</v>
      </c>
      <c r="D10" s="75">
        <f t="shared" si="0"/>
        <v>108.87982622017563</v>
      </c>
      <c r="E10" s="75">
        <f>IF(29166.89793="","-",29166.89793/3277823.24746*100)</f>
        <v>0.88982522021593313</v>
      </c>
      <c r="F10" s="75">
        <f>IF(31756.86778="","-",31756.86778/3014879.35037*100)</f>
        <v>1.0533379312874542</v>
      </c>
    </row>
    <row r="11" spans="1:10" x14ac:dyDescent="0.25">
      <c r="A11" s="66" t="s">
        <v>99</v>
      </c>
      <c r="B11" s="86">
        <v>1026.29766</v>
      </c>
      <c r="C11" s="64">
        <v>752.49977999999999</v>
      </c>
      <c r="D11" s="75">
        <f t="shared" si="0"/>
        <v>73.321786585774746</v>
      </c>
      <c r="E11" s="75">
        <f>IF(1026.29766="","-",1026.29766/3277823.24746*100)</f>
        <v>3.1310341727403469E-2</v>
      </c>
      <c r="F11" s="75">
        <f>IF(752.49978="","-",752.49978/3014879.35037*100)</f>
        <v>2.4959532125477916E-2</v>
      </c>
    </row>
    <row r="12" spans="1:10" x14ac:dyDescent="0.25">
      <c r="A12" s="66" t="s">
        <v>100</v>
      </c>
      <c r="B12" s="86">
        <v>14240.983050000001</v>
      </c>
      <c r="C12" s="64">
        <v>32389.87542</v>
      </c>
      <c r="D12" s="75" t="s">
        <v>347</v>
      </c>
      <c r="E12" s="75">
        <f>IF(14240.98305="","-",14240.98305/3277823.24746*100)</f>
        <v>0.43446464238227006</v>
      </c>
      <c r="F12" s="75">
        <f>IF(32389.87542="","-",32389.87542/3014879.35037*100)</f>
        <v>1.0743340497531009</v>
      </c>
    </row>
    <row r="13" spans="1:10" x14ac:dyDescent="0.25">
      <c r="A13" s="66" t="s">
        <v>101</v>
      </c>
      <c r="B13" s="86">
        <v>229.44538</v>
      </c>
      <c r="C13" s="64">
        <v>1236.2388699999999</v>
      </c>
      <c r="D13" s="75" t="s">
        <v>389</v>
      </c>
      <c r="E13" s="75">
        <f>IF(229.44538="","-",229.44538/3277823.24746*100)</f>
        <v>6.9999314385788877E-3</v>
      </c>
      <c r="F13" s="75">
        <f>IF(1236.23887="","-",1236.23887/3014879.35037*100)</f>
        <v>4.1004588453872393E-2</v>
      </c>
    </row>
    <row r="14" spans="1:10" x14ac:dyDescent="0.25">
      <c r="A14" s="67" t="s">
        <v>177</v>
      </c>
      <c r="B14" s="88">
        <v>1941264.7689</v>
      </c>
      <c r="C14" s="83">
        <v>1925944.95952</v>
      </c>
      <c r="D14" s="74">
        <f t="shared" si="0"/>
        <v>99.210833595425484</v>
      </c>
      <c r="E14" s="74">
        <f>IF(1941264.7689="","-",1941264.7689/3277823.24746*100)</f>
        <v>59.224205283317055</v>
      </c>
      <c r="F14" s="74">
        <f>IF(1925944.95952="","-",1925944.95952/3014879.35037*100)</f>
        <v>63.881327764696096</v>
      </c>
    </row>
    <row r="15" spans="1:10" x14ac:dyDescent="0.25">
      <c r="A15" s="66" t="s">
        <v>105</v>
      </c>
      <c r="B15" s="86"/>
      <c r="C15" s="83"/>
      <c r="D15" s="84"/>
      <c r="E15" s="74"/>
      <c r="F15" s="74"/>
    </row>
    <row r="16" spans="1:10" x14ac:dyDescent="0.25">
      <c r="A16" s="66" t="s">
        <v>95</v>
      </c>
      <c r="B16" s="86">
        <v>309282.44692000002</v>
      </c>
      <c r="C16" s="64">
        <v>308026.62384000001</v>
      </c>
      <c r="D16" s="75">
        <f t="shared" si="0"/>
        <v>99.59395591553735</v>
      </c>
      <c r="E16" s="75">
        <f>IF(309282.44692="","-",309282.44692/3277823.24746*100)</f>
        <v>9.4356047770319638</v>
      </c>
      <c r="F16" s="75">
        <f>IF(308026.62384="","-",308026.62384/3014879.35037*100)</f>
        <v>10.216880612559091</v>
      </c>
    </row>
    <row r="17" spans="1:7" x14ac:dyDescent="0.25">
      <c r="A17" s="66" t="s">
        <v>96</v>
      </c>
      <c r="B17" s="86">
        <v>47087.600449999998</v>
      </c>
      <c r="C17" s="64">
        <v>41527.645969999998</v>
      </c>
      <c r="D17" s="75">
        <f t="shared" si="0"/>
        <v>88.192317240918143</v>
      </c>
      <c r="E17" s="75">
        <f>IF(47087.60045="","-",47087.60045/3277823.24746*100)</f>
        <v>1.4365509331989876</v>
      </c>
      <c r="F17" s="75">
        <f>IF(41527.64597="","-",41527.64597/3014879.35037*100)</f>
        <v>1.3774231451385783</v>
      </c>
    </row>
    <row r="18" spans="1:7" x14ac:dyDescent="0.25">
      <c r="A18" s="66" t="s">
        <v>97</v>
      </c>
      <c r="B18" s="86">
        <v>1579586.4835300001</v>
      </c>
      <c r="C18" s="64">
        <v>1555437.5525700001</v>
      </c>
      <c r="D18" s="75">
        <f t="shared" si="0"/>
        <v>98.471186528132804</v>
      </c>
      <c r="E18" s="75">
        <f>IF(1579586.48353="","-",1579586.48353/3277823.24746*100)</f>
        <v>48.190105575522679</v>
      </c>
      <c r="F18" s="75">
        <f>IF(1555437.55257="","-",1555437.55257/3014879.35037*100)</f>
        <v>51.592033106701585</v>
      </c>
    </row>
    <row r="19" spans="1:7" x14ac:dyDescent="0.25">
      <c r="A19" s="66" t="s">
        <v>98</v>
      </c>
      <c r="B19" s="86">
        <v>4777.2386800000004</v>
      </c>
      <c r="C19" s="64">
        <v>6057.41572</v>
      </c>
      <c r="D19" s="75">
        <f t="shared" si="0"/>
        <v>126.79742683486769</v>
      </c>
      <c r="E19" s="75">
        <f>IF(4777.23868="","-",4777.23868/3277823.24746*100)</f>
        <v>0.14574424303390685</v>
      </c>
      <c r="F19" s="75">
        <f>IF(6057.41572="","-",6057.41572/3014879.35037*100)</f>
        <v>0.20091735078077355</v>
      </c>
    </row>
    <row r="20" spans="1:7" x14ac:dyDescent="0.25">
      <c r="A20" s="66" t="s">
        <v>99</v>
      </c>
      <c r="B20" s="86">
        <v>460.97289000000001</v>
      </c>
      <c r="C20" s="64">
        <v>253.40978999999999</v>
      </c>
      <c r="D20" s="75">
        <f t="shared" si="0"/>
        <v>54.97281846661307</v>
      </c>
      <c r="E20" s="75">
        <f>IF(460.97289="","-",460.97289/3277823.24746*100)</f>
        <v>1.406338460614708E-2</v>
      </c>
      <c r="F20" s="75">
        <f>IF(253.40979="","-",253.40979/3014879.35037*100)</f>
        <v>8.4053045097443237E-3</v>
      </c>
    </row>
    <row r="21" spans="1:7" x14ac:dyDescent="0.25">
      <c r="A21" s="66" t="s">
        <v>100</v>
      </c>
      <c r="B21" s="86" t="s">
        <v>276</v>
      </c>
      <c r="C21" s="64">
        <v>14545.30991</v>
      </c>
      <c r="D21" s="74" t="s">
        <v>276</v>
      </c>
      <c r="E21" s="75" t="s">
        <v>276</v>
      </c>
      <c r="F21" s="75">
        <f>IF(14545.30991="","-",14545.30991/3014879.35037*100)</f>
        <v>0.48245081211010754</v>
      </c>
    </row>
    <row r="22" spans="1:7" x14ac:dyDescent="0.25">
      <c r="A22" s="66" t="s">
        <v>101</v>
      </c>
      <c r="B22" s="86">
        <v>70.026430000000005</v>
      </c>
      <c r="C22" s="64">
        <v>97.001720000000006</v>
      </c>
      <c r="D22" s="75">
        <f t="shared" si="0"/>
        <v>138.52158392195633</v>
      </c>
      <c r="E22" s="75">
        <f>IF(70.02643="","-",70.02643/3277823.24746*100)</f>
        <v>2.1363699233710601E-3</v>
      </c>
      <c r="F22" s="75">
        <f>IF(97.00172="","-",97.00172/3014879.35037*100)</f>
        <v>3.217432896215084E-3</v>
      </c>
    </row>
    <row r="23" spans="1:7" x14ac:dyDescent="0.25">
      <c r="A23" s="67" t="s">
        <v>178</v>
      </c>
      <c r="B23" s="88">
        <v>727371.92142000003</v>
      </c>
      <c r="C23" s="83">
        <v>720545.51428</v>
      </c>
      <c r="D23" s="74">
        <f t="shared" si="0"/>
        <v>99.061497022503517</v>
      </c>
      <c r="E23" s="74">
        <f>IF(727371.92142="","-",727371.92142/3277823.24746*100)</f>
        <v>22.190699940384025</v>
      </c>
      <c r="F23" s="74">
        <f>IF(720545.51428="","-",720545.51428/3014879.35037*100)</f>
        <v>23.899646736827837</v>
      </c>
    </row>
    <row r="24" spans="1:7" x14ac:dyDescent="0.25">
      <c r="A24" s="66" t="s">
        <v>105</v>
      </c>
      <c r="B24" s="86"/>
      <c r="C24" s="83"/>
      <c r="D24" s="84"/>
      <c r="E24" s="74"/>
      <c r="F24" s="74"/>
    </row>
    <row r="25" spans="1:7" x14ac:dyDescent="0.25">
      <c r="A25" s="66" t="s">
        <v>95</v>
      </c>
      <c r="B25" s="86">
        <v>82.096980000000002</v>
      </c>
      <c r="C25" s="64">
        <v>7496.9248200000002</v>
      </c>
      <c r="D25" s="75" t="s">
        <v>390</v>
      </c>
      <c r="E25" s="75">
        <f>IF(82.09698="","-",82.09698/3277823.24746*100)</f>
        <v>2.5046188827789087E-3</v>
      </c>
      <c r="F25" s="75">
        <f>IF(7496.92482="","-",7496.92482/3014879.35037*100)</f>
        <v>0.24866417354578196</v>
      </c>
    </row>
    <row r="26" spans="1:7" x14ac:dyDescent="0.25">
      <c r="A26" s="66" t="s">
        <v>96</v>
      </c>
      <c r="B26" s="86">
        <v>141880.59325999999</v>
      </c>
      <c r="C26" s="64">
        <v>42773.475559999999</v>
      </c>
      <c r="D26" s="75">
        <f t="shared" si="0"/>
        <v>30.147516709079763</v>
      </c>
      <c r="E26" s="75">
        <f>IF(141880.59326="","-",141880.59326/3277823.24746*100)</f>
        <v>4.328500426920332</v>
      </c>
      <c r="F26" s="75">
        <f>IF(42773.47556="","-",42773.47556/3014879.35037*100)</f>
        <v>1.4187458464880407</v>
      </c>
    </row>
    <row r="27" spans="1:7" x14ac:dyDescent="0.25">
      <c r="A27" s="66" t="s">
        <v>97</v>
      </c>
      <c r="B27" s="86">
        <v>563853.46305000002</v>
      </c>
      <c r="C27" s="64">
        <v>642250.37586000003</v>
      </c>
      <c r="D27" s="75">
        <f t="shared" si="0"/>
        <v>113.90377428666216</v>
      </c>
      <c r="E27" s="75">
        <f>IF(563853.46305="","-",563853.46305/3277823.24746*100)</f>
        <v>17.202070413251615</v>
      </c>
      <c r="F27" s="75">
        <f>IF(642250.37586="","-",642250.37586/3014879.35037*100)</f>
        <v>21.302689136836605</v>
      </c>
      <c r="G27" s="27"/>
    </row>
    <row r="28" spans="1:7" x14ac:dyDescent="0.25">
      <c r="A28" s="66" t="s">
        <v>98</v>
      </c>
      <c r="B28" s="86">
        <v>7114.8749299999999</v>
      </c>
      <c r="C28" s="64">
        <v>9709.9243800000004</v>
      </c>
      <c r="D28" s="75">
        <f t="shared" si="0"/>
        <v>136.47357789885984</v>
      </c>
      <c r="E28" s="75">
        <f>IF(7114.87493="","-",7114.87493/3277823.24746*100)</f>
        <v>0.21706096982237674</v>
      </c>
      <c r="F28" s="75">
        <f>IF(9709.92438="","-",9709.92438/3014879.35037*100)</f>
        <v>0.32206676458904909</v>
      </c>
    </row>
    <row r="29" spans="1:7" x14ac:dyDescent="0.25">
      <c r="A29" s="66" t="s">
        <v>99</v>
      </c>
      <c r="B29" s="86">
        <v>59.791200000000003</v>
      </c>
      <c r="C29" s="64">
        <v>33.858260000000001</v>
      </c>
      <c r="D29" s="75">
        <f t="shared" si="0"/>
        <v>56.62749702297328</v>
      </c>
      <c r="E29" s="75">
        <f>IF(59.7912="","-",59.7912/3277823.24746*100)</f>
        <v>1.824113000795039E-3</v>
      </c>
      <c r="F29" s="75">
        <f>IF(33.85826="","-",33.85826/3014879.35037*100)</f>
        <v>1.1230386382076868E-3</v>
      </c>
    </row>
    <row r="30" spans="1:7" x14ac:dyDescent="0.25">
      <c r="A30" s="66" t="s">
        <v>100</v>
      </c>
      <c r="B30" s="86">
        <v>14240.983050000001</v>
      </c>
      <c r="C30" s="64">
        <v>17844.56551</v>
      </c>
      <c r="D30" s="75">
        <f t="shared" si="0"/>
        <v>125.30430973302786</v>
      </c>
      <c r="E30" s="75">
        <f>IF(14240.98305="","-",14240.98305/3277823.24746*100)</f>
        <v>0.43446464238227006</v>
      </c>
      <c r="F30" s="75">
        <f>IF(17844.56551="","-",17844.56551/3014879.35037*100)</f>
        <v>0.59188323764299333</v>
      </c>
    </row>
    <row r="31" spans="1:7" x14ac:dyDescent="0.25">
      <c r="A31" s="66" t="s">
        <v>101</v>
      </c>
      <c r="B31" s="86">
        <v>140.11895000000001</v>
      </c>
      <c r="C31" s="64">
        <v>436.38988999999998</v>
      </c>
      <c r="D31" s="75" t="s">
        <v>356</v>
      </c>
      <c r="E31" s="75">
        <f>IF(140.11895="","-",140.11895/3277823.24746*100)</f>
        <v>4.2747561238568555E-3</v>
      </c>
      <c r="F31" s="75">
        <f>IF(436.38989="","-",436.38989/3014879.35037*100)</f>
        <v>1.4474539087159299E-2</v>
      </c>
    </row>
    <row r="32" spans="1:7" x14ac:dyDescent="0.25">
      <c r="A32" s="67" t="s">
        <v>260</v>
      </c>
      <c r="B32" s="88">
        <v>609186.55714000005</v>
      </c>
      <c r="C32" s="83">
        <v>368388.87657000002</v>
      </c>
      <c r="D32" s="74">
        <f t="shared" si="0"/>
        <v>60.472259647275642</v>
      </c>
      <c r="E32" s="74">
        <f>IF(609186.55714="","-",609186.55714/3277823.24746*100)</f>
        <v>18.58509477629892</v>
      </c>
      <c r="F32" s="74">
        <f>IF(368388.87657="","-",368388.87657/3014879.35037*100)</f>
        <v>12.21902549847607</v>
      </c>
    </row>
    <row r="33" spans="1:10" x14ac:dyDescent="0.25">
      <c r="A33" s="66" t="s">
        <v>105</v>
      </c>
      <c r="B33" s="86"/>
      <c r="C33" s="83"/>
      <c r="D33" s="74"/>
      <c r="E33" s="74"/>
      <c r="F33" s="74"/>
    </row>
    <row r="34" spans="1:10" x14ac:dyDescent="0.25">
      <c r="A34" s="66" t="s">
        <v>95</v>
      </c>
      <c r="B34" s="86">
        <v>152743.11327999999</v>
      </c>
      <c r="C34" s="64">
        <v>88545.314249999996</v>
      </c>
      <c r="D34" s="75">
        <f t="shared" si="0"/>
        <v>57.970086080204318</v>
      </c>
      <c r="E34" s="75">
        <f>IF(152743.11328="","-",152743.11328/3277823.24746*100)</f>
        <v>4.6598947456474757</v>
      </c>
      <c r="F34" s="75">
        <f>IF(88545.31425="","-",88545.31425/3014879.35037*100)</f>
        <v>2.9369438693834731</v>
      </c>
    </row>
    <row r="35" spans="1:10" x14ac:dyDescent="0.25">
      <c r="A35" s="66" t="s">
        <v>96</v>
      </c>
      <c r="B35" s="86">
        <v>99470.252680000005</v>
      </c>
      <c r="C35" s="64">
        <v>6443.9911899999997</v>
      </c>
      <c r="D35" s="75">
        <f t="shared" si="0"/>
        <v>6.4783098628799012</v>
      </c>
      <c r="E35" s="75">
        <f>IF(99470.25268="","-",99470.25268/3277823.24746*100)</f>
        <v>3.0346435780843262</v>
      </c>
      <c r="F35" s="75">
        <f>IF(6443.99119="","-",6443.99119/3014879.35037*100)</f>
        <v>0.21373960418048446</v>
      </c>
    </row>
    <row r="36" spans="1:10" x14ac:dyDescent="0.25">
      <c r="A36" s="66" t="s">
        <v>97</v>
      </c>
      <c r="B36" s="86">
        <v>339173.57328999997</v>
      </c>
      <c r="C36" s="64">
        <v>256241.96445999999</v>
      </c>
      <c r="D36" s="75">
        <f t="shared" si="0"/>
        <v>75.548917910803198</v>
      </c>
      <c r="E36" s="75">
        <f>IF(339173.57329="","-",339173.57329/3277823.24746*100)</f>
        <v>10.347524795695652</v>
      </c>
      <c r="F36" s="75">
        <f>IF(256241.96446="","-",256241.96446/3014879.35037*100)</f>
        <v>8.4992444035464558</v>
      </c>
    </row>
    <row r="37" spans="1:10" x14ac:dyDescent="0.25">
      <c r="A37" s="66" t="s">
        <v>98</v>
      </c>
      <c r="B37" s="86">
        <v>17274.784319999999</v>
      </c>
      <c r="C37" s="64">
        <v>15989.527679999999</v>
      </c>
      <c r="D37" s="75">
        <f t="shared" si="0"/>
        <v>92.559926560055601</v>
      </c>
      <c r="E37" s="75">
        <f>IF(17274.78432="","-",17274.78432/3277823.24746*100)</f>
        <v>0.5270200073596496</v>
      </c>
      <c r="F37" s="75">
        <f>IF(15989.52768="","-",15989.52768/3014879.35037*100)</f>
        <v>0.53035381591763164</v>
      </c>
    </row>
    <row r="38" spans="1:10" x14ac:dyDescent="0.25">
      <c r="A38" s="66" t="s">
        <v>99</v>
      </c>
      <c r="B38" s="86">
        <v>505.53357</v>
      </c>
      <c r="C38" s="64">
        <v>465.23173000000003</v>
      </c>
      <c r="D38" s="75">
        <f t="shared" si="0"/>
        <v>92.027860780837969</v>
      </c>
      <c r="E38" s="75">
        <f>IF(505.53357="","-",505.53357/3277823.24746*100)</f>
        <v>1.5422844120461352E-2</v>
      </c>
      <c r="F38" s="75">
        <f>IF(465.23173="","-",465.23173/3014879.35037*100)</f>
        <v>1.5431188977525902E-2</v>
      </c>
    </row>
    <row r="39" spans="1:10" x14ac:dyDescent="0.25">
      <c r="A39" s="93" t="s">
        <v>101</v>
      </c>
      <c r="B39" s="89">
        <v>19.3</v>
      </c>
      <c r="C39" s="90">
        <v>702.84726000000001</v>
      </c>
      <c r="D39" s="76" t="s">
        <v>401</v>
      </c>
      <c r="E39" s="76">
        <f>IF(19.3="","-",19.3/3277823.24746*100)</f>
        <v>5.8880539135097222E-4</v>
      </c>
      <c r="F39" s="76">
        <f>IF(702.84726="","-",702.84726/3014879.35037*100)</f>
        <v>2.3312616470498006E-2</v>
      </c>
    </row>
    <row r="40" spans="1:10" s="21" customFormat="1" ht="14.25" customHeight="1" x14ac:dyDescent="0.2">
      <c r="A40" s="30" t="s">
        <v>16</v>
      </c>
      <c r="B40" s="30"/>
      <c r="C40" s="30"/>
      <c r="D40" s="30"/>
      <c r="E40" s="31"/>
      <c r="F40" s="31"/>
      <c r="G40" s="31"/>
      <c r="H40" s="31"/>
      <c r="I40" s="31"/>
      <c r="J40" s="31"/>
    </row>
  </sheetData>
  <mergeCells count="6">
    <mergeCell ref="A1:F1"/>
    <mergeCell ref="A3:A4"/>
    <mergeCell ref="E3:F3"/>
    <mergeCell ref="A2:F2"/>
    <mergeCell ref="B3:C3"/>
    <mergeCell ref="D3:D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H40"/>
  <sheetViews>
    <sheetView workbookViewId="0">
      <selection sqref="A1:F1"/>
    </sheetView>
  </sheetViews>
  <sheetFormatPr defaultRowHeight="15.75" x14ac:dyDescent="0.25"/>
  <cols>
    <col min="1" max="1" width="24.875" style="26" customWidth="1"/>
    <col min="2" max="2" width="12.25" style="26" customWidth="1"/>
    <col min="3" max="3" width="12" style="26" customWidth="1"/>
    <col min="4" max="4" width="12.125" style="26" customWidth="1"/>
    <col min="5" max="5" width="10.75" style="26" customWidth="1"/>
    <col min="6" max="6" width="10.5" style="26" customWidth="1"/>
    <col min="7" max="8" width="9" style="26"/>
  </cols>
  <sheetData>
    <row r="1" spans="1:8" x14ac:dyDescent="0.25">
      <c r="A1" s="112" t="s">
        <v>312</v>
      </c>
      <c r="B1" s="112"/>
      <c r="C1" s="112"/>
      <c r="D1" s="112"/>
      <c r="E1" s="112"/>
      <c r="F1" s="112"/>
    </row>
    <row r="2" spans="1:8" x14ac:dyDescent="0.25">
      <c r="A2" s="130"/>
      <c r="B2" s="130"/>
      <c r="C2" s="130"/>
      <c r="D2" s="130"/>
      <c r="E2" s="130"/>
      <c r="F2" s="130"/>
    </row>
    <row r="3" spans="1:8" ht="36.75" customHeight="1" x14ac:dyDescent="0.25">
      <c r="A3" s="113"/>
      <c r="B3" s="115" t="s">
        <v>398</v>
      </c>
      <c r="C3" s="122"/>
      <c r="D3" s="120" t="s">
        <v>400</v>
      </c>
      <c r="E3" s="115" t="s">
        <v>94</v>
      </c>
      <c r="F3" s="129"/>
    </row>
    <row r="4" spans="1:8" ht="51.75" customHeight="1" x14ac:dyDescent="0.25">
      <c r="A4" s="114"/>
      <c r="B4" s="13" t="s">
        <v>334</v>
      </c>
      <c r="C4" s="13" t="s">
        <v>335</v>
      </c>
      <c r="D4" s="121"/>
      <c r="E4" s="13" t="s">
        <v>334</v>
      </c>
      <c r="F4" s="12" t="s">
        <v>335</v>
      </c>
    </row>
    <row r="5" spans="1:8" s="29" customFormat="1" ht="15.75" customHeight="1" x14ac:dyDescent="0.2">
      <c r="A5" s="52" t="s">
        <v>397</v>
      </c>
      <c r="B5" s="91">
        <v>6735746.1189299999</v>
      </c>
      <c r="C5" s="85">
        <v>6410995.1047999999</v>
      </c>
      <c r="D5" s="84">
        <f>C5/B5*100</f>
        <v>95.178692777369875</v>
      </c>
      <c r="E5" s="97">
        <v>100</v>
      </c>
      <c r="F5" s="97">
        <v>100</v>
      </c>
      <c r="G5" s="28"/>
      <c r="H5" s="28"/>
    </row>
    <row r="6" spans="1:8" ht="15.75" customHeight="1" x14ac:dyDescent="0.25">
      <c r="A6" s="66" t="s">
        <v>105</v>
      </c>
      <c r="B6" s="61"/>
      <c r="C6" s="95"/>
      <c r="D6" s="84"/>
      <c r="E6" s="98"/>
      <c r="F6" s="98"/>
    </row>
    <row r="7" spans="1:8" x14ac:dyDescent="0.25">
      <c r="A7" s="66" t="s">
        <v>95</v>
      </c>
      <c r="B7" s="61">
        <v>503738.17895999999</v>
      </c>
      <c r="C7" s="64">
        <v>518705.06608000002</v>
      </c>
      <c r="D7" s="75">
        <f t="shared" ref="D7:D39" si="0">C7/B7*100</f>
        <v>102.9711639389534</v>
      </c>
      <c r="E7" s="75">
        <f>IF(503738.17896="","-",503738.17896/6735746.11893*100)</f>
        <v>7.478580250290384</v>
      </c>
      <c r="F7" s="75">
        <f>IF(518705.06608="","-",518705.06608/6410995.1048*100)</f>
        <v>8.0908666689144475</v>
      </c>
    </row>
    <row r="8" spans="1:8" x14ac:dyDescent="0.25">
      <c r="A8" s="66" t="s">
        <v>96</v>
      </c>
      <c r="B8" s="61">
        <v>325389.55511000002</v>
      </c>
      <c r="C8" s="64">
        <v>251800.38266999999</v>
      </c>
      <c r="D8" s="75">
        <f t="shared" si="0"/>
        <v>77.384285609560294</v>
      </c>
      <c r="E8" s="75">
        <f>IF(325389.55511="","-",325389.55511/6735746.11893*100)</f>
        <v>4.8307871075415392</v>
      </c>
      <c r="F8" s="75">
        <f>IF(251800.38267="","-",251800.38267/6410995.1048*100)</f>
        <v>3.9276333635237624</v>
      </c>
    </row>
    <row r="9" spans="1:8" x14ac:dyDescent="0.25">
      <c r="A9" s="66" t="s">
        <v>97</v>
      </c>
      <c r="B9" s="61">
        <v>5133136.8066400001</v>
      </c>
      <c r="C9" s="64">
        <v>5057022.0384600004</v>
      </c>
      <c r="D9" s="75">
        <f t="shared" si="0"/>
        <v>98.517188007116019</v>
      </c>
      <c r="E9" s="75">
        <f>IF(5133136.80664="","-",5133136.80664/6735746.11893*100)</f>
        <v>76.207397309912551</v>
      </c>
      <c r="F9" s="75">
        <f>IF(5057022.03846="","-",5057022.03846/6410995.1048*100)</f>
        <v>78.880453904476369</v>
      </c>
    </row>
    <row r="10" spans="1:8" x14ac:dyDescent="0.25">
      <c r="A10" s="66" t="s">
        <v>98</v>
      </c>
      <c r="B10" s="61">
        <v>110715.43158999999</v>
      </c>
      <c r="C10" s="64">
        <v>119242.15226</v>
      </c>
      <c r="D10" s="75">
        <f t="shared" si="0"/>
        <v>107.70147444448037</v>
      </c>
      <c r="E10" s="75">
        <f>IF(110715.43159="","-",110715.43159/6735746.11893*100)</f>
        <v>1.6436995937071863</v>
      </c>
      <c r="F10" s="75">
        <f>IF(119242.15226="","-",119242.15226/6410995.1048*100)</f>
        <v>1.8599632398833337</v>
      </c>
    </row>
    <row r="11" spans="1:8" x14ac:dyDescent="0.25">
      <c r="A11" s="66" t="s">
        <v>99</v>
      </c>
      <c r="B11" s="61">
        <v>7485.3465399999995</v>
      </c>
      <c r="C11" s="64">
        <v>6232.8996200000001</v>
      </c>
      <c r="D11" s="75">
        <f t="shared" si="0"/>
        <v>83.26801687393889</v>
      </c>
      <c r="E11" s="75">
        <f>IF(7485.34654="","-",7485.34654/6735746.11893*100)</f>
        <v>0.11112869172671663</v>
      </c>
      <c r="F11" s="75">
        <f>IF(6232.89962="","-",6232.89962/6410995.1048*100)</f>
        <v>9.7222030560175338E-2</v>
      </c>
    </row>
    <row r="12" spans="1:8" x14ac:dyDescent="0.25">
      <c r="A12" s="66" t="s">
        <v>100</v>
      </c>
      <c r="B12" s="61">
        <v>615003.99855000002</v>
      </c>
      <c r="C12" s="64">
        <v>413329.07306000002</v>
      </c>
      <c r="D12" s="75">
        <f t="shared" si="0"/>
        <v>67.207542395579452</v>
      </c>
      <c r="E12" s="75">
        <f>IF(615003.99855="","-",615003.99855/6735746.11893*100)</f>
        <v>9.1304509952001549</v>
      </c>
      <c r="F12" s="75">
        <f>IF(413329.07306="","-",413329.07306/6410995.1048*100)</f>
        <v>6.4471905890325036</v>
      </c>
    </row>
    <row r="13" spans="1:8" x14ac:dyDescent="0.25">
      <c r="A13" s="66" t="s">
        <v>101</v>
      </c>
      <c r="B13" s="61">
        <v>40276.80154</v>
      </c>
      <c r="C13" s="64">
        <v>44663.49265</v>
      </c>
      <c r="D13" s="75">
        <f t="shared" si="0"/>
        <v>110.89135915036216</v>
      </c>
      <c r="E13" s="75">
        <f>IF(40276.80154="","-",40276.80154/6735746.11893*100)</f>
        <v>0.59795605162146659</v>
      </c>
      <c r="F13" s="75">
        <f>IF(44663.49265="","-",44663.49265/6410995.1048*100)</f>
        <v>0.69667020360941834</v>
      </c>
    </row>
    <row r="14" spans="1:8" ht="16.5" customHeight="1" x14ac:dyDescent="0.25">
      <c r="A14" s="67" t="s">
        <v>177</v>
      </c>
      <c r="B14" s="60">
        <v>3081300.1328599998</v>
      </c>
      <c r="C14" s="88">
        <v>3109132.2308100001</v>
      </c>
      <c r="D14" s="74">
        <f t="shared" si="0"/>
        <v>100.90325825949864</v>
      </c>
      <c r="E14" s="74">
        <f>IF(3081300.13286="","-",3081300.13286/6735746.11893*100)</f>
        <v>45.74549097390085</v>
      </c>
      <c r="F14" s="74">
        <f>IF(3109132.23081="","-",3109132.23081/6410995.1048*100)</f>
        <v>48.496874197925223</v>
      </c>
    </row>
    <row r="15" spans="1:8" x14ac:dyDescent="0.25">
      <c r="A15" s="66" t="s">
        <v>105</v>
      </c>
      <c r="B15" s="61"/>
      <c r="C15" s="87"/>
      <c r="D15" s="84"/>
      <c r="E15" s="74"/>
      <c r="F15" s="74"/>
    </row>
    <row r="16" spans="1:8" x14ac:dyDescent="0.25">
      <c r="A16" s="66" t="s">
        <v>95</v>
      </c>
      <c r="B16" s="61">
        <v>153523.08048999999</v>
      </c>
      <c r="C16" s="64">
        <v>150780.05731999999</v>
      </c>
      <c r="D16" s="75">
        <f t="shared" si="0"/>
        <v>98.213282874962459</v>
      </c>
      <c r="E16" s="75">
        <f>IF(153523.08049="","-",153523.08049/6735746.11893*100)</f>
        <v>2.2792290234713857</v>
      </c>
      <c r="F16" s="75">
        <f>IF(150780.05732="","-",150780.05732/6410995.1048*100)</f>
        <v>2.351897870068703</v>
      </c>
    </row>
    <row r="17" spans="1:7" x14ac:dyDescent="0.25">
      <c r="A17" s="66" t="s">
        <v>96</v>
      </c>
      <c r="B17" s="61">
        <v>182400.13352</v>
      </c>
      <c r="C17" s="64">
        <v>134066.85339999999</v>
      </c>
      <c r="D17" s="75">
        <f t="shared" si="0"/>
        <v>73.501510559639854</v>
      </c>
      <c r="E17" s="75">
        <f>IF(182400.13352="","-",182400.13352/6735746.11893*100)</f>
        <v>2.7079425248434834</v>
      </c>
      <c r="F17" s="75">
        <f>IF(134066.8534="","-",134066.8534/6410995.1048*100)</f>
        <v>2.0912019305649179</v>
      </c>
    </row>
    <row r="18" spans="1:7" x14ac:dyDescent="0.25">
      <c r="A18" s="66" t="s">
        <v>97</v>
      </c>
      <c r="B18" s="61">
        <v>2677649.3862200002</v>
      </c>
      <c r="C18" s="64">
        <v>2645368.7894700002</v>
      </c>
      <c r="D18" s="75">
        <f t="shared" si="0"/>
        <v>98.794442733386759</v>
      </c>
      <c r="E18" s="75">
        <f>IF(2677649.38622="","-",2677649.38622/6735746.11893*100)</f>
        <v>39.752825283821053</v>
      </c>
      <c r="F18" s="75">
        <f>IF(2645368.78947="","-",2645368.78947/6410995.1048*100)</f>
        <v>41.262998118488284</v>
      </c>
    </row>
    <row r="19" spans="1:7" x14ac:dyDescent="0.25">
      <c r="A19" s="66" t="s">
        <v>98</v>
      </c>
      <c r="B19" s="61">
        <v>26490.107840000001</v>
      </c>
      <c r="C19" s="64">
        <v>26947.498629999998</v>
      </c>
      <c r="D19" s="75">
        <f t="shared" si="0"/>
        <v>101.7266475197558</v>
      </c>
      <c r="E19" s="75">
        <f>IF(26490.10784="","-",26490.10784/6735746.11893*100)</f>
        <v>0.39327651862579494</v>
      </c>
      <c r="F19" s="75">
        <f>IF(26947.49863="","-",26947.49863/6410995.1048*100)</f>
        <v>0.42033254104068862</v>
      </c>
    </row>
    <row r="20" spans="1:7" x14ac:dyDescent="0.25">
      <c r="A20" s="66" t="s">
        <v>99</v>
      </c>
      <c r="B20" s="61">
        <v>4935.2398599999997</v>
      </c>
      <c r="C20" s="64">
        <v>4074.42488</v>
      </c>
      <c r="D20" s="75">
        <f t="shared" si="0"/>
        <v>82.557788386803963</v>
      </c>
      <c r="E20" s="75">
        <f>IF(4935.23986="","-",4935.23986/6735746.11893*100)</f>
        <v>7.326938653655761E-2</v>
      </c>
      <c r="F20" s="75">
        <f>IF(4074.42488="","-",4074.42488/6410995.1048*100)</f>
        <v>6.3553704431148633E-2</v>
      </c>
    </row>
    <row r="21" spans="1:7" x14ac:dyDescent="0.25">
      <c r="A21" s="66" t="s">
        <v>100</v>
      </c>
      <c r="B21" s="61" t="s">
        <v>276</v>
      </c>
      <c r="C21" s="64">
        <v>108332.54704</v>
      </c>
      <c r="D21" s="84" t="s">
        <v>276</v>
      </c>
      <c r="E21" s="75" t="s">
        <v>276</v>
      </c>
      <c r="F21" s="75">
        <f>IF(108332.54704="","-",108332.54704/6410995.1048*100)</f>
        <v>1.6897930082475019</v>
      </c>
    </row>
    <row r="22" spans="1:7" x14ac:dyDescent="0.25">
      <c r="A22" s="66" t="s">
        <v>101</v>
      </c>
      <c r="B22" s="61">
        <v>36302.184930000003</v>
      </c>
      <c r="C22" s="64">
        <v>39562.06007</v>
      </c>
      <c r="D22" s="75">
        <f t="shared" si="0"/>
        <v>108.97983178226292</v>
      </c>
      <c r="E22" s="75">
        <f>IF(36302.18493="","-",36302.18493/6735746.11893*100)</f>
        <v>0.53894823660258073</v>
      </c>
      <c r="F22" s="75">
        <f>IF(39562.06007="","-",39562.06007/6410995.1048*100)</f>
        <v>0.61709702508397402</v>
      </c>
      <c r="G22" s="23"/>
    </row>
    <row r="23" spans="1:7" x14ac:dyDescent="0.25">
      <c r="A23" s="67" t="s">
        <v>178</v>
      </c>
      <c r="B23" s="60">
        <v>1715063.67077</v>
      </c>
      <c r="C23" s="83">
        <v>1180432.64069</v>
      </c>
      <c r="D23" s="74">
        <f t="shared" si="0"/>
        <v>68.827336314577153</v>
      </c>
      <c r="E23" s="74">
        <f>IF(1715063.67077="","-",1715063.67077/6735746.11893*100)</f>
        <v>25.462118679770619</v>
      </c>
      <c r="F23" s="74">
        <f>IF(1180432.64069="","-",1180432.64069/6410995.1048*100)</f>
        <v>18.412627390811672</v>
      </c>
      <c r="G23" s="23"/>
    </row>
    <row r="24" spans="1:7" x14ac:dyDescent="0.25">
      <c r="A24" s="66" t="s">
        <v>105</v>
      </c>
      <c r="B24" s="61"/>
      <c r="C24" s="83"/>
      <c r="D24" s="84"/>
      <c r="E24" s="74"/>
      <c r="F24" s="74"/>
      <c r="G24" s="24"/>
    </row>
    <row r="25" spans="1:7" x14ac:dyDescent="0.25">
      <c r="A25" s="66" t="s">
        <v>95</v>
      </c>
      <c r="B25" s="61">
        <v>127124.93936999999</v>
      </c>
      <c r="C25" s="64">
        <v>92787.377460000003</v>
      </c>
      <c r="D25" s="75">
        <f t="shared" si="0"/>
        <v>72.989122291685234</v>
      </c>
      <c r="E25" s="75">
        <f>IF(127124.93937="","-",127124.93937/6735746.11893*100)</f>
        <v>1.8873178579687071</v>
      </c>
      <c r="F25" s="75">
        <f>IF(92787.37746="","-",92787.37746/6410995.1048*100)</f>
        <v>1.4473163049294613</v>
      </c>
      <c r="G25" s="24"/>
    </row>
    <row r="26" spans="1:7" x14ac:dyDescent="0.25">
      <c r="A26" s="66" t="s">
        <v>96</v>
      </c>
      <c r="B26" s="61">
        <v>141830.63579</v>
      </c>
      <c r="C26" s="64">
        <v>108009.07236999999</v>
      </c>
      <c r="D26" s="75">
        <f t="shared" si="0"/>
        <v>76.153555801528285</v>
      </c>
      <c r="E26" s="75">
        <f>IF(141830.63579="","-",141830.63579/6735746.11893*100)</f>
        <v>2.1056410572156534</v>
      </c>
      <c r="F26" s="75">
        <f>IF(108009.07237="","-",108009.07237/6410995.1048*100)</f>
        <v>1.6847473848347214</v>
      </c>
      <c r="G26" s="24"/>
    </row>
    <row r="27" spans="1:7" x14ac:dyDescent="0.25">
      <c r="A27" s="66" t="s">
        <v>97</v>
      </c>
      <c r="B27" s="61">
        <v>816618.18541999999</v>
      </c>
      <c r="C27" s="64">
        <v>659410.81042999995</v>
      </c>
      <c r="D27" s="75">
        <f t="shared" si="0"/>
        <v>80.748974515042704</v>
      </c>
      <c r="E27" s="75">
        <f>IF(816618.18542="","-",816618.18542/6735746.11893*100)</f>
        <v>12.123648531303658</v>
      </c>
      <c r="F27" s="75">
        <f>IF(659410.81043="","-",659410.81043/6410995.1048*100)</f>
        <v>10.285623365026282</v>
      </c>
      <c r="G27" s="24"/>
    </row>
    <row r="28" spans="1:7" x14ac:dyDescent="0.25">
      <c r="A28" s="66" t="s">
        <v>98</v>
      </c>
      <c r="B28" s="61">
        <v>13595.202950000001</v>
      </c>
      <c r="C28" s="64">
        <v>14874.318509999999</v>
      </c>
      <c r="D28" s="75">
        <f t="shared" si="0"/>
        <v>109.40858010508772</v>
      </c>
      <c r="E28" s="75">
        <f>IF(13595.20295="","-",13595.20295/6735746.11893*100)</f>
        <v>0.20183662967629268</v>
      </c>
      <c r="F28" s="75">
        <f>IF(14874.31851="","-",14874.31851/6410995.1048*100)</f>
        <v>0.23201263246735898</v>
      </c>
      <c r="G28" s="24"/>
    </row>
    <row r="29" spans="1:7" x14ac:dyDescent="0.25">
      <c r="A29" s="66" t="s">
        <v>99</v>
      </c>
      <c r="B29" s="61">
        <v>247.80921000000001</v>
      </c>
      <c r="C29" s="64">
        <v>42.261670000000002</v>
      </c>
      <c r="D29" s="75">
        <f t="shared" si="0"/>
        <v>17.054115946699479</v>
      </c>
      <c r="E29" s="75">
        <f>IF(247.80921="","-",247.80921/6735746.11893*100)</f>
        <v>3.6790164834681373E-3</v>
      </c>
      <c r="F29" s="75">
        <f>IF(42.26167="","-",42.26167/6410995.1048*100)</f>
        <v>6.592060874973701E-4</v>
      </c>
      <c r="G29" s="24"/>
    </row>
    <row r="30" spans="1:7" x14ac:dyDescent="0.25">
      <c r="A30" s="66" t="s">
        <v>100</v>
      </c>
      <c r="B30" s="61">
        <v>615003.99855000002</v>
      </c>
      <c r="C30" s="64">
        <v>304996.52601999999</v>
      </c>
      <c r="D30" s="75">
        <f t="shared" si="0"/>
        <v>49.592608623536236</v>
      </c>
      <c r="E30" s="75">
        <f>IF(615003.99855="","-",615003.99855/6735746.11893*100)</f>
        <v>9.1304509952001549</v>
      </c>
      <c r="F30" s="75">
        <f>IF(304996.52602="","-",304996.52602/6410995.1048*100)</f>
        <v>4.7573975807850006</v>
      </c>
    </row>
    <row r="31" spans="1:7" x14ac:dyDescent="0.25">
      <c r="A31" s="66" t="s">
        <v>101</v>
      </c>
      <c r="B31" s="61">
        <v>642.89948000000004</v>
      </c>
      <c r="C31" s="64">
        <v>312.27422999999999</v>
      </c>
      <c r="D31" s="75">
        <f t="shared" si="0"/>
        <v>48.572792437162953</v>
      </c>
      <c r="E31" s="75">
        <f>IF(642.89948="","-",642.89948/6735746.11893*100)</f>
        <v>9.5445919226855771E-3</v>
      </c>
      <c r="F31" s="75">
        <f>IF(312.27423="","-",312.27423/6410995.1048*100)</f>
        <v>4.870916681346333E-3</v>
      </c>
    </row>
    <row r="32" spans="1:7" x14ac:dyDescent="0.25">
      <c r="A32" s="67" t="s">
        <v>179</v>
      </c>
      <c r="B32" s="60">
        <v>1939382.3152999999</v>
      </c>
      <c r="C32" s="88">
        <v>2121430.2333</v>
      </c>
      <c r="D32" s="74">
        <f t="shared" si="0"/>
        <v>109.38690203390038</v>
      </c>
      <c r="E32" s="74">
        <f>IF(1939382.3153="","-",1939382.3153/6735746.11893*100)</f>
        <v>28.792390346328528</v>
      </c>
      <c r="F32" s="74">
        <f>IF(2121430.2333="","-",2121430.2333/6410995.1048*100)</f>
        <v>33.090498411263113</v>
      </c>
    </row>
    <row r="33" spans="1:8" x14ac:dyDescent="0.25">
      <c r="A33" s="66" t="s">
        <v>105</v>
      </c>
      <c r="B33" s="61"/>
      <c r="C33" s="87"/>
      <c r="D33" s="84"/>
      <c r="E33" s="74"/>
      <c r="F33" s="74"/>
    </row>
    <row r="34" spans="1:8" x14ac:dyDescent="0.25">
      <c r="A34" s="66" t="s">
        <v>95</v>
      </c>
      <c r="B34" s="61">
        <v>223090.15909999999</v>
      </c>
      <c r="C34" s="64">
        <v>275137.63130000001</v>
      </c>
      <c r="D34" s="75">
        <f t="shared" si="0"/>
        <v>123.33024119484794</v>
      </c>
      <c r="E34" s="75">
        <f>IF(223090.1591="","-",223090.1591/6735746.11893*100)</f>
        <v>3.3120333688502908</v>
      </c>
      <c r="F34" s="75">
        <f>IF(275137.6313="","-",275137.6313/6410995.1048*100)</f>
        <v>4.291652493916283</v>
      </c>
    </row>
    <row r="35" spans="1:8" x14ac:dyDescent="0.25">
      <c r="A35" s="66" t="s">
        <v>96</v>
      </c>
      <c r="B35" s="61">
        <v>1158.7858000000001</v>
      </c>
      <c r="C35" s="64">
        <v>9724.4568999999992</v>
      </c>
      <c r="D35" s="75" t="s">
        <v>391</v>
      </c>
      <c r="E35" s="75">
        <f>IF(1158.7858="","-",1158.7858/6735746.11893*100)</f>
        <v>1.7203525482401612E-2</v>
      </c>
      <c r="F35" s="75">
        <f>IF(9724.4569="","-",9724.4569/6410995.1048*100)</f>
        <v>0.15168404812412295</v>
      </c>
    </row>
    <row r="36" spans="1:8" x14ac:dyDescent="0.25">
      <c r="A36" s="66" t="s">
        <v>97</v>
      </c>
      <c r="B36" s="61">
        <v>1638869.2350000001</v>
      </c>
      <c r="C36" s="64">
        <v>1752242.4385599999</v>
      </c>
      <c r="D36" s="75">
        <f t="shared" si="0"/>
        <v>106.91776995618567</v>
      </c>
      <c r="E36" s="75">
        <f>IF(1638869.235="","-",1638869.235/6735746.11893*100)</f>
        <v>24.33092349478785</v>
      </c>
      <c r="F36" s="75">
        <f>IF(1752242.43856="","-",1752242.43856/6410995.1048*100)</f>
        <v>27.331832420961792</v>
      </c>
    </row>
    <row r="37" spans="1:8" x14ac:dyDescent="0.25">
      <c r="A37" s="66" t="s">
        <v>98</v>
      </c>
      <c r="B37" s="61">
        <v>70630.120800000004</v>
      </c>
      <c r="C37" s="64">
        <v>77420.335120000003</v>
      </c>
      <c r="D37" s="75">
        <f t="shared" si="0"/>
        <v>109.61376568960929</v>
      </c>
      <c r="E37" s="75">
        <f>IF(70630.1208="","-",70630.1208/6735746.11893*100)</f>
        <v>1.048586445405099</v>
      </c>
      <c r="F37" s="75">
        <f>IF(77420.33512="","-",77420.33512/6410995.1048*100)</f>
        <v>1.207618066375286</v>
      </c>
    </row>
    <row r="38" spans="1:8" x14ac:dyDescent="0.25">
      <c r="A38" s="66" t="s">
        <v>99</v>
      </c>
      <c r="B38" s="61">
        <v>2302.29747</v>
      </c>
      <c r="C38" s="64">
        <v>2116.2130699999998</v>
      </c>
      <c r="D38" s="75">
        <f t="shared" si="0"/>
        <v>91.917447574661139</v>
      </c>
      <c r="E38" s="75">
        <f>IF(2302.29747="","-",2302.29747/6735746.11893*100)</f>
        <v>3.4180288706690883E-2</v>
      </c>
      <c r="F38" s="75">
        <f>IF(2116.21307="","-",2116.21307/6410995.1048*100)</f>
        <v>3.3009120041529311E-2</v>
      </c>
    </row>
    <row r="39" spans="1:8" x14ac:dyDescent="0.25">
      <c r="A39" s="93" t="s">
        <v>101</v>
      </c>
      <c r="B39" s="63">
        <v>3331.71713</v>
      </c>
      <c r="C39" s="96">
        <v>4789.1583499999997</v>
      </c>
      <c r="D39" s="76">
        <f t="shared" si="0"/>
        <v>143.74444657611133</v>
      </c>
      <c r="E39" s="76">
        <f>IF(3331.71713="","-",3331.71713/6735746.11893*100)</f>
        <v>4.9463223096200319E-2</v>
      </c>
      <c r="F39" s="76">
        <f>IF(4789.15835="","-",4789.15835/6410995.1048*100)</f>
        <v>7.4702261844097978E-2</v>
      </c>
    </row>
    <row r="40" spans="1:8" s="21" customFormat="1" ht="14.25" customHeight="1" x14ac:dyDescent="0.2">
      <c r="A40" s="30" t="s">
        <v>16</v>
      </c>
      <c r="B40" s="30"/>
      <c r="C40" s="20"/>
      <c r="D40" s="20"/>
      <c r="E40" s="20"/>
      <c r="F40" s="20"/>
      <c r="G40" s="31"/>
      <c r="H40" s="31"/>
    </row>
  </sheetData>
  <mergeCells count="6">
    <mergeCell ref="A1:F1"/>
    <mergeCell ref="A3:A4"/>
    <mergeCell ref="E3:F3"/>
    <mergeCell ref="A2:F2"/>
    <mergeCell ref="B3:C3"/>
    <mergeCell ref="D3:D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L82"/>
  <sheetViews>
    <sheetView zoomScaleNormal="100" workbookViewId="0">
      <selection activeCell="B1" sqref="B1:I1"/>
    </sheetView>
  </sheetViews>
  <sheetFormatPr defaultRowHeight="15.75" x14ac:dyDescent="0.25"/>
  <cols>
    <col min="1" max="1" width="7.75" style="26" customWidth="1"/>
    <col min="2" max="2" width="41" style="26" customWidth="1"/>
    <col min="3" max="3" width="12.25" style="26" customWidth="1"/>
    <col min="4" max="4" width="11.875" style="26" customWidth="1"/>
    <col min="5" max="5" width="11.625" style="26" customWidth="1"/>
    <col min="6" max="6" width="10.375" style="26" customWidth="1"/>
    <col min="7" max="7" width="10.875" style="26" customWidth="1"/>
    <col min="8" max="8" width="11.375" style="26" customWidth="1"/>
    <col min="9" max="9" width="11" style="26" customWidth="1"/>
    <col min="10" max="12" width="9" style="26"/>
  </cols>
  <sheetData>
    <row r="1" spans="1:12" s="29" customFormat="1" ht="12.75" x14ac:dyDescent="0.2">
      <c r="A1" s="28"/>
      <c r="B1" s="123" t="s">
        <v>313</v>
      </c>
      <c r="C1" s="123"/>
      <c r="D1" s="123"/>
      <c r="E1" s="123"/>
      <c r="F1" s="123"/>
      <c r="G1" s="123"/>
      <c r="H1" s="123"/>
      <c r="I1" s="123"/>
      <c r="J1" s="28"/>
      <c r="K1" s="28"/>
      <c r="L1" s="28"/>
    </row>
    <row r="2" spans="1:12" s="29" customFormat="1" ht="12.75" x14ac:dyDescent="0.2">
      <c r="A2" s="28"/>
      <c r="B2" s="123" t="s">
        <v>255</v>
      </c>
      <c r="C2" s="123"/>
      <c r="D2" s="123"/>
      <c r="E2" s="123"/>
      <c r="F2" s="123"/>
      <c r="G2" s="123"/>
      <c r="H2" s="123"/>
      <c r="I2" s="123"/>
      <c r="J2" s="28"/>
      <c r="K2" s="28"/>
      <c r="L2" s="28"/>
    </row>
    <row r="3" spans="1:12" x14ac:dyDescent="0.25">
      <c r="A3" s="134"/>
      <c r="B3" s="134"/>
      <c r="C3" s="134"/>
      <c r="D3" s="134"/>
      <c r="E3" s="134"/>
      <c r="F3" s="134"/>
      <c r="G3" s="134"/>
      <c r="H3" s="134"/>
      <c r="I3" s="134"/>
    </row>
    <row r="4" spans="1:12" ht="44.25" customHeight="1" x14ac:dyDescent="0.25">
      <c r="A4" s="131" t="s">
        <v>181</v>
      </c>
      <c r="B4" s="113"/>
      <c r="C4" s="115" t="s">
        <v>398</v>
      </c>
      <c r="D4" s="122"/>
      <c r="E4" s="120" t="s">
        <v>399</v>
      </c>
      <c r="F4" s="115" t="s">
        <v>94</v>
      </c>
      <c r="G4" s="116"/>
      <c r="H4" s="125" t="s">
        <v>314</v>
      </c>
      <c r="I4" s="133"/>
    </row>
    <row r="5" spans="1:12" ht="45" customHeight="1" x14ac:dyDescent="0.25">
      <c r="A5" s="132"/>
      <c r="B5" s="114"/>
      <c r="C5" s="13" t="s">
        <v>334</v>
      </c>
      <c r="D5" s="13" t="s">
        <v>335</v>
      </c>
      <c r="E5" s="121"/>
      <c r="F5" s="13" t="s">
        <v>334</v>
      </c>
      <c r="G5" s="13" t="s">
        <v>335</v>
      </c>
      <c r="H5" s="13" t="s">
        <v>336</v>
      </c>
      <c r="I5" s="12" t="s">
        <v>337</v>
      </c>
    </row>
    <row r="6" spans="1:12" s="29" customFormat="1" ht="15" customHeight="1" x14ac:dyDescent="0.2">
      <c r="A6" s="40"/>
      <c r="B6" s="99" t="s">
        <v>90</v>
      </c>
      <c r="C6" s="101">
        <v>3277823.2474600002</v>
      </c>
      <c r="D6" s="102">
        <v>3014879.3503700001</v>
      </c>
      <c r="E6" s="54">
        <f>IF(3277823.24746="","-",3014879.35037/3277823.24746*100)</f>
        <v>91.978094081376824</v>
      </c>
      <c r="F6" s="72">
        <v>100</v>
      </c>
      <c r="G6" s="72">
        <v>100</v>
      </c>
      <c r="H6" s="72">
        <f>IF(2103421.20669="","-",(3277823.24746-2103421.20669)/2103421.20669*100)</f>
        <v>55.832946679189902</v>
      </c>
      <c r="I6" s="72">
        <f>IF(3277823.24746="","-",(3014879.35037-3277823.24746)/3277823.24746*100)</f>
        <v>-8.0219059186231743</v>
      </c>
      <c r="J6" s="28"/>
      <c r="K6" s="28"/>
      <c r="L6" s="28"/>
    </row>
    <row r="7" spans="1:12" s="29" customFormat="1" ht="12.75" x14ac:dyDescent="0.2">
      <c r="A7" s="45"/>
      <c r="B7" s="100" t="s">
        <v>331</v>
      </c>
      <c r="C7" s="88"/>
      <c r="D7" s="83"/>
      <c r="E7" s="23"/>
      <c r="F7" s="74"/>
      <c r="G7" s="74"/>
      <c r="H7" s="74"/>
      <c r="I7" s="74"/>
      <c r="J7" s="28"/>
      <c r="K7" s="28"/>
      <c r="L7" s="28"/>
    </row>
    <row r="8" spans="1:12" x14ac:dyDescent="0.25">
      <c r="A8" s="32" t="s">
        <v>182</v>
      </c>
      <c r="B8" s="33" t="s">
        <v>156</v>
      </c>
      <c r="C8" s="103">
        <v>748437.98311999999</v>
      </c>
      <c r="D8" s="14">
        <v>643110.01217</v>
      </c>
      <c r="E8" s="23">
        <f>IF(748437.98312="","-",643110.01217/748437.98312*100)</f>
        <v>85.926960773567217</v>
      </c>
      <c r="F8" s="106">
        <f>IF(748437.98312="","-",748437.98312/3277823.24746*100)</f>
        <v>22.83338443279295</v>
      </c>
      <c r="G8" s="106">
        <f>IF(643110.01217="","-",643110.01217/3014879.35037*100)</f>
        <v>21.331202261578877</v>
      </c>
      <c r="H8" s="106">
        <f>IF(2103421.20669="","-",(748437.98312-485548.60487)/2103421.20669*100)</f>
        <v>12.498180460188941</v>
      </c>
      <c r="I8" s="106">
        <f>IF(3277823.24746="","-",(643110.01217-748437.98312)/3277823.24746*100)</f>
        <v>-3.2133511479491492</v>
      </c>
    </row>
    <row r="9" spans="1:12" x14ac:dyDescent="0.25">
      <c r="A9" s="34" t="s">
        <v>183</v>
      </c>
      <c r="B9" s="35" t="s">
        <v>17</v>
      </c>
      <c r="C9" s="104">
        <v>4044.1605599999998</v>
      </c>
      <c r="D9" s="15">
        <v>6314.3254399999996</v>
      </c>
      <c r="E9" s="24">
        <f>IF(OR(4044.16056="",6314.32544=""),"-",6314.32544/4044.16056*100)</f>
        <v>156.13439047039219</v>
      </c>
      <c r="F9" s="107">
        <f>IF(4044.16056="","-",4044.16056/3277823.24746*100)</f>
        <v>0.12337945809414334</v>
      </c>
      <c r="G9" s="107">
        <f>IF(6314.32544="","-",6314.32544/3014879.35037*100)</f>
        <v>0.20943874384973571</v>
      </c>
      <c r="H9" s="107">
        <f>IF(OR(2103421.20669="",6461.95654="",4044.16056=""),"-",(4044.16056-6461.95654)/2103421.20669*100)</f>
        <v>-0.11494587828201604</v>
      </c>
      <c r="I9" s="107">
        <f>IF(OR(3277823.24746="",6314.32544="",4044.16056=""),"-",(6314.32544-4044.16056)/3277823.24746*100)</f>
        <v>6.9258306766820349E-2</v>
      </c>
      <c r="J9" s="32"/>
    </row>
    <row r="10" spans="1:12" x14ac:dyDescent="0.25">
      <c r="A10" s="34" t="s">
        <v>184</v>
      </c>
      <c r="B10" s="35" t="s">
        <v>157</v>
      </c>
      <c r="C10" s="104">
        <v>2934.72678</v>
      </c>
      <c r="D10" s="15">
        <v>3070.7215099999999</v>
      </c>
      <c r="E10" s="24">
        <f>IF(OR(2934.72678="",3070.72151=""),"-",3070.72151/2934.72678*100)</f>
        <v>104.63398265647066</v>
      </c>
      <c r="F10" s="107">
        <f>IF(2934.72678="","-",2934.72678/3277823.24746*100)</f>
        <v>8.9532795347465194E-2</v>
      </c>
      <c r="G10" s="107">
        <f>IF(3070.72151="","-",3070.72151/3014879.35037*100)</f>
        <v>0.10185221871724806</v>
      </c>
      <c r="H10" s="107">
        <f>IF(OR(2103421.20669="",5374.87323="",2934.72678=""),"-",(2934.72678-5374.87323)/2103421.20669*100)</f>
        <v>-0.11600845528413589</v>
      </c>
      <c r="I10" s="107">
        <f>IF(OR(3277823.24746="",3070.72151="",2934.72678=""),"-",(3070.72151-2934.72678)/3277823.24746*100)</f>
        <v>4.1489342082549081E-3</v>
      </c>
      <c r="J10" s="34"/>
    </row>
    <row r="11" spans="1:12" s="2" customFormat="1" x14ac:dyDescent="0.25">
      <c r="A11" s="34" t="s">
        <v>185</v>
      </c>
      <c r="B11" s="35" t="s">
        <v>158</v>
      </c>
      <c r="C11" s="104">
        <v>13188.01735</v>
      </c>
      <c r="D11" s="15">
        <v>13825.22586</v>
      </c>
      <c r="E11" s="24">
        <f>IF(OR(13188.01735="",13825.22586=""),"-",13825.22586/13188.01735*100)</f>
        <v>104.83172332192905</v>
      </c>
      <c r="F11" s="107">
        <f>IF(13188.01735="","-",13188.01735/3277823.24746*100)</f>
        <v>0.40234071072073374</v>
      </c>
      <c r="G11" s="107">
        <f>IF(13825.22586="","-",13825.22586/3014879.35037*100)</f>
        <v>0.45856647160037445</v>
      </c>
      <c r="H11" s="107">
        <f>IF(OR(2103421.20669="",9442.52997="",13188.01735=""),"-",(13188.01735-9442.52997)/2103421.20669*100)</f>
        <v>0.17806644565945021</v>
      </c>
      <c r="I11" s="107">
        <f>IF(OR(3277823.24746="",13825.22586="",13188.01735=""),"-",(13825.22586-13188.01735)/3277823.24746*100)</f>
        <v>1.9439989953508815E-2</v>
      </c>
      <c r="J11" s="34"/>
      <c r="K11" s="18"/>
      <c r="L11" s="18"/>
    </row>
    <row r="12" spans="1:12" s="2" customFormat="1" x14ac:dyDescent="0.25">
      <c r="A12" s="34" t="s">
        <v>186</v>
      </c>
      <c r="B12" s="35" t="s">
        <v>159</v>
      </c>
      <c r="C12" s="104">
        <v>56.987340000000003</v>
      </c>
      <c r="D12" s="15">
        <v>228.23747</v>
      </c>
      <c r="E12" s="24" t="s">
        <v>348</v>
      </c>
      <c r="F12" s="107">
        <f>IF(56.98734="","-",56.98734/3277823.24746*100)</f>
        <v>1.7385726958938298E-3</v>
      </c>
      <c r="G12" s="107">
        <f>IF(228.23747="","-",228.23747/3014879.35037*100)</f>
        <v>7.5703682793140502E-3</v>
      </c>
      <c r="H12" s="107">
        <f>IF(OR(2103421.20669="",39.54038="",56.98734=""),"-",(56.98734-39.54038)/2103421.20669*100)</f>
        <v>8.2945631357663309E-4</v>
      </c>
      <c r="I12" s="107">
        <f>IF(OR(3277823.24746="",228.23747="",56.98734=""),"-",(228.23747-56.98734)/3277823.24746*100)</f>
        <v>5.224507762360356E-3</v>
      </c>
      <c r="J12" s="34"/>
      <c r="K12" s="18"/>
      <c r="L12" s="18"/>
    </row>
    <row r="13" spans="1:12" s="2" customFormat="1" x14ac:dyDescent="0.25">
      <c r="A13" s="34" t="s">
        <v>187</v>
      </c>
      <c r="B13" s="35" t="s">
        <v>160</v>
      </c>
      <c r="C13" s="104">
        <v>397037.32928000001</v>
      </c>
      <c r="D13" s="15">
        <v>298444.13951000001</v>
      </c>
      <c r="E13" s="24">
        <f>IF(OR(397037.32928="",298444.13951=""),"-",298444.13951/397037.32928*100)</f>
        <v>75.167778317270077</v>
      </c>
      <c r="F13" s="107">
        <f>IF(397037.32928="","-",397037.32928/3277823.24746*100)</f>
        <v>12.112835235629804</v>
      </c>
      <c r="G13" s="107">
        <f>IF(298444.13951="","-",298444.13951/3014879.35037*100)</f>
        <v>9.8990408844510984</v>
      </c>
      <c r="H13" s="107">
        <f>IF(OR(2103421.20669="",218302.03652="",397037.32928=""),"-",(397037.32928-218302.03652)/2103421.20669*100)</f>
        <v>8.4973609751354875</v>
      </c>
      <c r="I13" s="107">
        <f>IF(OR(3277823.24746="",298444.13951="",397037.32928=""),"-",(298444.13951-397037.32928)/3277823.24746*100)</f>
        <v>-3.0078860977754154</v>
      </c>
      <c r="J13" s="34"/>
      <c r="K13" s="18"/>
      <c r="L13" s="18"/>
    </row>
    <row r="14" spans="1:12" s="2" customFormat="1" x14ac:dyDescent="0.25">
      <c r="A14" s="34" t="s">
        <v>188</v>
      </c>
      <c r="B14" s="35" t="s">
        <v>161</v>
      </c>
      <c r="C14" s="104">
        <v>258314.15276</v>
      </c>
      <c r="D14" s="15">
        <v>242748.26808000001</v>
      </c>
      <c r="E14" s="24">
        <f>IF(OR(258314.15276="",242748.26808=""),"-",242748.26808/258314.15276*100)</f>
        <v>93.97404884181384</v>
      </c>
      <c r="F14" s="107">
        <f>IF(258314.15276="","-",258314.15276/3277823.24746*100)</f>
        <v>7.8806614407951612</v>
      </c>
      <c r="G14" s="107">
        <f>IF(242748.26808="","-",242748.26808/3014879.35037*100)</f>
        <v>8.0516743746382033</v>
      </c>
      <c r="H14" s="107">
        <f>IF(OR(2103421.20669="",205196.72703="",258314.15276=""),"-",(258314.15276-205196.72703)/2103421.20669*100)</f>
        <v>2.5252871636483589</v>
      </c>
      <c r="I14" s="107">
        <f>IF(OR(3277823.24746="",242748.26808="",258314.15276=""),"-",(242748.26808-258314.15276)/3277823.24746*100)</f>
        <v>-0.47488480936432625</v>
      </c>
      <c r="J14" s="34"/>
      <c r="K14" s="18"/>
      <c r="L14" s="18"/>
    </row>
    <row r="15" spans="1:12" s="2" customFormat="1" x14ac:dyDescent="0.25">
      <c r="A15" s="34" t="s">
        <v>189</v>
      </c>
      <c r="B15" s="35" t="s">
        <v>119</v>
      </c>
      <c r="C15" s="104">
        <v>17868.364079999999</v>
      </c>
      <c r="D15" s="15">
        <v>13955.33432</v>
      </c>
      <c r="E15" s="24">
        <f>IF(OR(17868.36408="",13955.33432=""),"-",13955.33432/17868.36408*100)</f>
        <v>78.100794552424418</v>
      </c>
      <c r="F15" s="107">
        <f>IF(17868.36408="","-",17868.36408/3277823.24746*100)</f>
        <v>0.54512896916715303</v>
      </c>
      <c r="G15" s="107">
        <f>IF(13955.33432="","-",13955.33432/3014879.35037*100)</f>
        <v>0.46288201610082125</v>
      </c>
      <c r="H15" s="107">
        <f>IF(OR(2103421.20669="",15656.53537="",17868.36408=""),"-",(17868.36408-15656.53537)/2103421.20669*100)</f>
        <v>0.1051538656625314</v>
      </c>
      <c r="I15" s="107">
        <f>IF(OR(3277823.24746="",13955.33432="",17868.36408=""),"-",(13955.33432-17868.36408)/3277823.24746*100)</f>
        <v>-0.11937891291216582</v>
      </c>
      <c r="J15" s="34"/>
      <c r="K15" s="18"/>
      <c r="L15" s="18"/>
    </row>
    <row r="16" spans="1:12" s="2" customFormat="1" ht="17.25" customHeight="1" x14ac:dyDescent="0.25">
      <c r="A16" s="34" t="s">
        <v>190</v>
      </c>
      <c r="B16" s="35" t="s">
        <v>162</v>
      </c>
      <c r="C16" s="104">
        <v>8152.8529500000004</v>
      </c>
      <c r="D16" s="15">
        <v>9099.0690300000006</v>
      </c>
      <c r="E16" s="24">
        <f>IF(OR(8152.85295="",9099.06903=""),"-",9099.06903/8152.85295*100)</f>
        <v>111.60595052802958</v>
      </c>
      <c r="F16" s="107">
        <f>IF(8152.85295="","-",8152.85295/3277823.24746*100)</f>
        <v>0.24872765657262585</v>
      </c>
      <c r="G16" s="107">
        <f>IF(9099.06903="","-",9099.06903/3014879.35037*100)</f>
        <v>0.30180541151284612</v>
      </c>
      <c r="H16" s="107">
        <f>IF(OR(2103421.20669="",7342.97139="",8152.85295=""),"-",(8152.85295-7342.97139)/2103421.20669*100)</f>
        <v>3.8503061461211185E-2</v>
      </c>
      <c r="I16" s="107">
        <f>IF(OR(3277823.24746="",9099.06903="",8152.85295=""),"-",(9099.06903-8152.85295)/3277823.24746*100)</f>
        <v>2.8867208771346266E-2</v>
      </c>
      <c r="J16" s="34"/>
      <c r="K16" s="18"/>
      <c r="L16" s="18"/>
    </row>
    <row r="17" spans="1:12" s="2" customFormat="1" ht="15.75" customHeight="1" x14ac:dyDescent="0.25">
      <c r="A17" s="34" t="s">
        <v>191</v>
      </c>
      <c r="B17" s="35" t="s">
        <v>120</v>
      </c>
      <c r="C17" s="104">
        <v>40515.13192</v>
      </c>
      <c r="D17" s="15">
        <v>47461.71832</v>
      </c>
      <c r="E17" s="24">
        <f>IF(OR(40515.13192="",47461.71832=""),"-",47461.71832/40515.13192*100)</f>
        <v>117.14565909279655</v>
      </c>
      <c r="F17" s="107">
        <f>IF(40515.13192="","-",40515.13192/3277823.24746*100)</f>
        <v>1.2360377256886979</v>
      </c>
      <c r="G17" s="107">
        <f>IF(47461.71832="","-",47461.71832/3014879.35037*100)</f>
        <v>1.5742493414927294</v>
      </c>
      <c r="H17" s="107">
        <f>IF(OR(2103421.20669="",13583.90044="",40515.13192=""),"-",(40515.13192-13583.90044)/2103421.20669*100)</f>
        <v>1.2803537111038121</v>
      </c>
      <c r="I17" s="107">
        <f>IF(OR(3277823.24746="",47461.71832="",40515.13192=""),"-",(47461.71832-40515.13192)/3277823.24746*100)</f>
        <v>0.21192681470493996</v>
      </c>
      <c r="J17" s="34"/>
      <c r="K17" s="18"/>
      <c r="L17" s="18"/>
    </row>
    <row r="18" spans="1:12" s="2" customFormat="1" x14ac:dyDescent="0.25">
      <c r="A18" s="34" t="s">
        <v>192</v>
      </c>
      <c r="B18" s="35" t="s">
        <v>163</v>
      </c>
      <c r="C18" s="104">
        <v>6326.2601000000004</v>
      </c>
      <c r="D18" s="15">
        <v>7962.9726300000002</v>
      </c>
      <c r="E18" s="24">
        <f>IF(OR(6326.2601="",7962.97263=""),"-",7962.97263/6326.2601*100)</f>
        <v>125.87172364285179</v>
      </c>
      <c r="F18" s="107">
        <f>IF(6326.2601="","-",6326.2601/3277823.24746*100)</f>
        <v>0.19300186808127154</v>
      </c>
      <c r="G18" s="107">
        <f>IF(7962.97263="","-",7962.97263/3014879.35037*100)</f>
        <v>0.26412243093650656</v>
      </c>
      <c r="H18" s="107">
        <f>IF(OR(2103421.20669="",4147.534="",6326.2601=""),"-",(6326.2601-4147.534)/2103421.20669*100)</f>
        <v>0.10358011477066462</v>
      </c>
      <c r="I18" s="107">
        <f>IF(OR(3277823.24746="",7962.97263="",6326.2601=""),"-",(7962.97263-6326.2601)/3277823.24746*100)</f>
        <v>4.9932909935527958E-2</v>
      </c>
      <c r="J18" s="34"/>
      <c r="K18" s="18"/>
      <c r="L18" s="18"/>
    </row>
    <row r="19" spans="1:12" s="2" customFormat="1" x14ac:dyDescent="0.25">
      <c r="A19" s="32" t="s">
        <v>193</v>
      </c>
      <c r="B19" s="33" t="s">
        <v>164</v>
      </c>
      <c r="C19" s="103">
        <v>135405.93697000001</v>
      </c>
      <c r="D19" s="14">
        <v>158121.92113</v>
      </c>
      <c r="E19" s="23">
        <f>IF(135405.93697="","-",158121.92113/135405.93697*100)</f>
        <v>116.77620986813366</v>
      </c>
      <c r="F19" s="106">
        <f>IF(135405.93697="","-",135405.93697/3277823.24746*100)</f>
        <v>4.1309712802521208</v>
      </c>
      <c r="G19" s="106">
        <f>IF(158121.92113="","-",158121.92113/3014879.35037*100)</f>
        <v>5.244718038570749</v>
      </c>
      <c r="H19" s="106">
        <f>IF(2103421.20669="","-",(135405.93697-149522.88688)/2103421.20669*100)</f>
        <v>-0.67114232114331529</v>
      </c>
      <c r="I19" s="106">
        <f>IF(3277823.24746="","-",(158121.92113-135405.93697)/3277823.24746*100)</f>
        <v>0.69302041156742389</v>
      </c>
      <c r="J19" s="34"/>
      <c r="K19" s="18"/>
      <c r="L19" s="18"/>
    </row>
    <row r="20" spans="1:12" s="2" customFormat="1" x14ac:dyDescent="0.25">
      <c r="A20" s="34" t="s">
        <v>194</v>
      </c>
      <c r="B20" s="35" t="s">
        <v>165</v>
      </c>
      <c r="C20" s="104">
        <v>127873.23828000001</v>
      </c>
      <c r="D20" s="15">
        <v>149557.44248999999</v>
      </c>
      <c r="E20" s="24">
        <f>IF(OR(127873.23828="",149557.44249=""),"-",149557.44249/127873.23828*100)</f>
        <v>116.95757806846086</v>
      </c>
      <c r="F20" s="107">
        <f>IF(127873.23828="","-",127873.23828/3277823.24746*100)</f>
        <v>3.9011633216980064</v>
      </c>
      <c r="G20" s="107">
        <f>IF(149557.44249="","-",149557.44249/3014879.35037*100)</f>
        <v>4.9606443611630961</v>
      </c>
      <c r="H20" s="107">
        <f>IF(OR(2103421.20669="",140256.9584="",127873.23828=""),"-",(127873.23828-140256.9584)/2103421.20669*100)</f>
        <v>-0.58874181170243844</v>
      </c>
      <c r="I20" s="107">
        <f>IF(OR(3277823.24746="",149557.44249="",127873.23828=""),"-",(149557.44249-127873.23828)/3277823.24746*100)</f>
        <v>0.66154281585510044</v>
      </c>
      <c r="J20" s="32"/>
      <c r="K20" s="18"/>
      <c r="L20" s="18"/>
    </row>
    <row r="21" spans="1:12" s="2" customFormat="1" x14ac:dyDescent="0.25">
      <c r="A21" s="34" t="s">
        <v>195</v>
      </c>
      <c r="B21" s="35" t="s">
        <v>166</v>
      </c>
      <c r="C21" s="104">
        <v>7532.6986900000002</v>
      </c>
      <c r="D21" s="15">
        <v>8564.4786399999994</v>
      </c>
      <c r="E21" s="24">
        <f>IF(OR(7532.69869="",8564.47864=""),"-",8564.47864/7532.69869*100)</f>
        <v>113.69734795538461</v>
      </c>
      <c r="F21" s="107">
        <f>IF(7532.69869="","-",7532.69869/3277823.24746*100)</f>
        <v>0.22980795855411426</v>
      </c>
      <c r="G21" s="107">
        <f>IF(8564.47864="","-",8564.47864/3014879.35037*100)</f>
        <v>0.28407367740765238</v>
      </c>
      <c r="H21" s="107">
        <f>IF(OR(2103421.20669="",9265.92848="",7532.69869=""),"-",(7532.69869-9265.92848)/2103421.20669*100)</f>
        <v>-8.2400509440876901E-2</v>
      </c>
      <c r="I21" s="107">
        <f>IF(OR(3277823.24746="",8564.47864="",7532.69869=""),"-",(8564.47864-7532.69869)/3277823.24746*100)</f>
        <v>3.1477595712323107E-2</v>
      </c>
      <c r="J21" s="34"/>
      <c r="K21" s="18"/>
      <c r="L21" s="18"/>
    </row>
    <row r="22" spans="1:12" s="2" customFormat="1" x14ac:dyDescent="0.25">
      <c r="A22" s="32" t="s">
        <v>196</v>
      </c>
      <c r="B22" s="33" t="s">
        <v>18</v>
      </c>
      <c r="C22" s="103">
        <v>399102.55063999997</v>
      </c>
      <c r="D22" s="14">
        <v>249050.64683000001</v>
      </c>
      <c r="E22" s="23">
        <f>IF(399102.55064="","-",249050.64683/399102.55064*100)</f>
        <v>62.402669797680552</v>
      </c>
      <c r="F22" s="106">
        <f>IF(399102.55064="","-",399102.55064/3277823.24746*100)</f>
        <v>12.17584111496147</v>
      </c>
      <c r="G22" s="106">
        <f>IF(249050.64683="","-",249050.64683/3014879.35037*100)</f>
        <v>8.2607168608400645</v>
      </c>
      <c r="H22" s="106">
        <f>IF(2103421.20669="","-",(399102.55064-216511.2678)/2103421.20669*100)</f>
        <v>8.6806808954508217</v>
      </c>
      <c r="I22" s="106">
        <f>IF(3277823.24746="","-",(249050.64683-399102.55064)/3277823.24746*100)</f>
        <v>-4.5777911889018377</v>
      </c>
      <c r="J22" s="34"/>
      <c r="K22" s="18"/>
      <c r="L22" s="18"/>
    </row>
    <row r="23" spans="1:12" s="2" customFormat="1" x14ac:dyDescent="0.25">
      <c r="A23" s="34" t="s">
        <v>197</v>
      </c>
      <c r="B23" s="35" t="s">
        <v>173</v>
      </c>
      <c r="C23" s="104">
        <v>990.21055999999999</v>
      </c>
      <c r="D23" s="15">
        <v>983.89565000000005</v>
      </c>
      <c r="E23" s="24">
        <f>IF(OR(990.21056="",983.89565=""),"-",983.89565/990.21056*100)</f>
        <v>99.362265940690435</v>
      </c>
      <c r="F23" s="107">
        <f>IF(990.21056="","-",990.21056/3277823.24746*100)</f>
        <v>3.0209394626977481E-2</v>
      </c>
      <c r="G23" s="107">
        <f>IF(983.89565="","-",983.89565/3014879.35037*100)</f>
        <v>3.2634660815838344E-2</v>
      </c>
      <c r="H23" s="107">
        <f>IF(OR(2103421.20669="",917.82816="",990.21056=""),"-",(990.21056-917.82816)/2103421.20669*100)</f>
        <v>3.4411747761116684E-3</v>
      </c>
      <c r="I23" s="107">
        <f>IF(OR(3277823.24746="",983.89565="",990.21056=""),"-",(983.89565-990.21056)/3277823.24746*100)</f>
        <v>-1.9265559864746804E-4</v>
      </c>
      <c r="J23" s="32"/>
      <c r="K23" s="18"/>
      <c r="L23" s="18"/>
    </row>
    <row r="24" spans="1:12" s="2" customFormat="1" x14ac:dyDescent="0.25">
      <c r="A24" s="34" t="s">
        <v>198</v>
      </c>
      <c r="B24" s="35" t="s">
        <v>167</v>
      </c>
      <c r="C24" s="104">
        <v>324966.58156000002</v>
      </c>
      <c r="D24" s="15">
        <v>196315.18866000001</v>
      </c>
      <c r="E24" s="24">
        <f>IF(OR(324966.58156="",196315.18866=""),"-",196315.18866/324966.58156*100)</f>
        <v>60.41088524167322</v>
      </c>
      <c r="F24" s="107">
        <f>IF(324966.58156="","-",324966.58156/3277823.24746*100)</f>
        <v>9.9140971622499183</v>
      </c>
      <c r="G24" s="107">
        <f>IF(196315.18866="","-",196315.18866/3014879.35037*100)</f>
        <v>6.5115437749078522</v>
      </c>
      <c r="H24" s="107">
        <f>IF(OR(2103421.20669="",137417.61107="",324966.58156=""),"-",(324966.58156-137417.61107)/2103421.20669*100)</f>
        <v>8.916377275910996</v>
      </c>
      <c r="I24" s="107">
        <f>IF(OR(3277823.24746="",196315.18866="",324966.58156=""),"-",(196315.18866-324966.58156)/3277823.24746*100)</f>
        <v>-3.9249033028151392</v>
      </c>
      <c r="J24" s="34"/>
      <c r="K24" s="18"/>
      <c r="L24" s="18"/>
    </row>
    <row r="25" spans="1:12" s="2" customFormat="1" x14ac:dyDescent="0.25">
      <c r="A25" s="34" t="s">
        <v>251</v>
      </c>
      <c r="B25" s="35" t="s">
        <v>168</v>
      </c>
      <c r="C25" s="104">
        <v>50.69014</v>
      </c>
      <c r="D25" s="15">
        <v>20.307729999999999</v>
      </c>
      <c r="E25" s="24">
        <f>IF(OR(50.69014="",20.30773=""),"-",20.30773/50.69014*100)</f>
        <v>40.062485524798312</v>
      </c>
      <c r="F25" s="107">
        <f>IF(50.69014="","-",50.69014/3277823.24746*100)</f>
        <v>1.5464573948360399E-3</v>
      </c>
      <c r="G25" s="107">
        <f>IF(20.30773="","-",20.30773/3014879.35037*100)</f>
        <v>6.7358350500850849E-4</v>
      </c>
      <c r="H25" s="107">
        <f>IF(OR(2103421.20669="",0.68271="",50.69014=""),"-",(50.69014-0.68271)/2103421.20669*100)</f>
        <v>2.3774330049040932E-3</v>
      </c>
      <c r="I25" s="107">
        <f>IF(OR(3277823.24746="",20.30773="",50.69014=""),"-",(20.30773-50.69014)/3277823.24746*100)</f>
        <v>-9.2690812488267825E-4</v>
      </c>
      <c r="J25" s="34"/>
      <c r="K25" s="18"/>
      <c r="L25" s="18"/>
    </row>
    <row r="26" spans="1:12" s="2" customFormat="1" x14ac:dyDescent="0.25">
      <c r="A26" s="34" t="s">
        <v>199</v>
      </c>
      <c r="B26" s="35" t="s">
        <v>169</v>
      </c>
      <c r="C26" s="104">
        <v>2925.8766300000002</v>
      </c>
      <c r="D26" s="15">
        <v>2523.3705799999998</v>
      </c>
      <c r="E26" s="24">
        <f>IF(OR(2925.87663="",2523.37058=""),"-",2523.37058/2925.87663*100)</f>
        <v>86.243232340250771</v>
      </c>
      <c r="F26" s="107">
        <f>IF(2925.87663="","-",2925.87663/3277823.24746*100)</f>
        <v>8.9262794516674293E-2</v>
      </c>
      <c r="G26" s="107">
        <f>IF(2523.37058="","-",2523.37058/3014879.35037*100)</f>
        <v>8.3697232517457781E-2</v>
      </c>
      <c r="H26" s="107">
        <f>IF(OR(2103421.20669="",1747.32545="",2925.87663=""),"-",(2925.87663-1747.32545)/2103421.20669*100)</f>
        <v>5.6030203377791368E-2</v>
      </c>
      <c r="I26" s="107">
        <f>IF(OR(3277823.24746="",2523.37058="",2925.87663=""),"-",(2523.37058-2925.87663)/3277823.24746*100)</f>
        <v>-1.2279675248258251E-2</v>
      </c>
      <c r="J26" s="34"/>
      <c r="K26" s="18"/>
      <c r="L26" s="18"/>
    </row>
    <row r="27" spans="1:12" s="2" customFormat="1" x14ac:dyDescent="0.25">
      <c r="A27" s="34" t="s">
        <v>200</v>
      </c>
      <c r="B27" s="35" t="s">
        <v>121</v>
      </c>
      <c r="C27" s="104">
        <v>3988.3240599999999</v>
      </c>
      <c r="D27" s="15">
        <v>2516.6795699999998</v>
      </c>
      <c r="E27" s="24">
        <f>IF(OR(3988.32406="",2516.67957=""),"-",2516.67957/3988.32406*100)</f>
        <v>63.101180649799048</v>
      </c>
      <c r="F27" s="107">
        <f>IF(3988.32406="","-",3988.32406/3277823.24746*100)</f>
        <v>0.12167599528408281</v>
      </c>
      <c r="G27" s="107">
        <f>IF(2516.67957="","-",2516.67957/3014879.35037*100)</f>
        <v>8.3475299590052954E-2</v>
      </c>
      <c r="H27" s="107">
        <f>IF(OR(2103421.20669="",3618.1362="",3988.32406=""),"-",(3988.32406-3618.1362)/2103421.20669*100)</f>
        <v>1.759932146840611E-2</v>
      </c>
      <c r="I27" s="107">
        <f>IF(OR(3277823.24746="",2516.67957="",3988.32406=""),"-",(2516.67957-3988.32406)/3277823.24746*100)</f>
        <v>-4.489700569243274E-2</v>
      </c>
      <c r="J27" s="34"/>
      <c r="K27" s="18"/>
      <c r="L27" s="18"/>
    </row>
    <row r="28" spans="1:12" s="2" customFormat="1" ht="27.75" customHeight="1" x14ac:dyDescent="0.25">
      <c r="A28" s="34" t="s">
        <v>201</v>
      </c>
      <c r="B28" s="35" t="s">
        <v>122</v>
      </c>
      <c r="C28" s="104">
        <v>83.459180000000003</v>
      </c>
      <c r="D28" s="15">
        <v>214.43043</v>
      </c>
      <c r="E28" s="24" t="s">
        <v>392</v>
      </c>
      <c r="F28" s="107">
        <f>IF(83.45918="","-",83.45918/3277823.24746*100)</f>
        <v>2.5461769503487687E-3</v>
      </c>
      <c r="G28" s="107">
        <f>IF(214.43043="","-",214.43043/3014879.35037*100)</f>
        <v>7.1124050112879008E-3</v>
      </c>
      <c r="H28" s="107">
        <f>IF(OR(2103421.20669="",188.96967="",83.45918=""),"-",(83.45918-188.96967)/2103421.20669*100)</f>
        <v>-5.0161370278297302E-3</v>
      </c>
      <c r="I28" s="107">
        <f>IF(OR(3277823.24746="",214.43043="",83.45918=""),"-",(214.43043-83.45918)/3277823.24746*100)</f>
        <v>3.9956776223821775E-3</v>
      </c>
      <c r="J28" s="34"/>
      <c r="K28" s="18"/>
      <c r="L28" s="18"/>
    </row>
    <row r="29" spans="1:12" s="2" customFormat="1" ht="29.25" customHeight="1" x14ac:dyDescent="0.25">
      <c r="A29" s="34" t="s">
        <v>202</v>
      </c>
      <c r="B29" s="35" t="s">
        <v>123</v>
      </c>
      <c r="C29" s="104">
        <v>16272.13488</v>
      </c>
      <c r="D29" s="15">
        <v>16573.159309999999</v>
      </c>
      <c r="E29" s="24">
        <f>IF(OR(16272.13488="",16573.15931=""),"-",16573.15931/16272.13488*100)</f>
        <v>101.84993814407221</v>
      </c>
      <c r="F29" s="107">
        <f>IF(16272.13488="","-",16272.13488/3277823.24746*100)</f>
        <v>0.4964311267427049</v>
      </c>
      <c r="G29" s="107">
        <f>IF(16573.15931="","-",16573.15931/3014879.35037*100)</f>
        <v>0.54971219023958828</v>
      </c>
      <c r="H29" s="107">
        <f>IF(OR(2103421.20669="",6012.53599="",16272.13488=""),"-",(16272.13488-6012.53599)/2103421.20669*100)</f>
        <v>0.48775769956911197</v>
      </c>
      <c r="I29" s="107">
        <f>IF(OR(3277823.24746="",16573.15931="",16272.13488=""),"-",(16573.15931-16272.13488)/3277823.24746*100)</f>
        <v>9.1836687726607798E-3</v>
      </c>
      <c r="J29" s="34"/>
      <c r="K29" s="18"/>
      <c r="L29" s="18"/>
    </row>
    <row r="30" spans="1:12" s="2" customFormat="1" ht="15.75" customHeight="1" x14ac:dyDescent="0.25">
      <c r="A30" s="34" t="s">
        <v>203</v>
      </c>
      <c r="B30" s="35" t="s">
        <v>124</v>
      </c>
      <c r="C30" s="104">
        <v>46867.373189999998</v>
      </c>
      <c r="D30" s="15">
        <v>26226.262589999998</v>
      </c>
      <c r="E30" s="24">
        <f>IF(OR(46867.37319="",26226.26259=""),"-",26226.26259/46867.37319*100)</f>
        <v>55.958464929704753</v>
      </c>
      <c r="F30" s="107">
        <f>IF(46867.37319="","-",46867.37319/3277823.24746*100)</f>
        <v>1.4298322286388605</v>
      </c>
      <c r="G30" s="107">
        <f>IF(26226.26259="","-",26226.26259/3014879.35037*100)</f>
        <v>0.86989426581137941</v>
      </c>
      <c r="H30" s="107">
        <f>IF(OR(2103421.20669="",63941.0492="",46867.37319=""),"-",(46867.37319-63941.0492)/2103421.20669*100)</f>
        <v>-0.81170979714840841</v>
      </c>
      <c r="I30" s="107">
        <f>IF(OR(3277823.24746="",26226.26259="",46867.37319=""),"-",(26226.26259-46867.37319)/3277823.24746*100)</f>
        <v>-0.62972006242236789</v>
      </c>
      <c r="J30" s="34"/>
      <c r="K30" s="18"/>
      <c r="L30" s="18"/>
    </row>
    <row r="31" spans="1:12" s="2" customFormat="1" x14ac:dyDescent="0.25">
      <c r="A31" s="34" t="s">
        <v>204</v>
      </c>
      <c r="B31" s="35" t="s">
        <v>125</v>
      </c>
      <c r="C31" s="104">
        <v>2957.9004399999999</v>
      </c>
      <c r="D31" s="15">
        <v>3677.3523100000002</v>
      </c>
      <c r="E31" s="24">
        <f>IF(OR(2957.90044="",3677.35231=""),"-",3677.35231/2957.90044*100)</f>
        <v>124.32305902763923</v>
      </c>
      <c r="F31" s="107">
        <f>IF(2957.90044="","-",2957.90044/3277823.24746*100)</f>
        <v>9.0239778557068023E-2</v>
      </c>
      <c r="G31" s="107">
        <f>IF(3677.35231="","-",3677.35231/3014879.35037*100)</f>
        <v>0.12197344844160012</v>
      </c>
      <c r="H31" s="107">
        <f>IF(OR(2103421.20669="",2667.12935="",2957.90044=""),"-",(2957.90044-2667.12935)/2103421.20669*100)</f>
        <v>1.3823721519740925E-2</v>
      </c>
      <c r="I31" s="107">
        <f>IF(OR(3277823.24746="",3677.35231="",2957.90044=""),"-",(3677.35231-2957.90044)/3277823.24746*100)</f>
        <v>2.1949074604846578E-2</v>
      </c>
      <c r="J31" s="34"/>
      <c r="K31" s="18"/>
      <c r="L31" s="18"/>
    </row>
    <row r="32" spans="1:12" s="2" customFormat="1" x14ac:dyDescent="0.25">
      <c r="A32" s="32" t="s">
        <v>205</v>
      </c>
      <c r="B32" s="33" t="s">
        <v>126</v>
      </c>
      <c r="C32" s="103">
        <v>403716.96221999999</v>
      </c>
      <c r="D32" s="14">
        <v>386118.64941999997</v>
      </c>
      <c r="E32" s="23">
        <f>IF(403716.96222="","-",386118.64942/403716.96222*100)</f>
        <v>95.640928064248627</v>
      </c>
      <c r="F32" s="106">
        <f>IF(403716.96222="","-",403716.96222/3277823.24746*100)</f>
        <v>12.316617820464909</v>
      </c>
      <c r="G32" s="106">
        <f>IF(386118.64942="","-",386118.64942/3014879.35037*100)</f>
        <v>12.807101198680263</v>
      </c>
      <c r="H32" s="106">
        <f>IF(2103421.20669="","-",(403716.96222-14343.2382)/2103421.20669*100)</f>
        <v>18.511448053370579</v>
      </c>
      <c r="I32" s="106">
        <f>IF(3277823.24746="","-",(386118.64942-403716.96222)/3277823.24746*100)</f>
        <v>-0.53689023084563903</v>
      </c>
      <c r="J32" s="34"/>
      <c r="K32" s="18"/>
      <c r="L32" s="18"/>
    </row>
    <row r="33" spans="1:12" s="2" customFormat="1" x14ac:dyDescent="0.25">
      <c r="A33" s="34" t="s">
        <v>206</v>
      </c>
      <c r="B33" s="35" t="s">
        <v>170</v>
      </c>
      <c r="C33" s="104">
        <v>696.79489999999998</v>
      </c>
      <c r="D33" s="15">
        <v>122.53265</v>
      </c>
      <c r="E33" s="24">
        <f>IF(OR(696.7949="",122.53265=""),"-",122.53265/696.7949*100)</f>
        <v>17.585181808879486</v>
      </c>
      <c r="F33" s="107">
        <f>IF(696.7949="","-",696.7949/3277823.24746*100)</f>
        <v>2.1257854600303706E-2</v>
      </c>
      <c r="G33" s="107">
        <f>IF(122.53265="","-",122.53265/3014879.35037*100)</f>
        <v>4.0642637983162484E-3</v>
      </c>
      <c r="H33" s="107">
        <f>IF(OR(2103421.20669="",379.90658="",696.7949=""),"-",(696.7949-379.90658)/2103421.20669*100)</f>
        <v>1.5065376301813746E-2</v>
      </c>
      <c r="I33" s="107">
        <f>IF(OR(3277823.24746="",122.53265="",696.7949=""),"-",(122.53265-696.7949)/3277823.24746*100)</f>
        <v>-1.7519622220173049E-2</v>
      </c>
      <c r="J33" s="32"/>
      <c r="K33" s="18"/>
      <c r="L33" s="18"/>
    </row>
    <row r="34" spans="1:12" s="2" customFormat="1" x14ac:dyDescent="0.25">
      <c r="A34" s="34" t="s">
        <v>207</v>
      </c>
      <c r="B34" s="35" t="s">
        <v>127</v>
      </c>
      <c r="C34" s="104">
        <v>383176.00162</v>
      </c>
      <c r="D34" s="15">
        <v>348583.69468999997</v>
      </c>
      <c r="E34" s="24">
        <f>IF(OR(383176.00162="",348583.69469=""),"-",348583.69469/383176.00162*100)</f>
        <v>90.972214652339943</v>
      </c>
      <c r="F34" s="107">
        <f>IF(383176.00162="","-",383176.00162/3277823.24746*100)</f>
        <v>11.68995313938678</v>
      </c>
      <c r="G34" s="107">
        <f>IF(348583.69469="","-",348583.69469/3014879.35037*100)</f>
        <v>11.562110923185703</v>
      </c>
      <c r="H34" s="107">
        <f>IF(OR(2103421.20669="",13958.917="",383176.00162=""),"-",(383176.00162-13958.917)/2103421.20669*100)</f>
        <v>17.553169258049362</v>
      </c>
      <c r="I34" s="107">
        <f>IF(OR(3277823.24746="",348583.69469="",383176.00162=""),"-",(348583.69469-383176.00162)/3277823.24746*100)</f>
        <v>-1.0553438766658865</v>
      </c>
      <c r="J34" s="34"/>
      <c r="K34" s="18"/>
      <c r="L34" s="18"/>
    </row>
    <row r="35" spans="1:12" s="2" customFormat="1" x14ac:dyDescent="0.25">
      <c r="A35" s="36" t="s">
        <v>252</v>
      </c>
      <c r="B35" s="35" t="s">
        <v>272</v>
      </c>
      <c r="C35" s="104">
        <v>5603.1826499999997</v>
      </c>
      <c r="D35" s="15">
        <v>5022.54666</v>
      </c>
      <c r="E35" s="24">
        <f>IF(OR(5603.18265="",5022.54666=""),"-",5022.54666/5603.18265*100)</f>
        <v>89.637389564661092</v>
      </c>
      <c r="F35" s="107">
        <f>IF(5603.18265="","-",5603.18265/3277823.24746*100)</f>
        <v>0.17094218409555584</v>
      </c>
      <c r="G35" s="107">
        <f>IF(5022.54666="","-",5022.54666/3014879.35037*100)</f>
        <v>0.16659196194314074</v>
      </c>
      <c r="H35" s="107" t="str">
        <f>IF(OR(2103421.20669="",""="",5603.18265=""),"-",(5603.18265-"")/2103421.20669*100)</f>
        <v>-</v>
      </c>
      <c r="I35" s="107">
        <f>IF(OR(3277823.24746="",5022.54666="",5603.18265=""),"-",(5022.54666-5603.18265)/3277823.24746*100)</f>
        <v>-1.7714072607482333E-2</v>
      </c>
      <c r="J35" s="34"/>
      <c r="K35" s="18"/>
      <c r="L35" s="18"/>
    </row>
    <row r="36" spans="1:12" s="2" customFormat="1" x14ac:dyDescent="0.25">
      <c r="A36" s="34" t="s">
        <v>257</v>
      </c>
      <c r="B36" s="35" t="s">
        <v>258</v>
      </c>
      <c r="C36" s="104">
        <v>14240.983050000001</v>
      </c>
      <c r="D36" s="15">
        <v>32389.87542</v>
      </c>
      <c r="E36" s="24" t="s">
        <v>347</v>
      </c>
      <c r="F36" s="107">
        <f>IF(14240.98305="","-",14240.98305/3277823.24746*100)</f>
        <v>0.43446464238227006</v>
      </c>
      <c r="G36" s="107">
        <f>IF(32389.87542="","-",32389.87542/3014879.35037*100)</f>
        <v>1.0743340497531009</v>
      </c>
      <c r="H36" s="107">
        <f>IF(OR(2103421.20669="",4.41462="",14240.98305=""),"-",(14240.98305-4.41462)/2103421.20669*100)</f>
        <v>0.67682917642553608</v>
      </c>
      <c r="I36" s="107">
        <f>IF(OR(3277823.24746="",32389.87542="",14240.98305=""),"-",(32389.87542-14240.98305)/3277823.24746*100)</f>
        <v>0.55368734064790281</v>
      </c>
      <c r="J36" s="34"/>
      <c r="K36" s="18"/>
      <c r="L36" s="18"/>
    </row>
    <row r="37" spans="1:12" s="2" customFormat="1" ht="14.25" customHeight="1" x14ac:dyDescent="0.25">
      <c r="A37" s="32" t="s">
        <v>208</v>
      </c>
      <c r="B37" s="33" t="s">
        <v>128</v>
      </c>
      <c r="C37" s="103">
        <v>282914.15544</v>
      </c>
      <c r="D37" s="14">
        <v>192754.20916999999</v>
      </c>
      <c r="E37" s="23">
        <f>IF(282914.15544="","-",192754.20917/282914.15544*100)</f>
        <v>68.131694884697637</v>
      </c>
      <c r="F37" s="106">
        <f>IF(282914.15544="","-",282914.15544/3277823.24746*100)</f>
        <v>8.6311595861439887</v>
      </c>
      <c r="G37" s="106">
        <f>IF(192754.20917="","-",192754.20917/3014879.35037*100)</f>
        <v>6.3934302759526442</v>
      </c>
      <c r="H37" s="106">
        <f>IF(2103421.20669="","-",(282914.15544-46964.60017)/2103421.20669*100)</f>
        <v>11.217418295468104</v>
      </c>
      <c r="I37" s="106">
        <f>IF(3277823.24746="","-",(192754.20917-282914.15544)/3277823.24746*100)</f>
        <v>-2.7506042719010355</v>
      </c>
      <c r="J37" s="34"/>
      <c r="K37" s="18"/>
      <c r="L37" s="18"/>
    </row>
    <row r="38" spans="1:12" s="2" customFormat="1" x14ac:dyDescent="0.25">
      <c r="A38" s="34" t="s">
        <v>209</v>
      </c>
      <c r="B38" s="35" t="s">
        <v>174</v>
      </c>
      <c r="C38" s="104">
        <v>2.7789799999999998</v>
      </c>
      <c r="D38" s="15">
        <v>1.9330099999999999</v>
      </c>
      <c r="E38" s="24">
        <f>IF(OR(2.77898="",1.93301=""),"-",1.93301/2.77898*100)</f>
        <v>69.558255187154998</v>
      </c>
      <c r="F38" s="107">
        <f>IF(2.77898="","-",2.77898/3277823.24746*100)</f>
        <v>8.4781264583239622E-5</v>
      </c>
      <c r="G38" s="107">
        <f>IF(1.93301="","-",1.93301/3014879.35037*100)</f>
        <v>6.4115666842945871E-5</v>
      </c>
      <c r="H38" s="107">
        <f>IF(OR(2103421.20669="",8.48682="",2.77898=""),"-",(2.77898-8.48682)/2103421.20669*100)</f>
        <v>-2.7135981998498577E-4</v>
      </c>
      <c r="I38" s="107">
        <f>IF(OR(3277823.24746="",1.93301="",2.77898=""),"-",(1.93301-2.77898)/3277823.24746*100)</f>
        <v>-2.5808896213532739E-5</v>
      </c>
      <c r="J38" s="32"/>
      <c r="K38" s="18"/>
      <c r="L38" s="18"/>
    </row>
    <row r="39" spans="1:12" s="2" customFormat="1" ht="28.5" customHeight="1" x14ac:dyDescent="0.25">
      <c r="A39" s="34" t="s">
        <v>210</v>
      </c>
      <c r="B39" s="35" t="s">
        <v>129</v>
      </c>
      <c r="C39" s="104">
        <v>282899.25878999999</v>
      </c>
      <c r="D39" s="15">
        <v>192743.11374999999</v>
      </c>
      <c r="E39" s="24">
        <f>IF(OR(282899.25879="",192743.11375=""),"-",192743.11375/282899.25879*100)</f>
        <v>68.131360461808725</v>
      </c>
      <c r="F39" s="107">
        <f>IF(282899.25879="","-",282899.25879/3277823.24746*100)</f>
        <v>8.630705118380618</v>
      </c>
      <c r="G39" s="107">
        <f>IF(192743.11375="","-",192743.11375/3014879.35037*100)</f>
        <v>6.3930622539288562</v>
      </c>
      <c r="H39" s="107">
        <f>IF(OR(2103421.20669="",46952.55102="",282899.25879=""),"-",(282899.25879-46952.55102)/2103421.20669*100)</f>
        <v>11.217282920775153</v>
      </c>
      <c r="I39" s="107">
        <f>IF(OR(3277823.24746="",192743.11375="",282899.25879=""),"-",(192743.11375-282899.25879)/3277823.24746*100)</f>
        <v>-2.7504883037809438</v>
      </c>
      <c r="J39" s="34"/>
      <c r="K39" s="18"/>
      <c r="L39" s="18"/>
    </row>
    <row r="40" spans="1:12" s="2" customFormat="1" ht="40.5" customHeight="1" x14ac:dyDescent="0.25">
      <c r="A40" s="34" t="s">
        <v>211</v>
      </c>
      <c r="B40" s="35" t="s">
        <v>172</v>
      </c>
      <c r="C40" s="104">
        <v>12.11767</v>
      </c>
      <c r="D40" s="15">
        <v>9.1624099999999995</v>
      </c>
      <c r="E40" s="24">
        <f>IF(OR(12.11767="",9.16241=""),"-",9.16241/12.11767*100)</f>
        <v>75.611978210332509</v>
      </c>
      <c r="F40" s="107">
        <f>IF(12.11767="","-",12.11767/3277823.24746*100)</f>
        <v>3.6968649878818321E-4</v>
      </c>
      <c r="G40" s="107">
        <f>IF(9.16241="","-",9.16241/3014879.35037*100)</f>
        <v>3.0390635694511442E-4</v>
      </c>
      <c r="H40" s="107">
        <f>IF(OR(2103421.20669="",3.56233="",12.11767=""),"-",(12.11767-3.56233)/2103421.20669*100)</f>
        <v>4.0673451293490165E-4</v>
      </c>
      <c r="I40" s="107">
        <f>IF(OR(3277823.24746="",9.16241="",12.11767=""),"-",(9.16241-12.11767)/3277823.24746*100)</f>
        <v>-9.0159223877920964E-5</v>
      </c>
      <c r="J40" s="34"/>
      <c r="K40" s="18"/>
      <c r="L40" s="18"/>
    </row>
    <row r="41" spans="1:12" s="2" customFormat="1" ht="27" customHeight="1" x14ac:dyDescent="0.25">
      <c r="A41" s="32" t="s">
        <v>212</v>
      </c>
      <c r="B41" s="33" t="s">
        <v>130</v>
      </c>
      <c r="C41" s="103">
        <v>103434.28952000001</v>
      </c>
      <c r="D41" s="14">
        <v>100320.40426</v>
      </c>
      <c r="E41" s="23">
        <f>IF(103434.28952="","-",100320.40426/103434.28952*100)</f>
        <v>96.989503892325857</v>
      </c>
      <c r="F41" s="106">
        <f>IF(103434.28952="","-",103434.28952/3277823.24746*100)</f>
        <v>3.155578617613128</v>
      </c>
      <c r="G41" s="106">
        <f>IF(100320.40426="","-",100320.40426/3014879.35037*100)</f>
        <v>3.327509747535609</v>
      </c>
      <c r="H41" s="106">
        <f>IF(2103421.20669="","-",(103434.28952-106248.4115)/2103421.20669*100)</f>
        <v>-0.13378784862725493</v>
      </c>
      <c r="I41" s="106">
        <f>IF(3277823.24746="","-",(100320.40426-103434.28952)/3277823.24746*100)</f>
        <v>-9.4998571457840908E-2</v>
      </c>
      <c r="J41" s="34"/>
      <c r="K41" s="18"/>
      <c r="L41" s="18"/>
    </row>
    <row r="42" spans="1:12" s="2" customFormat="1" x14ac:dyDescent="0.25">
      <c r="A42" s="34" t="s">
        <v>213</v>
      </c>
      <c r="B42" s="35" t="s">
        <v>19</v>
      </c>
      <c r="C42" s="104">
        <v>35703.99757</v>
      </c>
      <c r="D42" s="15">
        <v>20500.45234</v>
      </c>
      <c r="E42" s="24">
        <f>IF(OR(35703.99757="",20500.45234=""),"-",20500.45234/35703.99757*100)</f>
        <v>57.417806787062254</v>
      </c>
      <c r="F42" s="107">
        <f>IF(35703.99757="","-",35703.99757/3277823.24746*100)</f>
        <v>1.0892593918133684</v>
      </c>
      <c r="G42" s="107">
        <f>IF(20500.45234="","-",20500.45234/3014879.35037*100)</f>
        <v>0.67997587822159744</v>
      </c>
      <c r="H42" s="107">
        <f>IF(OR(2103421.20669="",24904.11865="",35703.99757=""),"-",(35703.99757-24904.11865)/2103421.20669*100)</f>
        <v>0.51344347416725811</v>
      </c>
      <c r="I42" s="107">
        <f>IF(OR(3277823.24746="",20500.45234="",35703.99757=""),"-",(20500.45234-35703.99757)/3277823.24746*100)</f>
        <v>-0.46383053881203923</v>
      </c>
      <c r="J42" s="34"/>
      <c r="K42" s="18"/>
      <c r="L42" s="18"/>
    </row>
    <row r="43" spans="1:12" s="2" customFormat="1" x14ac:dyDescent="0.25">
      <c r="A43" s="34" t="s">
        <v>214</v>
      </c>
      <c r="B43" s="35" t="s">
        <v>20</v>
      </c>
      <c r="C43" s="104">
        <v>5791.5651799999996</v>
      </c>
      <c r="D43" s="15">
        <v>7069.0937100000001</v>
      </c>
      <c r="E43" s="24">
        <f>IF(OR(5791.56518="",7069.09371=""),"-",7069.09371/5791.56518*100)</f>
        <v>122.05843308837629</v>
      </c>
      <c r="F43" s="107">
        <f>IF(5791.56518="","-",5791.56518/3277823.24746*100)</f>
        <v>0.17668936799712764</v>
      </c>
      <c r="G43" s="107">
        <f>IF(7069.09371="","-",7069.09371/3014879.35037*100)</f>
        <v>0.23447351911884792</v>
      </c>
      <c r="H43" s="107">
        <f>IF(OR(2103421.20669="",851.96461="",5791.56518=""),"-",(5791.56518-851.96461)/2103421.20669*100)</f>
        <v>0.2348364918205369</v>
      </c>
      <c r="I43" s="107">
        <f>IF(OR(3277823.24746="",7069.09371="",5791.56518=""),"-",(7069.09371-5791.56518)/3277823.24746*100)</f>
        <v>3.8974906013921375E-2</v>
      </c>
      <c r="J43" s="34"/>
      <c r="K43" s="18"/>
      <c r="L43" s="18"/>
    </row>
    <row r="44" spans="1:12" s="2" customFormat="1" x14ac:dyDescent="0.25">
      <c r="A44" s="34" t="s">
        <v>215</v>
      </c>
      <c r="B44" s="35" t="s">
        <v>131</v>
      </c>
      <c r="C44" s="104">
        <v>2014.4093</v>
      </c>
      <c r="D44" s="15">
        <v>3684.5262699999998</v>
      </c>
      <c r="E44" s="24" t="s">
        <v>349</v>
      </c>
      <c r="F44" s="107">
        <f>IF(2014.4093="","-",2014.4093/3277823.24746*100)</f>
        <v>6.145570239520922E-2</v>
      </c>
      <c r="G44" s="107">
        <f>IF(3684.52627="","-",3684.52627/3014879.35037*100)</f>
        <v>0.12221140025214666</v>
      </c>
      <c r="H44" s="107">
        <f>IF(OR(2103421.20669="",2035.7109="",2014.4093=""),"-",(2014.4093-2035.7109)/2103421.20669*100)</f>
        <v>-1.0127120489348293E-3</v>
      </c>
      <c r="I44" s="107">
        <f>IF(OR(3277823.24746="",3684.52627="",2014.4093=""),"-",(3684.52627-2014.4093)/3277823.24746*100)</f>
        <v>5.0952014306878228E-2</v>
      </c>
      <c r="J44" s="34"/>
      <c r="K44" s="18"/>
      <c r="L44" s="18"/>
    </row>
    <row r="45" spans="1:12" s="2" customFormat="1" x14ac:dyDescent="0.25">
      <c r="A45" s="34" t="s">
        <v>216</v>
      </c>
      <c r="B45" s="35" t="s">
        <v>132</v>
      </c>
      <c r="C45" s="104">
        <v>34350.913359999999</v>
      </c>
      <c r="D45" s="15">
        <v>32771.198929999999</v>
      </c>
      <c r="E45" s="24">
        <f>IF(OR(34350.91336="",32771.19893=""),"-",32771.19893/34350.91336*100)</f>
        <v>95.401244754558689</v>
      </c>
      <c r="F45" s="107">
        <f>IF(34350.91336="","-",34350.91336/3277823.24746*100)</f>
        <v>1.0479794292330642</v>
      </c>
      <c r="G45" s="107">
        <f>IF(32771.19893="","-",32771.19893/3014879.35037*100)</f>
        <v>1.0869821018203651</v>
      </c>
      <c r="H45" s="107">
        <f>IF(OR(2103421.20669="",59860.85222="",34350.91336=""),"-",(34350.91336-59860.85222)/2103421.20669*100)</f>
        <v>-1.2127831923946002</v>
      </c>
      <c r="I45" s="107">
        <f>IF(OR(3277823.24746="",32771.19893="",34350.91336=""),"-",(32771.19893-34350.91336)/3277823.24746*100)</f>
        <v>-4.8194008973001447E-2</v>
      </c>
      <c r="J45" s="34"/>
      <c r="K45" s="18"/>
      <c r="L45" s="18"/>
    </row>
    <row r="46" spans="1:12" ht="28.5" customHeight="1" x14ac:dyDescent="0.25">
      <c r="A46" s="34" t="s">
        <v>217</v>
      </c>
      <c r="B46" s="35" t="s">
        <v>133</v>
      </c>
      <c r="C46" s="104">
        <v>13530.78008</v>
      </c>
      <c r="D46" s="15">
        <v>14492.113520000001</v>
      </c>
      <c r="E46" s="24">
        <f>IF(OR(13530.78008="",14492.11352=""),"-",14492.11352/13530.78008*100)</f>
        <v>107.10478948232229</v>
      </c>
      <c r="F46" s="107">
        <f>IF(13530.78008="","-",13530.78008/3277823.24746*100)</f>
        <v>0.41279773369369632</v>
      </c>
      <c r="G46" s="107">
        <f>IF(14492.11352="","-",14492.11352/3014879.35037*100)</f>
        <v>0.48068635045782054</v>
      </c>
      <c r="H46" s="107">
        <f>IF(OR(2103421.20669="",9349.50493="",13530.78008=""),"-",(13530.78008-9349.50493)/2103421.20669*100)</f>
        <v>0.19878449150846816</v>
      </c>
      <c r="I46" s="107">
        <f>IF(OR(3277823.24746="",14492.11352="",13530.78008=""),"-",(14492.11352-13530.78008)/3277823.24746*100)</f>
        <v>2.9328409966734532E-2</v>
      </c>
      <c r="J46" s="34"/>
    </row>
    <row r="47" spans="1:12" ht="18" customHeight="1" x14ac:dyDescent="0.25">
      <c r="A47" s="34" t="s">
        <v>218</v>
      </c>
      <c r="B47" s="35" t="s">
        <v>134</v>
      </c>
      <c r="C47" s="104">
        <v>76.174149999999997</v>
      </c>
      <c r="D47" s="15">
        <v>300.77453000000003</v>
      </c>
      <c r="E47" s="24" t="s">
        <v>368</v>
      </c>
      <c r="F47" s="107">
        <f>IF(76.17415="","-",76.17415/3277823.24746*100)</f>
        <v>2.3239248809107595E-3</v>
      </c>
      <c r="G47" s="107">
        <f>IF(300.77453="","-",300.77453/3014879.35037*100)</f>
        <v>9.9763371944912999E-3</v>
      </c>
      <c r="H47" s="107">
        <f>IF(OR(2103421.20669="",151.81792="",76.17415=""),"-",(76.17415-151.81792)/2103421.20669*100)</f>
        <v>-3.5962255091568206E-3</v>
      </c>
      <c r="I47" s="107">
        <f>IF(OR(3277823.24746="",300.77453="",76.17415=""),"-",(300.77453-76.17415)/3277823.24746*100)</f>
        <v>6.8521199297138383E-3</v>
      </c>
      <c r="J47" s="34"/>
    </row>
    <row r="48" spans="1:12" x14ac:dyDescent="0.25">
      <c r="A48" s="34" t="s">
        <v>219</v>
      </c>
      <c r="B48" s="35" t="s">
        <v>21</v>
      </c>
      <c r="C48" s="104">
        <v>3717.44481</v>
      </c>
      <c r="D48" s="15">
        <v>12638.981589999999</v>
      </c>
      <c r="E48" s="24" t="s">
        <v>380</v>
      </c>
      <c r="F48" s="107">
        <f>IF(3717.44481="","-",3717.44481/3277823.24746*100)</f>
        <v>0.11341199721127929</v>
      </c>
      <c r="G48" s="107">
        <f>IF(12638.98159="","-",12638.98159/3014879.35037*100)</f>
        <v>0.41922014519250611</v>
      </c>
      <c r="H48" s="107">
        <f>IF(OR(2103421.20669="",1970.07382="",3717.44481=""),"-",(3717.44481-1970.07382)/2103421.20669*100)</f>
        <v>8.30728046499878E-2</v>
      </c>
      <c r="I48" s="107">
        <f>IF(OR(3277823.24746="",12638.98159="",3717.44481=""),"-",(12638.98159-3717.44481)/3277823.24746*100)</f>
        <v>0.2721787023419685</v>
      </c>
      <c r="J48" s="34"/>
    </row>
    <row r="49" spans="1:10" x14ac:dyDescent="0.25">
      <c r="A49" s="34" t="s">
        <v>220</v>
      </c>
      <c r="B49" s="35" t="s">
        <v>22</v>
      </c>
      <c r="C49" s="104">
        <v>4282.7407199999998</v>
      </c>
      <c r="D49" s="15">
        <v>3787.40058</v>
      </c>
      <c r="E49" s="24">
        <f>IF(OR(4282.74072="",3787.40058=""),"-",3787.40058/4282.74072*100)</f>
        <v>88.434038565846222</v>
      </c>
      <c r="F49" s="107">
        <f>IF(4282.74072="","-",4282.74072/3277823.24746*100)</f>
        <v>0.13065807387017328</v>
      </c>
      <c r="G49" s="107">
        <f>IF(3787.40058="","-",3787.40058/3014879.35037*100)</f>
        <v>0.1256236200475217</v>
      </c>
      <c r="H49" s="107">
        <f>IF(OR(2103421.20669="",2841.91541="",4282.74072=""),"-",(4282.74072-2841.91541)/2103421.20669*100)</f>
        <v>6.8499133954597766E-2</v>
      </c>
      <c r="I49" s="107">
        <f>IF(OR(3277823.24746="",3787.40058="",4282.74072=""),"-",(3787.40058-4282.74072)/3277823.24746*100)</f>
        <v>-1.5111862434432397E-2</v>
      </c>
      <c r="J49" s="34"/>
    </row>
    <row r="50" spans="1:10" x14ac:dyDescent="0.25">
      <c r="A50" s="34" t="s">
        <v>221</v>
      </c>
      <c r="B50" s="35" t="s">
        <v>135</v>
      </c>
      <c r="C50" s="104">
        <v>3966.2643499999999</v>
      </c>
      <c r="D50" s="15">
        <v>5075.8627900000001</v>
      </c>
      <c r="E50" s="24">
        <f>IF(OR(3966.26435="",5075.86279=""),"-",5075.86279/3966.26435*100)</f>
        <v>127.97590735473798</v>
      </c>
      <c r="F50" s="107">
        <f>IF(3966.26435="","-",3966.26435/3277823.24746*100)</f>
        <v>0.12100299651829842</v>
      </c>
      <c r="G50" s="107">
        <f>IF(5075.86279="","-",5075.86279/3014879.35037*100)</f>
        <v>0.16836039523031215</v>
      </c>
      <c r="H50" s="107">
        <f>IF(OR(2103421.20669="",4282.45304="",3966.26435=""),"-",(3966.26435-4282.45304)/2103421.20669*100)</f>
        <v>-1.5032114775412168E-2</v>
      </c>
      <c r="I50" s="107">
        <f>IF(OR(3277823.24746="",5075.86279="",3966.26435=""),"-",(5075.86279-3966.26435)/3277823.24746*100)</f>
        <v>3.3851686202415979E-2</v>
      </c>
      <c r="J50" s="32"/>
    </row>
    <row r="51" spans="1:10" ht="26.25" customHeight="1" x14ac:dyDescent="0.25">
      <c r="A51" s="32" t="s">
        <v>222</v>
      </c>
      <c r="B51" s="33" t="s">
        <v>330</v>
      </c>
      <c r="C51" s="103">
        <v>218635.32419000001</v>
      </c>
      <c r="D51" s="14">
        <v>215750.68875</v>
      </c>
      <c r="E51" s="23">
        <f>IF(218635.32419="","-",215750.68875/218635.32419*100)</f>
        <v>98.68061785043794</v>
      </c>
      <c r="F51" s="106">
        <f>IF(218635.32419="","-",218635.32419/3277823.24746*100)</f>
        <v>6.6701377006652658</v>
      </c>
      <c r="G51" s="106">
        <f>IF(215750.68875="","-",215750.68875/3014879.35037*100)</f>
        <v>7.1561964402828275</v>
      </c>
      <c r="H51" s="106">
        <f>IF(2103421.20669="","-",(218635.32419-178780.93258)/2103421.20669*100)</f>
        <v>1.8947413615134154</v>
      </c>
      <c r="I51" s="106">
        <f>IF(3277823.24746="","-",(215750.68875-218635.32419)/3277823.24746*100)</f>
        <v>-8.8004606173787123E-2</v>
      </c>
      <c r="J51" s="34"/>
    </row>
    <row r="52" spans="1:10" x14ac:dyDescent="0.25">
      <c r="A52" s="34" t="s">
        <v>223</v>
      </c>
      <c r="B52" s="35" t="s">
        <v>136</v>
      </c>
      <c r="C52" s="104">
        <v>2055.5318900000002</v>
      </c>
      <c r="D52" s="15">
        <v>788.61919</v>
      </c>
      <c r="E52" s="24">
        <f>IF(OR(2055.53189="",788.61919=""),"-",788.61919/2055.53189*100)</f>
        <v>38.365699595154418</v>
      </c>
      <c r="F52" s="107">
        <f>IF(2055.53189="","-",2055.53189/3277823.24746*100)</f>
        <v>6.2710272483204849E-2</v>
      </c>
      <c r="G52" s="107">
        <f>IF(788.61919="","-",788.61919/3014879.35037*100)</f>
        <v>2.6157570448157967E-2</v>
      </c>
      <c r="H52" s="107">
        <f>IF(OR(2103421.20669="",867.10787="",2055.53189=""),"-",(2055.53189-867.10787)/2103421.20669*100)</f>
        <v>5.6499573942688168E-2</v>
      </c>
      <c r="I52" s="107">
        <f>IF(OR(3277823.24746="",788.61919="",2055.53189=""),"-",(788.61919-2055.53189)/3277823.24746*100)</f>
        <v>-3.8651037726995699E-2</v>
      </c>
      <c r="J52" s="34"/>
    </row>
    <row r="53" spans="1:10" x14ac:dyDescent="0.25">
      <c r="A53" s="34" t="s">
        <v>224</v>
      </c>
      <c r="B53" s="35" t="s">
        <v>23</v>
      </c>
      <c r="C53" s="104">
        <v>936.90701000000001</v>
      </c>
      <c r="D53" s="15">
        <v>2133.3338399999998</v>
      </c>
      <c r="E53" s="24" t="s">
        <v>347</v>
      </c>
      <c r="F53" s="107">
        <f>IF(936.90701="","-",936.90701/3277823.24746*100)</f>
        <v>2.858320718562276E-2</v>
      </c>
      <c r="G53" s="107">
        <f>IF(2133.33384="","-",2133.33384/3014879.35037*100)</f>
        <v>7.0760172865232146E-2</v>
      </c>
      <c r="H53" s="107">
        <f>IF(OR(2103421.20669="",1029.90839="",936.90701=""),"-",(936.90701-1029.90839)/2103421.20669*100)</f>
        <v>-4.4214339811829463E-3</v>
      </c>
      <c r="I53" s="107">
        <f>IF(OR(3277823.24746="",2133.33384="",936.90701=""),"-",(2133.33384-936.90701)/3277823.24746*100)</f>
        <v>3.6500651184505337E-2</v>
      </c>
      <c r="J53" s="34"/>
    </row>
    <row r="54" spans="1:10" x14ac:dyDescent="0.25">
      <c r="A54" s="34" t="s">
        <v>225</v>
      </c>
      <c r="B54" s="35" t="s">
        <v>137</v>
      </c>
      <c r="C54" s="104">
        <v>20881.579000000002</v>
      </c>
      <c r="D54" s="15">
        <v>16238.790080000001</v>
      </c>
      <c r="E54" s="24">
        <f>IF(OR(20881.579="",16238.79008=""),"-",16238.79008/20881.579*100)</f>
        <v>77.766102266500056</v>
      </c>
      <c r="F54" s="107">
        <f>IF(20881.579="","-",20881.579/3277823.24746*100)</f>
        <v>0.63705628472130793</v>
      </c>
      <c r="G54" s="107">
        <f>IF(16238.79008="","-",16238.79008/3014879.35037*100)</f>
        <v>0.53862155638191955</v>
      </c>
      <c r="H54" s="107">
        <f>IF(OR(2103421.20669="",18965.51746="",20881.579=""),"-",(20881.579-18965.51746)/2103421.20669*100)</f>
        <v>9.1092622528759631E-2</v>
      </c>
      <c r="I54" s="107">
        <f>IF(OR(3277823.24746="",16238.79008="",20881.579=""),"-",(16238.79008-20881.579)/3277823.24746*100)</f>
        <v>-0.14164244284976985</v>
      </c>
      <c r="J54" s="34"/>
    </row>
    <row r="55" spans="1:10" ht="27" customHeight="1" x14ac:dyDescent="0.25">
      <c r="A55" s="34" t="s">
        <v>226</v>
      </c>
      <c r="B55" s="35" t="s">
        <v>138</v>
      </c>
      <c r="C55" s="104">
        <v>14730.458339999999</v>
      </c>
      <c r="D55" s="15">
        <v>16027.41561</v>
      </c>
      <c r="E55" s="24">
        <f>IF(OR(14730.45834="",16027.41561=""),"-",16027.41561/14730.45834*100)</f>
        <v>108.80459548551971</v>
      </c>
      <c r="F55" s="107">
        <f>IF(14730.45834="","-",14730.45834/3277823.24746*100)</f>
        <v>0.44939757967165245</v>
      </c>
      <c r="G55" s="107">
        <f>IF(16027.41561="","-",16027.41561/3014879.35037*100)</f>
        <v>0.5316105139674342</v>
      </c>
      <c r="H55" s="107">
        <f>IF(OR(2103421.20669="",8029.54933="",14730.45834=""),"-",(14730.45834-8029.54933)/2103421.20669*100)</f>
        <v>0.31857190507956934</v>
      </c>
      <c r="I55" s="107">
        <f>IF(OR(3277823.24746="",16027.41561="",14730.45834=""),"-",(16027.41561-14730.45834)/3277823.24746*100)</f>
        <v>3.9567639011805128E-2</v>
      </c>
      <c r="J55" s="34"/>
    </row>
    <row r="56" spans="1:10" ht="26.25" customHeight="1" x14ac:dyDescent="0.25">
      <c r="A56" s="34" t="s">
        <v>227</v>
      </c>
      <c r="B56" s="35" t="s">
        <v>139</v>
      </c>
      <c r="C56" s="104">
        <v>69393.2071</v>
      </c>
      <c r="D56" s="15">
        <v>62030.099750000001</v>
      </c>
      <c r="E56" s="24">
        <f>IF(OR(69393.2071="",62030.09975=""),"-",62030.09975/69393.2071*100)</f>
        <v>89.38929665062274</v>
      </c>
      <c r="F56" s="107">
        <f>IF(69393.2071="","-",69393.2071/3277823.24746*100)</f>
        <v>2.1170515266121535</v>
      </c>
      <c r="G56" s="107">
        <f>IF(62030.09975="","-",62030.09975/3014879.35037*100)</f>
        <v>2.0574654087695872</v>
      </c>
      <c r="H56" s="107">
        <f>IF(OR(2103421.20669="",59422.82246="",69393.2071=""),"-",(69393.2071-59422.82246)/2103421.20669*100)</f>
        <v>0.47400799270677985</v>
      </c>
      <c r="I56" s="107">
        <f>IF(OR(3277823.24746="",62030.09975="",69393.2071=""),"-",(62030.09975-69393.2071)/3277823.24746*100)</f>
        <v>-0.22463405724227817</v>
      </c>
      <c r="J56" s="34"/>
    </row>
    <row r="57" spans="1:10" x14ac:dyDescent="0.25">
      <c r="A57" s="34" t="s">
        <v>228</v>
      </c>
      <c r="B57" s="35" t="s">
        <v>24</v>
      </c>
      <c r="C57" s="104">
        <v>69015.739749999993</v>
      </c>
      <c r="D57" s="15">
        <v>83645.196660000001</v>
      </c>
      <c r="E57" s="24">
        <f>IF(OR(69015.73975="",83645.19666=""),"-",83645.19666/69015.73975*100)</f>
        <v>121.19727610396296</v>
      </c>
      <c r="F57" s="107">
        <f>IF(69015.73975="","-",69015.73975/3277823.24746*100)</f>
        <v>2.1055357333096163</v>
      </c>
      <c r="G57" s="107">
        <f>IF(83645.19666="","-",83645.19666/3014879.35037*100)</f>
        <v>2.7744127356119463</v>
      </c>
      <c r="H57" s="107">
        <f>IF(OR(2103421.20669="",48677.56493="",69015.73975=""),"-",(69015.73975-48677.56493)/2103421.20669*100)</f>
        <v>0.96690927881271527</v>
      </c>
      <c r="I57" s="107">
        <f>IF(OR(3277823.24746="",83645.19666="",69015.73975=""),"-",(83645.19666-69015.73975)/3277823.24746*100)</f>
        <v>0.44631622285724037</v>
      </c>
      <c r="J57" s="34"/>
    </row>
    <row r="58" spans="1:10" x14ac:dyDescent="0.25">
      <c r="A58" s="34" t="s">
        <v>229</v>
      </c>
      <c r="B58" s="35" t="s">
        <v>140</v>
      </c>
      <c r="C58" s="104">
        <v>7935.0405000000001</v>
      </c>
      <c r="D58" s="15">
        <v>8000.0421100000003</v>
      </c>
      <c r="E58" s="24">
        <f>IF(OR(7935.0405="",8000.04211=""),"-",8000.04211/7935.0405*100)</f>
        <v>100.81917174839876</v>
      </c>
      <c r="F58" s="107">
        <f>IF(7935.0405="","-",7935.0405/3277823.24746*100)</f>
        <v>0.24208262316001627</v>
      </c>
      <c r="G58" s="107">
        <f>IF(8000.04211="","-",8000.04211/3014879.35037*100)</f>
        <v>0.26535198196299953</v>
      </c>
      <c r="H58" s="107">
        <f>IF(OR(2103421.20669="",8756.94692="",7935.0405=""),"-",(7935.0405-8756.94692)/2103421.20669*100)</f>
        <v>-3.9074742490277266E-2</v>
      </c>
      <c r="I58" s="107">
        <f>IF(OR(3277823.24746="",8000.04211="",7935.0405=""),"-",(8000.04211-7935.0405)/3277823.24746*100)</f>
        <v>1.9830724567095033E-3</v>
      </c>
      <c r="J58" s="34"/>
    </row>
    <row r="59" spans="1:10" x14ac:dyDescent="0.25">
      <c r="A59" s="34" t="s">
        <v>230</v>
      </c>
      <c r="B59" s="35" t="s">
        <v>25</v>
      </c>
      <c r="C59" s="104">
        <v>1376.03628</v>
      </c>
      <c r="D59" s="15">
        <v>997.65848000000005</v>
      </c>
      <c r="E59" s="24">
        <f>IF(OR(1376.03628="",997.65848=""),"-",997.65848/1376.03628*100)</f>
        <v>72.502338383112985</v>
      </c>
      <c r="F59" s="107">
        <f>IF(1376.03628="","-",1376.03628/3277823.24746*100)</f>
        <v>4.1980185510804971E-2</v>
      </c>
      <c r="G59" s="107">
        <f>IF(997.65848="","-",997.65848/3014879.35037*100)</f>
        <v>3.3091157690192899E-2</v>
      </c>
      <c r="H59" s="107">
        <f>IF(OR(2103421.20669="",1422.87867="",1376.03628=""),"-",(1376.03628-1422.87867)/2103421.20669*100)</f>
        <v>-2.2269619537454632E-3</v>
      </c>
      <c r="I59" s="107">
        <f>IF(OR(3277823.24746="",997.65848="",1376.03628=""),"-",(997.65848-1376.03628)/3277823.24746*100)</f>
        <v>-1.1543569357902584E-2</v>
      </c>
      <c r="J59" s="34"/>
    </row>
    <row r="60" spans="1:10" x14ac:dyDescent="0.25">
      <c r="A60" s="34" t="s">
        <v>231</v>
      </c>
      <c r="B60" s="35" t="s">
        <v>26</v>
      </c>
      <c r="C60" s="104">
        <v>32310.82432</v>
      </c>
      <c r="D60" s="15">
        <v>25889.533029999999</v>
      </c>
      <c r="E60" s="24">
        <f>IF(OR(32310.82432="",25889.53303=""),"-",25889.53303/32310.82432*100)</f>
        <v>80.126501179899321</v>
      </c>
      <c r="F60" s="107">
        <f>IF(32310.82432="","-",32310.82432/3277823.24746*100)</f>
        <v>0.98574028801088653</v>
      </c>
      <c r="G60" s="107">
        <f>IF(25889.53303="","-",25889.53303/3014879.35037*100)</f>
        <v>0.85872534258535793</v>
      </c>
      <c r="H60" s="107">
        <f>IF(OR(2103421.20669="",31608.63655="",32310.82432=""),"-",(32310.82432-31608.63655)/2103421.20669*100)</f>
        <v>3.3383126868107502E-2</v>
      </c>
      <c r="I60" s="107">
        <f>IF(OR(3277823.24746="",25889.53303="",32310.82432=""),"-",(25889.53303-32310.82432)/3277823.24746*100)</f>
        <v>-0.1959010845071005</v>
      </c>
      <c r="J60" s="32"/>
    </row>
    <row r="61" spans="1:10" x14ac:dyDescent="0.25">
      <c r="A61" s="32" t="s">
        <v>232</v>
      </c>
      <c r="B61" s="33" t="s">
        <v>141</v>
      </c>
      <c r="C61" s="103">
        <v>518605.39529000001</v>
      </c>
      <c r="D61" s="14">
        <v>599622.81984999997</v>
      </c>
      <c r="E61" s="23">
        <f>IF(518605.39529="","-",599622.81985/518605.39529*100)</f>
        <v>115.62217155775937</v>
      </c>
      <c r="F61" s="106">
        <f>IF(518605.39529="","-",518605.39529/3277823.24746*100)</f>
        <v>15.821640037847363</v>
      </c>
      <c r="G61" s="106">
        <f>IF(599622.81985="","-",599622.81985/3014879.35037*100)</f>
        <v>19.888783270097075</v>
      </c>
      <c r="H61" s="106">
        <f>IF(2103421.20669="","-",(518605.39529-473645.60899)/2103421.20669*100)</f>
        <v>2.1374599703095116</v>
      </c>
      <c r="I61" s="106">
        <f>IF(3277823.24746="","-",(599622.81985-518605.39529)/3277823.24746*100)</f>
        <v>2.4716837499636601</v>
      </c>
      <c r="J61" s="34"/>
    </row>
    <row r="62" spans="1:10" x14ac:dyDescent="0.25">
      <c r="A62" s="34" t="s">
        <v>233</v>
      </c>
      <c r="B62" s="35" t="s">
        <v>142</v>
      </c>
      <c r="C62" s="104">
        <v>3162.9920900000002</v>
      </c>
      <c r="D62" s="15">
        <v>4511.3242799999998</v>
      </c>
      <c r="E62" s="24">
        <f>IF(OR(3162.99209="",4511.32428=""),"-",4511.32428/3162.99209*100)</f>
        <v>142.62837691762925</v>
      </c>
      <c r="F62" s="107">
        <f>IF(3162.99209="","-",3162.99209/3277823.24746*100)</f>
        <v>9.6496725149869414E-2</v>
      </c>
      <c r="G62" s="107">
        <f>IF(4511.32428="","-",4511.32428/3014879.35037*100)</f>
        <v>0.14963531722907417</v>
      </c>
      <c r="H62" s="107">
        <f>IF(OR(2103421.20669="",1702.22272="",3162.99209=""),"-",(3162.99209-1702.22272)/2103421.20669*100)</f>
        <v>6.9447306386090216E-2</v>
      </c>
      <c r="I62" s="107">
        <f>IF(OR(3277823.24746="",4511.32428="",3162.99209=""),"-",(4511.32428-3162.99209)/3277823.24746*100)</f>
        <v>4.1134987710055089E-2</v>
      </c>
      <c r="J62" s="34"/>
    </row>
    <row r="63" spans="1:10" ht="13.5" customHeight="1" x14ac:dyDescent="0.25">
      <c r="A63" s="34" t="s">
        <v>234</v>
      </c>
      <c r="B63" s="35" t="s">
        <v>143</v>
      </c>
      <c r="C63" s="104">
        <v>10173.979289999999</v>
      </c>
      <c r="D63" s="15">
        <v>25639.840919999999</v>
      </c>
      <c r="E63" s="24" t="s">
        <v>344</v>
      </c>
      <c r="F63" s="107">
        <f>IF(10173.97929="","-",10173.97929/3277823.24746*100)</f>
        <v>0.31038828276917801</v>
      </c>
      <c r="G63" s="107">
        <f>IF(25639.84092="","-",25639.84092/3014879.35037*100)</f>
        <v>0.850443349146073</v>
      </c>
      <c r="H63" s="107">
        <f>IF(OR(2103421.20669="",10379.81459="",10173.97929=""),"-",(10173.97929-10379.81459)/2103421.20669*100)</f>
        <v>-9.7857385551374469E-3</v>
      </c>
      <c r="I63" s="107">
        <f>IF(OR(3277823.24746="",25639.84092="",10173.97929=""),"-",(25639.84092-10173.97929)/3277823.24746*100)</f>
        <v>0.47183330101720905</v>
      </c>
      <c r="J63" s="34"/>
    </row>
    <row r="64" spans="1:10" ht="17.25" customHeight="1" x14ac:dyDescent="0.25">
      <c r="A64" s="34" t="s">
        <v>235</v>
      </c>
      <c r="B64" s="35" t="s">
        <v>144</v>
      </c>
      <c r="C64" s="104">
        <v>3852.9427000000001</v>
      </c>
      <c r="D64" s="15">
        <v>3663.2574300000001</v>
      </c>
      <c r="E64" s="24">
        <f>IF(OR(3852.9427="",3663.25743=""),"-",3663.25743/3852.9427*100)</f>
        <v>95.076872801664038</v>
      </c>
      <c r="F64" s="107">
        <f>IF(3852.9427="","-",3852.9427/3277823.24746*100)</f>
        <v>0.11754577379929386</v>
      </c>
      <c r="G64" s="107">
        <f>IF(3663.25743="","-",3663.25743/3014879.35037*100)</f>
        <v>0.12150593785951759</v>
      </c>
      <c r="H64" s="107">
        <f>IF(OR(2103421.20669="",3398.86148="",3852.9427=""),"-",(3852.9427-3398.86148)/2103421.20669*100)</f>
        <v>2.1587745647699084E-2</v>
      </c>
      <c r="I64" s="107">
        <f>IF(OR(3277823.24746="",3663.25743="",3852.9427=""),"-",(3663.25743-3852.9427)/3277823.24746*100)</f>
        <v>-5.7869279604075025E-3</v>
      </c>
      <c r="J64" s="34"/>
    </row>
    <row r="65" spans="1:10" ht="27.75" customHeight="1" x14ac:dyDescent="0.25">
      <c r="A65" s="34" t="s">
        <v>236</v>
      </c>
      <c r="B65" s="35" t="s">
        <v>145</v>
      </c>
      <c r="C65" s="104">
        <v>20259.390459999999</v>
      </c>
      <c r="D65" s="15">
        <v>30334.436300000001</v>
      </c>
      <c r="E65" s="24">
        <f>IF(OR(20259.39046="",30334.4363=""),"-",30334.4363/20259.39046*100)</f>
        <v>149.73025155861478</v>
      </c>
      <c r="F65" s="107">
        <f>IF(20259.39046="","-",20259.39046/3277823.24746*100)</f>
        <v>0.61807452478406488</v>
      </c>
      <c r="G65" s="107">
        <f>IF(30334.4363="","-",30334.4363/3014879.35037*100)</f>
        <v>1.0061575530800999</v>
      </c>
      <c r="H65" s="107">
        <f>IF(OR(2103421.20669="",18810.62538="",20259.39046=""),"-",(20259.39046-18810.62538)/2103421.20669*100)</f>
        <v>6.8876603287641711E-2</v>
      </c>
      <c r="I65" s="107">
        <f>IF(OR(3277823.24746="",30334.4363="",20259.39046=""),"-",(30334.4363-20259.39046)/3277823.24746*100)</f>
        <v>0.30737001599482827</v>
      </c>
      <c r="J65" s="34"/>
    </row>
    <row r="66" spans="1:10" ht="27" customHeight="1" x14ac:dyDescent="0.25">
      <c r="A66" s="34" t="s">
        <v>237</v>
      </c>
      <c r="B66" s="35" t="s">
        <v>146</v>
      </c>
      <c r="C66" s="104">
        <v>4840.37583</v>
      </c>
      <c r="D66" s="15">
        <v>8345.7893299999996</v>
      </c>
      <c r="E66" s="24" t="s">
        <v>341</v>
      </c>
      <c r="F66" s="107">
        <f>IF(4840.37583="","-",4840.37583/3277823.24746*100)</f>
        <v>0.14767043444916772</v>
      </c>
      <c r="G66" s="107">
        <f>IF(8345.78933="","-",8345.78933/3014879.35037*100)</f>
        <v>0.27682001035881471</v>
      </c>
      <c r="H66" s="107">
        <f>IF(OR(2103421.20669="",1470.60484="",4840.37583=""),"-",(4840.37583-1470.60484)/2103421.20669*100)</f>
        <v>0.16020428905453332</v>
      </c>
      <c r="I66" s="107">
        <f>IF(OR(3277823.24746="",8345.78933="",4840.37583=""),"-",(8345.78933-4840.37583)/3277823.24746*100)</f>
        <v>0.10694333511473994</v>
      </c>
      <c r="J66" s="34"/>
    </row>
    <row r="67" spans="1:10" ht="27" customHeight="1" x14ac:dyDescent="0.25">
      <c r="A67" s="34" t="s">
        <v>238</v>
      </c>
      <c r="B67" s="35" t="s">
        <v>147</v>
      </c>
      <c r="C67" s="104">
        <v>2285.1959999999999</v>
      </c>
      <c r="D67" s="15">
        <v>3285.8063900000002</v>
      </c>
      <c r="E67" s="24">
        <f>IF(OR(2285.196="",3285.80639=""),"-",3285.80639/2285.196*100)</f>
        <v>143.78663318157393</v>
      </c>
      <c r="F67" s="107">
        <f>IF(2285.196="","-",2285.196/3277823.24746*100)</f>
        <v>6.9716876947858872E-2</v>
      </c>
      <c r="G67" s="107">
        <f>IF(3285.80639="","-",3285.80639/3014879.35037*100)</f>
        <v>0.10898633106484842</v>
      </c>
      <c r="H67" s="107">
        <f>IF(OR(2103421.20669="",2054.3241="",2285.196=""),"-",(2285.196-2054.3241)/2103421.20669*100)</f>
        <v>1.0976018462954755E-2</v>
      </c>
      <c r="I67" s="107">
        <f>IF(OR(3277823.24746="",3285.80639="",2285.196=""),"-",(3285.80639-2285.196)/3277823.24746*100)</f>
        <v>3.0526673174808241E-2</v>
      </c>
      <c r="J67" s="34"/>
    </row>
    <row r="68" spans="1:10" ht="37.5" customHeight="1" x14ac:dyDescent="0.25">
      <c r="A68" s="34" t="s">
        <v>239</v>
      </c>
      <c r="B68" s="35" t="s">
        <v>148</v>
      </c>
      <c r="C68" s="104">
        <v>403987.8309</v>
      </c>
      <c r="D68" s="15">
        <v>464319.44848000002</v>
      </c>
      <c r="E68" s="24">
        <f>IF(OR(403987.8309="",464319.44848=""),"-",464319.44848/403987.8309*100)</f>
        <v>114.93401854347786</v>
      </c>
      <c r="F68" s="107">
        <f>IF(403987.8309="","-",403987.8309/3277823.24746*100)</f>
        <v>12.324881496067611</v>
      </c>
      <c r="G68" s="107">
        <f>IF(464319.44848="","-",464319.44848/3014879.35037*100)</f>
        <v>15.40092967312329</v>
      </c>
      <c r="H68" s="107">
        <f>IF(OR(2103421.20669="",392673.60512="",403987.8309=""),"-",(403987.8309-392673.60512)/2103421.20669*100)</f>
        <v>0.53789634448938295</v>
      </c>
      <c r="I68" s="107">
        <f>IF(OR(3277823.24746="",464319.44848="",403987.8309=""),"-",(464319.44848-403987.8309)/3277823.24746*100)</f>
        <v>1.8406000880844098</v>
      </c>
      <c r="J68" s="34"/>
    </row>
    <row r="69" spans="1:10" ht="15" customHeight="1" x14ac:dyDescent="0.25">
      <c r="A69" s="34" t="s">
        <v>240</v>
      </c>
      <c r="B69" s="35" t="s">
        <v>149</v>
      </c>
      <c r="C69" s="104">
        <v>67609.751990000004</v>
      </c>
      <c r="D69" s="15">
        <v>52922.043489999996</v>
      </c>
      <c r="E69" s="24">
        <f>IF(OR(67609.75199="",52922.04349=""),"-",52922.04349/67609.75199*100)</f>
        <v>78.275754506284187</v>
      </c>
      <c r="F69" s="107">
        <f>IF(67609.75199="","-",67609.75199/3277823.24746*100)</f>
        <v>2.0626417865085038</v>
      </c>
      <c r="G69" s="107">
        <f>IF(52922.04349="","-",52922.04349/3014879.35037*100)</f>
        <v>1.7553619014142361</v>
      </c>
      <c r="H69" s="107">
        <f>IF(OR(2103421.20669="",42290.30164="",67609.75199=""),"-",(67609.75199-42290.30164)/2103421.20669*100)</f>
        <v>1.2037270647205927</v>
      </c>
      <c r="I69" s="107">
        <f>IF(OR(3277823.24746="",52922.04349="",67609.75199=""),"-",(52922.04349-67609.75199)/3277823.24746*100)</f>
        <v>-0.44809336535707284</v>
      </c>
      <c r="J69" s="34"/>
    </row>
    <row r="70" spans="1:10" x14ac:dyDescent="0.25">
      <c r="A70" s="34" t="s">
        <v>241</v>
      </c>
      <c r="B70" s="35" t="s">
        <v>27</v>
      </c>
      <c r="C70" s="104">
        <v>2432.9360299999998</v>
      </c>
      <c r="D70" s="15">
        <v>6600.8732300000001</v>
      </c>
      <c r="E70" s="24" t="s">
        <v>393</v>
      </c>
      <c r="F70" s="107">
        <f>IF(2432.93603="","-",2432.93603/3277823.24746*100)</f>
        <v>7.422413737181506E-2</v>
      </c>
      <c r="G70" s="107">
        <f>IF(6600.87323="","-",6600.87323/3014879.35037*100)</f>
        <v>0.21894319682112356</v>
      </c>
      <c r="H70" s="107">
        <f>IF(OR(2103421.20669="",865.24912="",2432.93603=""),"-",(2432.93603-865.24912)/2103421.20669*100)</f>
        <v>7.4530336815751427E-2</v>
      </c>
      <c r="I70" s="107">
        <f>IF(OR(3277823.24746="",6600.87323="",2432.93603=""),"-",(6600.87323-2432.93603)/3277823.24746*100)</f>
        <v>0.12715564218509198</v>
      </c>
      <c r="J70" s="32"/>
    </row>
    <row r="71" spans="1:10" ht="14.25" customHeight="1" x14ac:dyDescent="0.25">
      <c r="A71" s="32" t="s">
        <v>242</v>
      </c>
      <c r="B71" s="33" t="s">
        <v>28</v>
      </c>
      <c r="C71" s="103">
        <v>465036.48772999999</v>
      </c>
      <c r="D71" s="14">
        <v>464497.89555999998</v>
      </c>
      <c r="E71" s="23">
        <f>IF(465036.48773="","-",464497.89556/465036.48773*100)</f>
        <v>99.884182814851997</v>
      </c>
      <c r="F71" s="106">
        <f>IF(465036.48773="","-",465036.48773/3277823.24746*100)</f>
        <v>14.187357054421982</v>
      </c>
      <c r="G71" s="106">
        <f>IF(464497.89556="","-",464497.89556/3014879.35037*100)</f>
        <v>15.406848552761973</v>
      </c>
      <c r="H71" s="106">
        <f>IF(2103421.20669="","-",(465036.48773-431421.88095)/2103421.20669*100)</f>
        <v>1.598092035636401</v>
      </c>
      <c r="I71" s="106">
        <f>IF(3277823.24746="","-",(464497.89556-465036.48773)/3277823.24746*100)</f>
        <v>-1.6431397587327978E-2</v>
      </c>
      <c r="J71" s="34"/>
    </row>
    <row r="72" spans="1:10" ht="27.75" customHeight="1" x14ac:dyDescent="0.25">
      <c r="A72" s="34" t="s">
        <v>243</v>
      </c>
      <c r="B72" s="35" t="s">
        <v>175</v>
      </c>
      <c r="C72" s="104">
        <v>13905.97436</v>
      </c>
      <c r="D72" s="15">
        <v>10394.572920000001</v>
      </c>
      <c r="E72" s="24">
        <f>IF(OR(13905.97436="",10394.57292=""),"-",10394.57292/13905.97436*100)</f>
        <v>74.748972282730435</v>
      </c>
      <c r="F72" s="107">
        <f>IF(13905.97436="","-",13905.97436/3277823.24746*100)</f>
        <v>0.42424418005991626</v>
      </c>
      <c r="G72" s="107">
        <f>IF(10394.57292="","-",10394.57292/3014879.35037*100)</f>
        <v>0.3447757509342565</v>
      </c>
      <c r="H72" s="107">
        <f>IF(OR(2103421.20669="",11302.57442="",13905.97436=""),"-",(13905.97436-11302.57442)/2103421.20669*100)</f>
        <v>0.12376978665612959</v>
      </c>
      <c r="I72" s="107">
        <f>IF(OR(3277823.24746="",10394.57292="",13905.97436=""),"-",(10394.57292-13905.97436)/3277823.24746*100)</f>
        <v>-0.10712601549583249</v>
      </c>
      <c r="J72" s="34"/>
    </row>
    <row r="73" spans="1:10" ht="16.5" customHeight="1" x14ac:dyDescent="0.25">
      <c r="A73" s="34" t="s">
        <v>244</v>
      </c>
      <c r="B73" s="35" t="s">
        <v>150</v>
      </c>
      <c r="C73" s="104">
        <v>109420.50058000001</v>
      </c>
      <c r="D73" s="15">
        <v>107891.97040000001</v>
      </c>
      <c r="E73" s="24">
        <f>IF(OR(109420.50058="",107891.9704=""),"-",107891.9704/109420.50058*100)</f>
        <v>98.603067823764462</v>
      </c>
      <c r="F73" s="107">
        <f>IF(109420.50058="","-",109420.50058/3277823.24746*100)</f>
        <v>3.3382062521153464</v>
      </c>
      <c r="G73" s="107">
        <f>IF(107891.9704="","-",107891.9704/3014879.35037*100)</f>
        <v>3.5786496858243764</v>
      </c>
      <c r="H73" s="107">
        <f>IF(OR(2103421.20669="",116028.31893="",109420.50058=""),"-",(109420.50058-116028.31893)/2103421.20669*100)</f>
        <v>-0.314146226584747</v>
      </c>
      <c r="I73" s="107">
        <f>IF(OR(3277823.24746="",107891.9704="",109420.50058=""),"-",(107891.9704-109420.50058)/3277823.24746*100)</f>
        <v>-4.6632477244905331E-2</v>
      </c>
      <c r="J73" s="34"/>
    </row>
    <row r="74" spans="1:10" x14ac:dyDescent="0.25">
      <c r="A74" s="34" t="s">
        <v>245</v>
      </c>
      <c r="B74" s="35" t="s">
        <v>151</v>
      </c>
      <c r="C74" s="104">
        <v>11499.98331</v>
      </c>
      <c r="D74" s="15">
        <v>10330.96263</v>
      </c>
      <c r="E74" s="24">
        <f>IF(OR(11499.98331="",10330.96263=""),"-",10330.96263/11499.98331*100)</f>
        <v>89.8345880295021</v>
      </c>
      <c r="F74" s="107">
        <f>IF(11499.98331="","-",11499.98331/3277823.24746*100)</f>
        <v>0.35084208152197915</v>
      </c>
      <c r="G74" s="107">
        <f>IF(10330.96263="","-",10330.96263/3014879.35037*100)</f>
        <v>0.3426658724745365</v>
      </c>
      <c r="H74" s="107">
        <f>IF(OR(2103421.20669="",10625.23884="",11499.98331=""),"-",(11499.98331-10625.23884)/2103421.20669*100)</f>
        <v>4.1586747686000611E-2</v>
      </c>
      <c r="I74" s="107">
        <f>IF(OR(3277823.24746="",10330.96263="",11499.98331=""),"-",(10330.96263-11499.98331)/3277823.24746*100)</f>
        <v>-3.5664542952579245E-2</v>
      </c>
      <c r="J74" s="34"/>
    </row>
    <row r="75" spans="1:10" ht="17.25" customHeight="1" x14ac:dyDescent="0.25">
      <c r="A75" s="34" t="s">
        <v>246</v>
      </c>
      <c r="B75" s="35" t="s">
        <v>152</v>
      </c>
      <c r="C75" s="104">
        <v>220561.65979000001</v>
      </c>
      <c r="D75" s="15">
        <v>220069.35939999999</v>
      </c>
      <c r="E75" s="24">
        <f>IF(OR(220561.65979="",220069.3594=""),"-",220069.3594/220561.65979*100)</f>
        <v>99.776796932672369</v>
      </c>
      <c r="F75" s="107">
        <f>IF(220561.65979="","-",220561.65979/3277823.24746*100)</f>
        <v>6.7289064460969401</v>
      </c>
      <c r="G75" s="107">
        <f>IF(220069.3594="","-",220069.3594/3014879.35037*100)</f>
        <v>7.2994416633286514</v>
      </c>
      <c r="H75" s="107">
        <f>IF(OR(2103421.20669="",201941.35408="",220561.65979=""),"-",(220561.65979-201941.35408)/2103421.20669*100)</f>
        <v>0.88523904060572955</v>
      </c>
      <c r="I75" s="107">
        <f>IF(OR(3277823.24746="",220069.3594="",220561.65979=""),"-",(220069.3594-220561.65979)/3277823.24746*100)</f>
        <v>-1.501912558529519E-2</v>
      </c>
      <c r="J75" s="34"/>
    </row>
    <row r="76" spans="1:10" ht="16.5" customHeight="1" x14ac:dyDescent="0.25">
      <c r="A76" s="34" t="s">
        <v>247</v>
      </c>
      <c r="B76" s="35" t="s">
        <v>153</v>
      </c>
      <c r="C76" s="104">
        <v>29046.672159999998</v>
      </c>
      <c r="D76" s="15">
        <v>23084.758129999998</v>
      </c>
      <c r="E76" s="24">
        <f>IF(OR(29046.67216="",23084.75813=""),"-",23084.75813/29046.67216*100)</f>
        <v>79.474708850778029</v>
      </c>
      <c r="F76" s="107">
        <f>IF(29046.67216="","-",29046.67216/3277823.24746*100)</f>
        <v>0.88615736624933616</v>
      </c>
      <c r="G76" s="107">
        <f>IF(23084.75813="","-",23084.75813/3014879.35037*100)</f>
        <v>0.76569425994333495</v>
      </c>
      <c r="H76" s="107">
        <f>IF(OR(2103421.20669="",27415.23338="",29046.67216=""),"-",(29046.67216-27415.23338)/2103421.20669*100)</f>
        <v>7.7561202426368644E-2</v>
      </c>
      <c r="I76" s="107">
        <f>IF(OR(3277823.24746="",23084.75813="",29046.67216=""),"-",(23084.75813-29046.67216)/3277823.24746*100)</f>
        <v>-0.18188637946295344</v>
      </c>
      <c r="J76" s="34"/>
    </row>
    <row r="77" spans="1:10" ht="15" customHeight="1" x14ac:dyDescent="0.25">
      <c r="A77" s="34" t="s">
        <v>248</v>
      </c>
      <c r="B77" s="35" t="s">
        <v>281</v>
      </c>
      <c r="C77" s="104">
        <v>16102.112209999999</v>
      </c>
      <c r="D77" s="15">
        <v>21421.782289999999</v>
      </c>
      <c r="E77" s="24">
        <f>IF(OR(16102.11221="",21421.78229=""),"-",21421.78229/16102.11221*100)</f>
        <v>133.03709482720095</v>
      </c>
      <c r="F77" s="107">
        <f>IF(16102.11221="","-",16102.11221/3277823.24746*100)</f>
        <v>0.4912440663930735</v>
      </c>
      <c r="G77" s="107">
        <f>IF(21421.78229="","-",21421.78229/3014879.35037*100)</f>
        <v>0.71053530839869317</v>
      </c>
      <c r="H77" s="107">
        <f>IF(OR(2103421.20669="",16503.22655="",16102.11221=""),"-",(16102.11221-16503.22655)/2103421.20669*100)</f>
        <v>-1.9069615668238143E-2</v>
      </c>
      <c r="I77" s="107">
        <f>IF(OR(3277823.24746="",21421.78229="",16102.11221=""),"-",(21421.78229-16102.11221)/3277823.24746*100)</f>
        <v>0.1622927680472776</v>
      </c>
      <c r="J77" s="34"/>
    </row>
    <row r="78" spans="1:10" ht="27" customHeight="1" x14ac:dyDescent="0.25">
      <c r="A78" s="34" t="s">
        <v>249</v>
      </c>
      <c r="B78" s="35" t="s">
        <v>154</v>
      </c>
      <c r="C78" s="104">
        <v>4033.3553299999999</v>
      </c>
      <c r="D78" s="15">
        <v>5438.1911200000004</v>
      </c>
      <c r="E78" s="24">
        <f>IF(OR(4033.35533="",5438.19112=""),"-",5438.19112/4033.35533*100)</f>
        <v>134.8304494660033</v>
      </c>
      <c r="F78" s="107">
        <f>IF(4033.35533="","-",4033.35533/3277823.24746*100)</f>
        <v>0.1230498115822891</v>
      </c>
      <c r="G78" s="107">
        <f>IF(5438.19112="","-",5438.19112/3014879.35037*100)</f>
        <v>0.1803783995313975</v>
      </c>
      <c r="H78" s="107">
        <f>IF(OR(2103421.20669="",2783.43951="",4033.35533=""),"-",(4033.35533-2783.43951)/2103421.20669*100)</f>
        <v>5.9422992219751405E-2</v>
      </c>
      <c r="I78" s="107">
        <f>IF(OR(3277823.24746="",5438.19112="",4033.35533=""),"-",(5438.19112-4033.35533)/3277823.24746*100)</f>
        <v>4.2858802441181482E-2</v>
      </c>
      <c r="J78" s="34"/>
    </row>
    <row r="79" spans="1:10" x14ac:dyDescent="0.25">
      <c r="A79" s="34" t="s">
        <v>250</v>
      </c>
      <c r="B79" s="35" t="s">
        <v>29</v>
      </c>
      <c r="C79" s="104">
        <v>60466.22999</v>
      </c>
      <c r="D79" s="15">
        <v>65866.298670000004</v>
      </c>
      <c r="E79" s="24">
        <f>IF(OR(60466.22999="",65866.29867=""),"-",65866.29867/60466.22999*100)</f>
        <v>108.93071832143839</v>
      </c>
      <c r="F79" s="107">
        <f>IF(60466.22999="","-",60466.22999/3277823.24746*100)</f>
        <v>1.8447068504031006</v>
      </c>
      <c r="G79" s="107">
        <f>IF(65866.29867="","-",65866.29867/3014879.35037*100)</f>
        <v>2.1847076123267284</v>
      </c>
      <c r="H79" s="107">
        <f>IF(OR(2103421.20669="",44822.49524="",60466.22999=""),"-",(60466.22999-44822.49524)/2103421.20669*100)</f>
        <v>0.74372810829540914</v>
      </c>
      <c r="I79" s="107">
        <f>IF(OR(3277823.24746="",65866.29867="",60466.22999=""),"-",(65866.29867-60466.22999)/3277823.24746*100)</f>
        <v>0.16474557266577877</v>
      </c>
      <c r="J79" s="34"/>
    </row>
    <row r="80" spans="1:10" x14ac:dyDescent="0.25">
      <c r="A80" s="37" t="s">
        <v>253</v>
      </c>
      <c r="B80" s="38" t="s">
        <v>155</v>
      </c>
      <c r="C80" s="105">
        <v>2534.1623399999999</v>
      </c>
      <c r="D80" s="39">
        <v>5532.1032299999997</v>
      </c>
      <c r="E80" s="43" t="s">
        <v>362</v>
      </c>
      <c r="F80" s="108">
        <f>IF(2534.16234="","-",2534.16234/3277823.24746*100)</f>
        <v>7.7312354836818406E-2</v>
      </c>
      <c r="G80" s="108">
        <f>IF(5532.10323="","-",5532.10323/3014879.35037*100)</f>
        <v>0.18349335369991088</v>
      </c>
      <c r="H80" s="108">
        <f>IF(2103421.20669="","-",(2534.16234-433.77475)/2103421.20669*100)</f>
        <v>9.9855777022673745E-2</v>
      </c>
      <c r="I80" s="108">
        <f>IF(3277823.24746="","-",(5532.10323-2534.16234)/3277823.24746*100)</f>
        <v>9.1461334662359159E-2</v>
      </c>
      <c r="J80" s="34"/>
    </row>
    <row r="81" spans="1:12" s="21" customFormat="1" ht="15" customHeight="1" x14ac:dyDescent="0.2">
      <c r="A81" s="9" t="s">
        <v>256</v>
      </c>
      <c r="B81" s="10"/>
      <c r="C81" s="10"/>
      <c r="D81" s="31"/>
      <c r="E81" s="31"/>
      <c r="F81" s="31"/>
      <c r="G81" s="31"/>
      <c r="H81" s="31"/>
      <c r="I81" s="31"/>
      <c r="J81" s="31"/>
      <c r="K81" s="31"/>
      <c r="L81" s="31"/>
    </row>
    <row r="82" spans="1:12" s="21" customFormat="1" ht="13.5" customHeight="1" x14ac:dyDescent="0.2">
      <c r="A82" s="10" t="s">
        <v>302</v>
      </c>
      <c r="B82" s="10"/>
      <c r="C82" s="10"/>
      <c r="D82" s="31"/>
      <c r="E82" s="31"/>
      <c r="F82" s="31"/>
      <c r="G82" s="31"/>
      <c r="H82" s="31"/>
      <c r="I82" s="31"/>
      <c r="J82" s="31"/>
      <c r="K82" s="31"/>
      <c r="L82" s="31"/>
    </row>
  </sheetData>
  <mergeCells count="9">
    <mergeCell ref="B1:I1"/>
    <mergeCell ref="B2:I2"/>
    <mergeCell ref="A4:A5"/>
    <mergeCell ref="B4:B5"/>
    <mergeCell ref="F4:G4"/>
    <mergeCell ref="H4:I4"/>
    <mergeCell ref="A3:I3"/>
    <mergeCell ref="C4:D4"/>
    <mergeCell ref="E4:E5"/>
  </mergeCells>
  <pageMargins left="0.59055118110236227" right="0.39370078740157483" top="0.39370078740157483" bottom="0.39370078740157483" header="0.11811023622047245" footer="0.11811023622047245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J81"/>
  <sheetViews>
    <sheetView zoomScaleNormal="100" workbookViewId="0">
      <selection activeCell="B1" sqref="B1:I1"/>
    </sheetView>
  </sheetViews>
  <sheetFormatPr defaultRowHeight="15.75" x14ac:dyDescent="0.25"/>
  <cols>
    <col min="1" max="1" width="6.625" style="26" customWidth="1"/>
    <col min="2" max="2" width="44.25" style="26" customWidth="1"/>
    <col min="3" max="3" width="11.875" style="26" customWidth="1"/>
    <col min="4" max="5" width="11.625" style="26" customWidth="1"/>
    <col min="6" max="6" width="10.125" style="26" customWidth="1"/>
    <col min="7" max="7" width="9.75" style="26" customWidth="1"/>
    <col min="8" max="8" width="10.875" style="26" customWidth="1"/>
    <col min="9" max="9" width="11.5" style="26" customWidth="1"/>
  </cols>
  <sheetData>
    <row r="1" spans="1:10" s="29" customFormat="1" ht="12.75" x14ac:dyDescent="0.2">
      <c r="A1" s="28"/>
      <c r="B1" s="123" t="s">
        <v>318</v>
      </c>
      <c r="C1" s="123"/>
      <c r="D1" s="123"/>
      <c r="E1" s="123"/>
      <c r="F1" s="123"/>
      <c r="G1" s="123"/>
      <c r="H1" s="123"/>
      <c r="I1" s="123"/>
    </row>
    <row r="2" spans="1:10" s="29" customFormat="1" ht="12.75" x14ac:dyDescent="0.2">
      <c r="A2" s="28"/>
      <c r="B2" s="123" t="s">
        <v>255</v>
      </c>
      <c r="C2" s="123"/>
      <c r="D2" s="123"/>
      <c r="E2" s="123"/>
      <c r="F2" s="123"/>
      <c r="G2" s="123"/>
      <c r="H2" s="123"/>
      <c r="I2" s="123"/>
    </row>
    <row r="3" spans="1:10" x14ac:dyDescent="0.25">
      <c r="A3" s="134"/>
      <c r="B3" s="134"/>
      <c r="C3" s="134"/>
      <c r="D3" s="134"/>
      <c r="E3" s="134"/>
      <c r="F3" s="134"/>
      <c r="G3" s="134"/>
      <c r="H3" s="134"/>
      <c r="I3" s="134"/>
    </row>
    <row r="4" spans="1:10" ht="39.75" customHeight="1" x14ac:dyDescent="0.25">
      <c r="A4" s="131" t="s">
        <v>181</v>
      </c>
      <c r="B4" s="113"/>
      <c r="C4" s="115" t="s">
        <v>398</v>
      </c>
      <c r="D4" s="122"/>
      <c r="E4" s="120" t="s">
        <v>399</v>
      </c>
      <c r="F4" s="115" t="s">
        <v>94</v>
      </c>
      <c r="G4" s="116"/>
      <c r="H4" s="125" t="s">
        <v>317</v>
      </c>
      <c r="I4" s="133"/>
    </row>
    <row r="5" spans="1:10" ht="48.75" customHeight="1" x14ac:dyDescent="0.25">
      <c r="A5" s="132"/>
      <c r="B5" s="114"/>
      <c r="C5" s="13" t="s">
        <v>334</v>
      </c>
      <c r="D5" s="13" t="s">
        <v>335</v>
      </c>
      <c r="E5" s="121"/>
      <c r="F5" s="13" t="s">
        <v>334</v>
      </c>
      <c r="G5" s="13" t="s">
        <v>335</v>
      </c>
      <c r="H5" s="13" t="s">
        <v>336</v>
      </c>
      <c r="I5" s="12" t="s">
        <v>337</v>
      </c>
    </row>
    <row r="6" spans="1:10" s="19" customFormat="1" ht="15" customHeight="1" x14ac:dyDescent="0.2">
      <c r="A6" s="40"/>
      <c r="B6" s="99" t="s">
        <v>102</v>
      </c>
      <c r="C6" s="101">
        <v>6735746.1189299999</v>
      </c>
      <c r="D6" s="102">
        <v>6410995.1047999999</v>
      </c>
      <c r="E6" s="54">
        <f>IF(6735746.11893="","-",6410995.1048/6735746.11893*100)</f>
        <v>95.178692777369875</v>
      </c>
      <c r="F6" s="72">
        <v>100</v>
      </c>
      <c r="G6" s="72">
        <v>100</v>
      </c>
      <c r="H6" s="72">
        <f>IF(5074244.25964="","-",(6735746.11893-5074244.25964)/5074244.25964*100)</f>
        <v>32.743828918631479</v>
      </c>
      <c r="I6" s="72">
        <f>IF(6735746.11893="","-",(6410995.1048-6735746.11893)/6735746.11893*100)</f>
        <v>-4.8213072226301197</v>
      </c>
      <c r="J6" s="25"/>
    </row>
    <row r="7" spans="1:10" s="19" customFormat="1" ht="12.75" x14ac:dyDescent="0.2">
      <c r="A7" s="41"/>
      <c r="B7" s="46" t="s">
        <v>331</v>
      </c>
      <c r="C7" s="103"/>
      <c r="D7" s="14"/>
      <c r="E7" s="23"/>
      <c r="F7" s="106"/>
      <c r="G7" s="106"/>
      <c r="H7" s="106"/>
      <c r="I7" s="106"/>
      <c r="J7" s="25"/>
    </row>
    <row r="8" spans="1:10" x14ac:dyDescent="0.25">
      <c r="A8" s="32" t="s">
        <v>182</v>
      </c>
      <c r="B8" s="33" t="s">
        <v>156</v>
      </c>
      <c r="C8" s="103">
        <v>674523.63081999996</v>
      </c>
      <c r="D8" s="14">
        <v>706085.43509000004</v>
      </c>
      <c r="E8" s="23">
        <f>IF(674523.63082="","-",706085.43509/674523.63082*100)</f>
        <v>104.67912506365882</v>
      </c>
      <c r="F8" s="106">
        <f>IF(674523.63082="","-",674523.63082/6735746.11893*100)</f>
        <v>10.014089291820737</v>
      </c>
      <c r="G8" s="106">
        <f>IF(706085.43509="","-",706085.43509/6410995.1048*100)</f>
        <v>11.013663613022324</v>
      </c>
      <c r="H8" s="106">
        <f>IF(5074244.25964="","-",(674523.63082-547526.68894)/5074244.25964*100)</f>
        <v>2.5027754948676817</v>
      </c>
      <c r="I8" s="106">
        <f>IF(6735746.11893="","-",(706085.43509-674523.63082)/6735746.11893*100)</f>
        <v>0.46857176195075773</v>
      </c>
    </row>
    <row r="9" spans="1:10" x14ac:dyDescent="0.25">
      <c r="A9" s="34" t="s">
        <v>183</v>
      </c>
      <c r="B9" s="35" t="s">
        <v>17</v>
      </c>
      <c r="C9" s="104">
        <v>6993.9817700000003</v>
      </c>
      <c r="D9" s="15">
        <v>10584.0092</v>
      </c>
      <c r="E9" s="24">
        <f>IF(OR(6993.98177="",10584.0092=""),"-",10584.0092/6993.98177*100)</f>
        <v>151.33023716760417</v>
      </c>
      <c r="F9" s="107">
        <f>IF(6993.98177="","-",6993.98177/6735746.11893*100)</f>
        <v>0.10383380915061897</v>
      </c>
      <c r="G9" s="107">
        <f>IF(10584.0092="","-",10584.0092/6410995.1048*100)</f>
        <v>0.16509151897613536</v>
      </c>
      <c r="H9" s="107">
        <f>IF(OR(5074244.25964="",4015.19584="",6993.98177=""),"-",(6993.98177-4015.19584)/5074244.25964*100)</f>
        <v>5.870403113411287E-2</v>
      </c>
      <c r="I9" s="107">
        <f>IF(OR(6735746.11893="",10584.0092="",6993.98177=""),"-",(10584.0092-6993.98177)/6735746.11893*100)</f>
        <v>5.3298140497170195E-2</v>
      </c>
    </row>
    <row r="10" spans="1:10" x14ac:dyDescent="0.25">
      <c r="A10" s="34" t="s">
        <v>184</v>
      </c>
      <c r="B10" s="35" t="s">
        <v>157</v>
      </c>
      <c r="C10" s="104">
        <v>62139.785499999998</v>
      </c>
      <c r="D10" s="15">
        <v>59302.869319999998</v>
      </c>
      <c r="E10" s="24">
        <f>IF(OR(62139.7855="",59302.86932=""),"-",59302.86932/62139.7855*100)</f>
        <v>95.434621865567919</v>
      </c>
      <c r="F10" s="107">
        <f>IF(62139.7855="","-",62139.7855/6735746.11893*100)</f>
        <v>0.92253752446761084</v>
      </c>
      <c r="G10" s="107">
        <f>IF(59302.86932="","-",59302.86932/6410995.1048*100)</f>
        <v>0.92501816567601369</v>
      </c>
      <c r="H10" s="107">
        <f>IF(OR(5074244.25964="",46341.48491="",62139.7855=""),"-",(62139.7855-46341.48491)/5074244.25964*100)</f>
        <v>0.31134292678139297</v>
      </c>
      <c r="I10" s="107">
        <f>IF(OR(6735746.11893="",59302.86932="",62139.7855=""),"-",(59302.86932-62139.7855)/6735746.11893*100)</f>
        <v>-4.2117326423975365E-2</v>
      </c>
    </row>
    <row r="11" spans="1:10" s="2" customFormat="1" x14ac:dyDescent="0.25">
      <c r="A11" s="34" t="s">
        <v>185</v>
      </c>
      <c r="B11" s="35" t="s">
        <v>158</v>
      </c>
      <c r="C11" s="104">
        <v>87934.789640000003</v>
      </c>
      <c r="D11" s="15">
        <v>94151.079970000006</v>
      </c>
      <c r="E11" s="24">
        <f>IF(OR(87934.78964="",94151.07997=""),"-",94151.07997/87934.78964*100)</f>
        <v>107.06920475439713</v>
      </c>
      <c r="F11" s="107">
        <f>IF(87934.78964="","-",87934.78964/6735746.11893*100)</f>
        <v>1.3054944186935713</v>
      </c>
      <c r="G11" s="107">
        <f>IF(94151.07997="","-",94151.07997/6410995.1048*100)</f>
        <v>1.4685876128576014</v>
      </c>
      <c r="H11" s="107">
        <f>IF(OR(5074244.25964="",67672.40303="",87934.78964=""),"-",(87934.78964-67672.40303)/5074244.25964*100)</f>
        <v>0.39931831368790965</v>
      </c>
      <c r="I11" s="107">
        <f>IF(OR(6735746.11893="",94151.07997="",87934.78964=""),"-",(94151.07997-87934.78964)/6735746.11893*100)</f>
        <v>9.2288073514675259E-2</v>
      </c>
    </row>
    <row r="12" spans="1:10" s="2" customFormat="1" x14ac:dyDescent="0.25">
      <c r="A12" s="34" t="s">
        <v>186</v>
      </c>
      <c r="B12" s="35" t="s">
        <v>159</v>
      </c>
      <c r="C12" s="104">
        <v>58758.60183</v>
      </c>
      <c r="D12" s="15">
        <v>64154.556109999998</v>
      </c>
      <c r="E12" s="24">
        <f>IF(OR(58758.60183="",64154.55611=""),"-",64154.55611/58758.60183*100)</f>
        <v>109.18325847100911</v>
      </c>
      <c r="F12" s="107">
        <f>IF(58758.60183="","-",58758.60183/6735746.11893*100)</f>
        <v>0.87233991294395818</v>
      </c>
      <c r="G12" s="107">
        <f>IF(64154.55611="","-",64154.55611/6410995.1048*100)</f>
        <v>1.0006957587904974</v>
      </c>
      <c r="H12" s="107">
        <f>IF(OR(5074244.25964="",51043.46461="",58758.60183=""),"-",(58758.60183-51043.46461)/5074244.25964*100)</f>
        <v>0.15204504996665966</v>
      </c>
      <c r="I12" s="107">
        <f>IF(OR(6735746.11893="",64154.55611="",58758.60183=""),"-",(64154.55611-58758.60183)/6735746.11893*100)</f>
        <v>8.010922895141967E-2</v>
      </c>
    </row>
    <row r="13" spans="1:10" s="2" customFormat="1" x14ac:dyDescent="0.25">
      <c r="A13" s="34" t="s">
        <v>187</v>
      </c>
      <c r="B13" s="35" t="s">
        <v>160</v>
      </c>
      <c r="C13" s="104">
        <v>122363.39636</v>
      </c>
      <c r="D13" s="15">
        <v>104667.86124</v>
      </c>
      <c r="E13" s="24">
        <f>IF(OR(122363.39636="",104667.86124=""),"-",104667.86124/122363.39636*100)</f>
        <v>85.538538773524436</v>
      </c>
      <c r="F13" s="107">
        <f>IF(122363.39636="","-",122363.39636/6735746.11893*100)</f>
        <v>1.8166272035715907</v>
      </c>
      <c r="G13" s="107">
        <f>IF(104667.86124="","-",104667.86124/6410995.1048*100)</f>
        <v>1.6326304969665899</v>
      </c>
      <c r="H13" s="107">
        <f>IF(OR(5074244.25964="",76509.93656="",122363.39636=""),"-",(122363.39636-76509.93656)/5074244.25964*100)</f>
        <v>0.90365101587074836</v>
      </c>
      <c r="I13" s="107">
        <f>IF(OR(6735746.11893="",104667.86124="",122363.39636=""),"-",(104667.86124-122363.39636)/6735746.11893*100)</f>
        <v>-0.26271083867411271</v>
      </c>
    </row>
    <row r="14" spans="1:10" s="2" customFormat="1" x14ac:dyDescent="0.25">
      <c r="A14" s="34" t="s">
        <v>188</v>
      </c>
      <c r="B14" s="35" t="s">
        <v>161</v>
      </c>
      <c r="C14" s="104">
        <v>137562.67545000001</v>
      </c>
      <c r="D14" s="15">
        <v>164193.57087</v>
      </c>
      <c r="E14" s="24">
        <f>IF(OR(137562.67545="",164193.57087=""),"-",164193.57087/137562.67545*100)</f>
        <v>119.35909964885754</v>
      </c>
      <c r="F14" s="107">
        <f>IF(137562.67545="","-",137562.67545/6735746.11893*100)</f>
        <v>2.0422782127045549</v>
      </c>
      <c r="G14" s="107">
        <f>IF(164193.57087="","-",164193.57087/6410995.1048*100)</f>
        <v>2.5611245709276242</v>
      </c>
      <c r="H14" s="107">
        <f>IF(OR(5074244.25964="",126963.69784="",137562.67545=""),"-",(137562.67545-126963.69784)/5074244.25964*100)</f>
        <v>0.20887795438432397</v>
      </c>
      <c r="I14" s="107">
        <f>IF(OR(6735746.11893="",164193.57087="",137562.67545=""),"-",(164193.57087-137562.67545)/6735746.11893*100)</f>
        <v>0.39536667430438144</v>
      </c>
    </row>
    <row r="15" spans="1:10" s="2" customFormat="1" x14ac:dyDescent="0.25">
      <c r="A15" s="34" t="s">
        <v>189</v>
      </c>
      <c r="B15" s="35" t="s">
        <v>119</v>
      </c>
      <c r="C15" s="104">
        <v>15473.328960000001</v>
      </c>
      <c r="D15" s="15">
        <v>18460.941589999999</v>
      </c>
      <c r="E15" s="24">
        <f>IF(OR(15473.32896="",18460.94159=""),"-",18460.94159/15473.32896*100)</f>
        <v>119.30814395352969</v>
      </c>
      <c r="F15" s="107">
        <f>IF(15473.32896="","-",15473.32896/6735746.11893*100)</f>
        <v>0.22971959879120266</v>
      </c>
      <c r="G15" s="107">
        <f>IF(18460.94159="","-",18460.94159/6410995.1048*100)</f>
        <v>0.28795750563244138</v>
      </c>
      <c r="H15" s="107">
        <f>IF(OR(5074244.25964="",13050.51976="",15473.32896=""),"-",(15473.32896-13050.51976)/5074244.25964*100)</f>
        <v>4.7747193001148346E-2</v>
      </c>
      <c r="I15" s="107">
        <f>IF(OR(6735746.11893="",18460.94159="",15473.32896=""),"-",(18460.94159-15473.32896)/6735746.11893*100)</f>
        <v>4.4354590824076251E-2</v>
      </c>
    </row>
    <row r="16" spans="1:10" s="2" customFormat="1" x14ac:dyDescent="0.25">
      <c r="A16" s="34" t="s">
        <v>190</v>
      </c>
      <c r="B16" s="35" t="s">
        <v>162</v>
      </c>
      <c r="C16" s="104">
        <v>49961.288079999998</v>
      </c>
      <c r="D16" s="15">
        <v>57891.114930000003</v>
      </c>
      <c r="E16" s="24">
        <f>IF(OR(49961.28808="",57891.11493=""),"-",57891.11493/49961.28808*100)</f>
        <v>115.87194236726333</v>
      </c>
      <c r="F16" s="107">
        <f>IF(49961.28808="","-",49961.28808/6735746.11893*100)</f>
        <v>0.74173353920792595</v>
      </c>
      <c r="G16" s="107">
        <f>IF(57891.11493="","-",57891.11493/6410995.1048*100)</f>
        <v>0.9029973347921626</v>
      </c>
      <c r="H16" s="107">
        <f>IF(OR(5074244.25964="",46440.08829="",49961.28808=""),"-",(49961.28808-46440.08829)/5074244.25964*100)</f>
        <v>6.9393580794035639E-2</v>
      </c>
      <c r="I16" s="107">
        <f>IF(OR(6735746.11893="",57891.11493="",49961.28808=""),"-",(57891.11493-49961.28808)/6735746.11893*100)</f>
        <v>0.11772751986174458</v>
      </c>
    </row>
    <row r="17" spans="1:9" s="2" customFormat="1" x14ac:dyDescent="0.25">
      <c r="A17" s="34" t="s">
        <v>191</v>
      </c>
      <c r="B17" s="35" t="s">
        <v>120</v>
      </c>
      <c r="C17" s="104">
        <v>41646.622159999999</v>
      </c>
      <c r="D17" s="15">
        <v>44763.389459999999</v>
      </c>
      <c r="E17" s="24">
        <f>IF(OR(41646.62216="",44763.38946=""),"-",44763.38946/41646.62216*100)</f>
        <v>107.48384175798424</v>
      </c>
      <c r="F17" s="107">
        <f>IF(41646.62216="","-",41646.62216/6735746.11893*100)</f>
        <v>0.6182926349162301</v>
      </c>
      <c r="G17" s="107">
        <f>IF(44763.38946="","-",44763.38946/6410995.1048*100)</f>
        <v>0.6982284142829096</v>
      </c>
      <c r="H17" s="107">
        <f>IF(OR(5074244.25964="",37090.73107="",41646.62216=""),"-",(41646.62216-37090.73107)/5074244.25964*100)</f>
        <v>8.978462322433059E-2</v>
      </c>
      <c r="I17" s="107">
        <f>IF(OR(6735746.11893="",44763.38946="",41646.62216=""),"-",(44763.38946-41646.62216)/6735746.11893*100)</f>
        <v>4.6272042398401894E-2</v>
      </c>
    </row>
    <row r="18" spans="1:9" s="2" customFormat="1" x14ac:dyDescent="0.25">
      <c r="A18" s="34" t="s">
        <v>192</v>
      </c>
      <c r="B18" s="35" t="s">
        <v>163</v>
      </c>
      <c r="C18" s="104">
        <v>91689.161070000002</v>
      </c>
      <c r="D18" s="15">
        <v>87916.042400000006</v>
      </c>
      <c r="E18" s="24">
        <f>IF(OR(91689.16107="",87916.0424=""),"-",87916.0424/91689.16107*100)</f>
        <v>95.884880365390828</v>
      </c>
      <c r="F18" s="107">
        <f>IF(91689.16107="","-",91689.16107/6735746.11893*100)</f>
        <v>1.3612324373734739</v>
      </c>
      <c r="G18" s="107">
        <f>IF(87916.0424="","-",87916.0424/6410995.1048*100)</f>
        <v>1.3713322341203484</v>
      </c>
      <c r="H18" s="107">
        <f>IF(OR(5074244.25964="",78399.16703="",91689.16107=""),"-",(91689.16107-78399.16703)/5074244.25964*100)</f>
        <v>0.26191080602302114</v>
      </c>
      <c r="I18" s="107">
        <f>IF(OR(6735746.11893="",87916.0424="",91689.16107=""),"-",(87916.0424-91689.16107)/6735746.11893*100)</f>
        <v>-5.6016343303024775E-2</v>
      </c>
    </row>
    <row r="19" spans="1:9" s="2" customFormat="1" x14ac:dyDescent="0.25">
      <c r="A19" s="32" t="s">
        <v>193</v>
      </c>
      <c r="B19" s="33" t="s">
        <v>164</v>
      </c>
      <c r="C19" s="103">
        <v>97524.155410000007</v>
      </c>
      <c r="D19" s="14">
        <v>106953.26701</v>
      </c>
      <c r="E19" s="23">
        <f>IF(97524.15541="","-",106953.26701/97524.15541*100)</f>
        <v>109.66848834564031</v>
      </c>
      <c r="F19" s="106">
        <f>IF(97524.15541="","-",97524.15541/6735746.11893*100)</f>
        <v>1.4478597276093907</v>
      </c>
      <c r="G19" s="106">
        <f>IF(106953.26701="","-",106953.26701/6410995.1048*100)</f>
        <v>1.6682787190076407</v>
      </c>
      <c r="H19" s="106">
        <f>IF(5074244.25964="","-",(97524.15541-96900.55776)/5074244.25964*100)</f>
        <v>1.2289468501941072E-2</v>
      </c>
      <c r="I19" s="106">
        <f>IF(6735746.11893="","-",(106953.26701-97524.15541)/6735746.11893*100)</f>
        <v>0.1399861490251334</v>
      </c>
    </row>
    <row r="20" spans="1:9" s="2" customFormat="1" x14ac:dyDescent="0.25">
      <c r="A20" s="34" t="s">
        <v>194</v>
      </c>
      <c r="B20" s="35" t="s">
        <v>165</v>
      </c>
      <c r="C20" s="104">
        <v>64412.260759999997</v>
      </c>
      <c r="D20" s="15">
        <v>73637.665800000002</v>
      </c>
      <c r="E20" s="24">
        <f>IF(OR(64412.26076="",73637.6658=""),"-",73637.6658/64412.26076*100)</f>
        <v>114.32243633610975</v>
      </c>
      <c r="F20" s="107">
        <f>IF(64412.26076="","-",64412.26076/6735746.11893*100)</f>
        <v>0.95627506771636084</v>
      </c>
      <c r="G20" s="107">
        <f>IF(73637.6658="","-",73637.6658/6410995.1048*100)</f>
        <v>1.1486152242553809</v>
      </c>
      <c r="H20" s="107">
        <f>IF(OR(5074244.25964="",60083.51003="",64412.26076=""),"-",(64412.26076-60083.51003)/5074244.25964*100)</f>
        <v>8.5308284515004995E-2</v>
      </c>
      <c r="I20" s="107">
        <f>IF(OR(6735746.11893="",73637.6658="",64412.26076=""),"-",(73637.6658-64412.26076)/6735746.11893*100)</f>
        <v>0.13696188777176621</v>
      </c>
    </row>
    <row r="21" spans="1:9" s="2" customFormat="1" x14ac:dyDescent="0.25">
      <c r="A21" s="34" t="s">
        <v>195</v>
      </c>
      <c r="B21" s="35" t="s">
        <v>166</v>
      </c>
      <c r="C21" s="104">
        <v>33111.894650000002</v>
      </c>
      <c r="D21" s="15">
        <v>33315.601210000001</v>
      </c>
      <c r="E21" s="24">
        <f>IF(OR(33111.89465="",33315.60121=""),"-",33315.60121/33111.89465*100)</f>
        <v>100.61520659615894</v>
      </c>
      <c r="F21" s="107">
        <f>IF(33111.89465="","-",33111.89465/6735746.11893*100)</f>
        <v>0.49158465989302991</v>
      </c>
      <c r="G21" s="107">
        <f>IF(33315.60121="","-",33315.60121/6410995.1048*100)</f>
        <v>0.51966349475226015</v>
      </c>
      <c r="H21" s="107">
        <f>IF(OR(5074244.25964="",36817.04773="",33111.89465=""),"-",(33111.89465-36817.04773)/5074244.25964*100)</f>
        <v>-7.3018816013064064E-2</v>
      </c>
      <c r="I21" s="107">
        <f>IF(OR(6735746.11893="",33315.60121="",33111.89465=""),"-",(33315.60121-33111.89465)/6735746.11893*100)</f>
        <v>3.0242612533674042E-3</v>
      </c>
    </row>
    <row r="22" spans="1:9" s="2" customFormat="1" x14ac:dyDescent="0.25">
      <c r="A22" s="32" t="s">
        <v>196</v>
      </c>
      <c r="B22" s="33" t="s">
        <v>18</v>
      </c>
      <c r="C22" s="103">
        <v>226197.19588000001</v>
      </c>
      <c r="D22" s="14">
        <v>171747.89845000001</v>
      </c>
      <c r="E22" s="23">
        <f>IF(226197.19588="","-",171747.89845/226197.19588*100)</f>
        <v>75.928394152646376</v>
      </c>
      <c r="F22" s="106">
        <f>IF(226197.19588="","-",226197.19588/6735746.11893*100)</f>
        <v>3.3581609503407521</v>
      </c>
      <c r="G22" s="106">
        <f>IF(171747.89845="","-",171747.89845/6410995.1048*100)</f>
        <v>2.678958502423594</v>
      </c>
      <c r="H22" s="106">
        <f>IF(5074244.25964="","-",(226197.19588-145934.49212)/5074244.25964*100)</f>
        <v>1.5817666563354278</v>
      </c>
      <c r="I22" s="106">
        <f>IF(6735746.11893="","-",(171747.89845-226197.19588)/6735746.11893*100)</f>
        <v>-0.80836326768577038</v>
      </c>
    </row>
    <row r="23" spans="1:9" s="2" customFormat="1" x14ac:dyDescent="0.25">
      <c r="A23" s="34" t="s">
        <v>198</v>
      </c>
      <c r="B23" s="35" t="s">
        <v>167</v>
      </c>
      <c r="C23" s="104">
        <v>118154.92675</v>
      </c>
      <c r="D23" s="15">
        <v>70256.903390000007</v>
      </c>
      <c r="E23" s="24">
        <f>IF(OR(118154.92675="",70256.90339=""),"-",70256.90339/118154.92675*100)</f>
        <v>59.461679104295165</v>
      </c>
      <c r="F23" s="107">
        <f>IF(118154.92675="","-",118154.92675/6735746.11893*100)</f>
        <v>1.7541475682692356</v>
      </c>
      <c r="G23" s="107">
        <f>IF(70256.90339="","-",70256.90339/6410995.1048*100)</f>
        <v>1.0958814075118806</v>
      </c>
      <c r="H23" s="107">
        <f>IF(OR(5074244.25964="",43293.26442="",118154.92675=""),"-",(118154.92675-43293.26442)/5074244.25964*100)</f>
        <v>1.4753263441699427</v>
      </c>
      <c r="I23" s="107">
        <f>IF(OR(6735746.11893="",70256.90339="",118154.92675=""),"-",(70256.90339-118154.92675)/6735746.11893*100)</f>
        <v>-0.71110197020918575</v>
      </c>
    </row>
    <row r="24" spans="1:9" s="2" customFormat="1" x14ac:dyDescent="0.25">
      <c r="A24" s="34" t="s">
        <v>251</v>
      </c>
      <c r="B24" s="35" t="s">
        <v>168</v>
      </c>
      <c r="C24" s="104">
        <v>3421.4544799999999</v>
      </c>
      <c r="D24" s="15">
        <v>2946.1647200000002</v>
      </c>
      <c r="E24" s="24">
        <f>IF(OR(3421.45448="",2946.16472=""),"-",2946.16472/3421.45448*100)</f>
        <v>86.108546444844137</v>
      </c>
      <c r="F24" s="107">
        <f>IF(3421.45448="","-",3421.45448/6735746.11893*100)</f>
        <v>5.0795478623881257E-2</v>
      </c>
      <c r="G24" s="107">
        <f>IF(2946.16472="","-",2946.16472/6410995.1048*100)</f>
        <v>4.5954873960115279E-2</v>
      </c>
      <c r="H24" s="107">
        <f>IF(OR(5074244.25964="",1906.34197="",3421.45448=""),"-",(3421.45448-1906.34197)/5074244.25964*100)</f>
        <v>2.9858880110503232E-2</v>
      </c>
      <c r="I24" s="107">
        <f>IF(OR(6735746.11893="",2946.16472="",3421.45448=""),"-",(2946.16472-3421.45448)/6735746.11893*100)</f>
        <v>-7.0562303211555927E-3</v>
      </c>
    </row>
    <row r="25" spans="1:9" s="2" customFormat="1" x14ac:dyDescent="0.25">
      <c r="A25" s="34" t="s">
        <v>199</v>
      </c>
      <c r="B25" s="35" t="s">
        <v>169</v>
      </c>
      <c r="C25" s="104">
        <v>45627.213989999997</v>
      </c>
      <c r="D25" s="15">
        <v>33312.634380000003</v>
      </c>
      <c r="E25" s="24">
        <f>IF(OR(45627.21399="",33312.63438=""),"-",33312.63438/45627.21399*100)</f>
        <v>73.010450270536026</v>
      </c>
      <c r="F25" s="107">
        <f>IF(45627.21399="","-",45627.21399/6735746.11893*100)</f>
        <v>0.67738915903867325</v>
      </c>
      <c r="G25" s="107">
        <f>IF(33312.63438="","-",33312.63438/6410995.1048*100)</f>
        <v>0.51961721753707746</v>
      </c>
      <c r="H25" s="107">
        <f>IF(OR(5074244.25964="",40774.44859="",45627.21399=""),"-",(45627.21399-40774.44859)/5074244.25964*100)</f>
        <v>9.5635234562876245E-2</v>
      </c>
      <c r="I25" s="107">
        <f>IF(OR(6735746.11893="",33312.63438="",45627.21399=""),"-",(33312.63438-45627.21399)/6735746.11893*100)</f>
        <v>-0.18282428394074052</v>
      </c>
    </row>
    <row r="26" spans="1:9" s="2" customFormat="1" x14ac:dyDescent="0.25">
      <c r="A26" s="34" t="s">
        <v>200</v>
      </c>
      <c r="B26" s="35" t="s">
        <v>121</v>
      </c>
      <c r="C26" s="104">
        <v>611.50063</v>
      </c>
      <c r="D26" s="15">
        <v>254.56268</v>
      </c>
      <c r="E26" s="24">
        <f>IF(OR(611.50063="",254.56268=""),"-",254.56268/611.50063*100)</f>
        <v>41.629177062335977</v>
      </c>
      <c r="F26" s="107">
        <f>IF(611.50063="","-",611.50063/6735746.11893*100)</f>
        <v>9.0784394067563116E-3</v>
      </c>
      <c r="G26" s="107">
        <f>IF(254.56268="","-",254.56268/6410995.1048*100)</f>
        <v>3.9707202366978164E-3</v>
      </c>
      <c r="H26" s="107">
        <f>IF(OR(5074244.25964="",450.47007="",611.50063=""),"-",(611.50063-450.47007)/5074244.25964*100)</f>
        <v>3.1734885385951944E-3</v>
      </c>
      <c r="I26" s="107">
        <f>IF(OR(6735746.11893="",254.56268="",611.50063=""),"-",(254.56268-611.50063)/6735746.11893*100)</f>
        <v>-5.299159791620843E-3</v>
      </c>
    </row>
    <row r="27" spans="1:9" s="2" customFormat="1" ht="27.75" customHeight="1" x14ac:dyDescent="0.25">
      <c r="A27" s="34" t="s">
        <v>201</v>
      </c>
      <c r="B27" s="35" t="s">
        <v>122</v>
      </c>
      <c r="C27" s="104">
        <v>6157.7748899999997</v>
      </c>
      <c r="D27" s="15">
        <v>5717.6875200000004</v>
      </c>
      <c r="E27" s="24">
        <f>IF(OR(6157.77489="",5717.68752=""),"-",5717.68752/6157.77489*100)</f>
        <v>92.853142931309733</v>
      </c>
      <c r="F27" s="107">
        <f>IF(6157.77489="","-",6157.77489/6735746.11893*100)</f>
        <v>9.1419343622443222E-2</v>
      </c>
      <c r="G27" s="107">
        <f>IF(5717.68752="","-",5717.68752/6410995.1048*100)</f>
        <v>8.9185647883572541E-2</v>
      </c>
      <c r="H27" s="107">
        <f>IF(OR(5074244.25964="",7468.29352="",6157.77489=""),"-",(6157.77489-7468.29352)/5074244.25964*100)</f>
        <v>-2.5826873184322769E-2</v>
      </c>
      <c r="I27" s="107">
        <f>IF(OR(6735746.11893="",5717.68752="",6157.77489=""),"-",(5717.68752-6157.77489)/6735746.11893*100)</f>
        <v>-6.5336098218308283E-3</v>
      </c>
    </row>
    <row r="28" spans="1:9" s="2" customFormat="1" ht="27" customHeight="1" x14ac:dyDescent="0.25">
      <c r="A28" s="34" t="s">
        <v>202</v>
      </c>
      <c r="B28" s="35" t="s">
        <v>123</v>
      </c>
      <c r="C28" s="104">
        <v>15432.44421</v>
      </c>
      <c r="D28" s="15">
        <v>16946.946690000001</v>
      </c>
      <c r="E28" s="24">
        <f>IF(OR(15432.44421="",16946.94669=""),"-",16946.94669/15432.44421*100)</f>
        <v>109.81375639134743</v>
      </c>
      <c r="F28" s="107">
        <f>IF(15432.44421="","-",15432.44421/6735746.11893*100)</f>
        <v>0.22911261703627725</v>
      </c>
      <c r="G28" s="107">
        <f>IF(16946.94669="","-",16946.94669/6410995.1048*100)</f>
        <v>0.26434190656785234</v>
      </c>
      <c r="H28" s="107">
        <f>IF(OR(5074244.25964="",14528.10993="",15432.44421=""),"-",(15432.44421-14528.10993)/5074244.25964*100)</f>
        <v>1.7822048638710161E-2</v>
      </c>
      <c r="I28" s="107">
        <f>IF(OR(6735746.11893="",16946.94669="",15432.44421=""),"-",(16946.94669-15432.44421)/6735746.11893*100)</f>
        <v>2.2484554097781016E-2</v>
      </c>
    </row>
    <row r="29" spans="1:9" s="2" customFormat="1" x14ac:dyDescent="0.25">
      <c r="A29" s="34" t="s">
        <v>203</v>
      </c>
      <c r="B29" s="35" t="s">
        <v>124</v>
      </c>
      <c r="C29" s="104">
        <v>2033.4900500000001</v>
      </c>
      <c r="D29" s="15">
        <v>2185.1962400000002</v>
      </c>
      <c r="E29" s="24">
        <f>IF(OR(2033.49005="",2185.19624=""),"-",2185.19624/2033.49005*100)</f>
        <v>107.46038516392053</v>
      </c>
      <c r="F29" s="107">
        <f>IF(2033.49005="","-",2033.49005/6735746.11893*100)</f>
        <v>3.0189529327495319E-2</v>
      </c>
      <c r="G29" s="107">
        <f>IF(2185.19624="","-",2185.19624/6410995.1048*100)</f>
        <v>3.4085133497667369E-2</v>
      </c>
      <c r="H29" s="107">
        <f>IF(OR(5074244.25964="",973.58339="",2033.49005=""),"-",(2033.49005-973.58339)/5074244.25964*100)</f>
        <v>2.0887970814302045E-2</v>
      </c>
      <c r="I29" s="107">
        <f>IF(OR(6735746.11893="",2185.19624="",2033.49005=""),"-",(2185.19624-2033.49005)/6735746.11893*100)</f>
        <v>2.2522551670058973E-3</v>
      </c>
    </row>
    <row r="30" spans="1:9" s="2" customFormat="1" x14ac:dyDescent="0.25">
      <c r="A30" s="34" t="s">
        <v>204</v>
      </c>
      <c r="B30" s="35" t="s">
        <v>125</v>
      </c>
      <c r="C30" s="104">
        <v>34758.390879999999</v>
      </c>
      <c r="D30" s="15">
        <v>40127.802830000001</v>
      </c>
      <c r="E30" s="24">
        <f>IF(OR(34758.39088="",40127.80283=""),"-",40127.80283/34758.39088*100)</f>
        <v>115.44781508596695</v>
      </c>
      <c r="F30" s="107">
        <f>IF(34758.39088="","-",34758.39088/6735746.11893*100)</f>
        <v>0.51602881501598974</v>
      </c>
      <c r="G30" s="107">
        <f>IF(40127.80283="","-",40127.80283/6410995.1048*100)</f>
        <v>0.62592159522873081</v>
      </c>
      <c r="H30" s="107">
        <f>IF(OR(5074244.25964="",36525.34581="",34758.39088=""),"-",(34758.39088-36525.34581)/5074244.25964*100)</f>
        <v>-3.4822031411734983E-2</v>
      </c>
      <c r="I30" s="107">
        <f>IF(OR(6735746.11893="",40127.80283="",34758.39088=""),"-",(40127.80283-34758.39088)/6735746.11893*100)</f>
        <v>7.9715177133976564E-2</v>
      </c>
    </row>
    <row r="31" spans="1:9" s="2" customFormat="1" x14ac:dyDescent="0.25">
      <c r="A31" s="32" t="s">
        <v>205</v>
      </c>
      <c r="B31" s="33" t="s">
        <v>126</v>
      </c>
      <c r="C31" s="103">
        <v>1782943.03987</v>
      </c>
      <c r="D31" s="14">
        <v>1492964.0600399999</v>
      </c>
      <c r="E31" s="23">
        <f>IF(1782943.03987="","-",1492964.06004/1782943.03987*100)</f>
        <v>83.735936967950281</v>
      </c>
      <c r="F31" s="106">
        <f>IF(1782943.03987="","-",1782943.03987/6735746.11893*100)</f>
        <v>26.469867010860966</v>
      </c>
      <c r="G31" s="106">
        <f>IF(1492964.06004="","-",1492964.06004/6410995.1048*100)</f>
        <v>23.287555763725308</v>
      </c>
      <c r="H31" s="106">
        <f>IF(5074244.25964="","-",(1782943.03987-652071.63022)/5074244.25964*100)</f>
        <v>22.286499265414378</v>
      </c>
      <c r="I31" s="106">
        <f>IF(6735746.11893="","-",(1492964.06004-1782943.03987)/6735746.11893*100)</f>
        <v>-4.3050758551461614</v>
      </c>
    </row>
    <row r="32" spans="1:9" s="2" customFormat="1" x14ac:dyDescent="0.25">
      <c r="A32" s="34" t="s">
        <v>206</v>
      </c>
      <c r="B32" s="35" t="s">
        <v>170</v>
      </c>
      <c r="C32" s="104">
        <v>29594.823840000001</v>
      </c>
      <c r="D32" s="15">
        <v>14252.82828</v>
      </c>
      <c r="E32" s="24">
        <f>IF(OR(29594.82384="",14252.82828=""),"-",14252.82828/29594.82384*100)</f>
        <v>48.159868621133853</v>
      </c>
      <c r="F32" s="107">
        <f>IF(29594.82384="","-",29594.82384/6735746.11893*100)</f>
        <v>0.43936964543285451</v>
      </c>
      <c r="G32" s="107">
        <f>IF(14252.82828="","-",14252.82828/6410995.1048*100)</f>
        <v>0.22231850199555936</v>
      </c>
      <c r="H32" s="107">
        <f>IF(OR(5074244.25964="",11896.84666="",29594.82384=""),"-",(29594.82384-11896.84666)/5074244.25964*100)</f>
        <v>0.34878055281587117</v>
      </c>
      <c r="I32" s="107">
        <f>IF(OR(6735746.11893="",14252.82828="",29594.82384=""),"-",(14252.82828-29594.82384)/6735746.11893*100)</f>
        <v>-0.22776980143125017</v>
      </c>
    </row>
    <row r="33" spans="1:9" s="2" customFormat="1" x14ac:dyDescent="0.25">
      <c r="A33" s="34" t="s">
        <v>207</v>
      </c>
      <c r="B33" s="35" t="s">
        <v>127</v>
      </c>
      <c r="C33" s="104">
        <v>1100214.1482500001</v>
      </c>
      <c r="D33" s="15">
        <v>1030776.1264</v>
      </c>
      <c r="E33" s="24">
        <f>IF(OR(1100214.14825="",1030776.1264=""),"-",1030776.1264/1100214.14825*100)</f>
        <v>93.688681248059908</v>
      </c>
      <c r="F33" s="107">
        <f>IF(1100214.14825="","-",1100214.14825/6735746.11893*100)</f>
        <v>16.333961061239844</v>
      </c>
      <c r="G33" s="107">
        <f>IF(1030776.1264="","-",1030776.1264/6410995.1048*100)</f>
        <v>16.078254772464945</v>
      </c>
      <c r="H33" s="107">
        <f>IF(OR(5074244.25964="",446639.73378="",1100214.14825=""),"-",(1100214.14825-446639.73378)/5074244.25964*100)</f>
        <v>12.880231637023499</v>
      </c>
      <c r="I33" s="107">
        <f>IF(OR(6735746.11893="",1030776.1264="",1100214.14825=""),"-",(1030776.1264-1100214.14825)/6735746.11893*100)</f>
        <v>-1.0308883473926218</v>
      </c>
    </row>
    <row r="34" spans="1:9" s="2" customFormat="1" x14ac:dyDescent="0.25">
      <c r="A34" s="34" t="s">
        <v>252</v>
      </c>
      <c r="B34" s="35" t="s">
        <v>171</v>
      </c>
      <c r="C34" s="104">
        <v>606109.05992000003</v>
      </c>
      <c r="D34" s="15">
        <v>410047.24368999997</v>
      </c>
      <c r="E34" s="24">
        <f>IF(OR(606109.05992="",410047.24369=""),"-",410047.24369/606109.05992*100)</f>
        <v>67.652386477133646</v>
      </c>
      <c r="F34" s="107">
        <f>IF(606109.05992="","-",606109.05992/6735746.11893*100)</f>
        <v>8.9983952663626052</v>
      </c>
      <c r="G34" s="107">
        <f>IF(410047.24369="","-",410047.24369/6410995.1048*100)</f>
        <v>6.3959999498828495</v>
      </c>
      <c r="H34" s="107">
        <f>IF(OR(5074244.25964="",185971.77416="",606109.05992=""),"-",(606109.05992-185971.77416)/5074244.25964*100)</f>
        <v>8.2798001882118157</v>
      </c>
      <c r="I34" s="107">
        <f>IF(OR(6735746.11893="",410047.24369="",606109.05992=""),"-",(410047.24369-606109.05992)/6735746.11893*100)</f>
        <v>-2.9107661240228762</v>
      </c>
    </row>
    <row r="35" spans="1:9" s="2" customFormat="1" x14ac:dyDescent="0.25">
      <c r="A35" s="34" t="s">
        <v>257</v>
      </c>
      <c r="B35" s="35" t="s">
        <v>259</v>
      </c>
      <c r="C35" s="104">
        <v>47025.007859999998</v>
      </c>
      <c r="D35" s="15">
        <v>37887.861669999998</v>
      </c>
      <c r="E35" s="24">
        <f>IF(OR(47025.00786="",37887.86167=""),"-",37887.86167/47025.00786*100)</f>
        <v>80.569601993044728</v>
      </c>
      <c r="F35" s="107">
        <f>IF(47025.00786="","-",47025.00786/6735746.11893*100)</f>
        <v>0.69814103782566717</v>
      </c>
      <c r="G35" s="107">
        <f>IF(37887.86167="","-",37887.86167/6410995.1048*100)</f>
        <v>0.59098253938195699</v>
      </c>
      <c r="H35" s="107">
        <f>IF(OR(5074244.25964="",7563.27562="",47025.00786=""),"-",(47025.00786-7563.27562)/5074244.25964*100)</f>
        <v>0.77768688736319669</v>
      </c>
      <c r="I35" s="107">
        <f>IF(OR(6735746.11893="",37887.86167="",47025.00786=""),"-",(37887.86167-47025.00786)/6735746.11893*100)</f>
        <v>-0.13565158229941529</v>
      </c>
    </row>
    <row r="36" spans="1:9" s="2" customFormat="1" x14ac:dyDescent="0.25">
      <c r="A36" s="32" t="s">
        <v>208</v>
      </c>
      <c r="B36" s="33" t="s">
        <v>128</v>
      </c>
      <c r="C36" s="103">
        <v>55918.51412</v>
      </c>
      <c r="D36" s="14">
        <v>19918.876110000001</v>
      </c>
      <c r="E36" s="23">
        <f>IF(55918.51412="","-",19918.87611/55918.51412*100)</f>
        <v>35.62125429022398</v>
      </c>
      <c r="F36" s="106">
        <f>IF(55918.51412="","-",55918.51412/6735746.11893*100)</f>
        <v>0.83017550146149044</v>
      </c>
      <c r="G36" s="106">
        <f>IF(19918.87611="","-",19918.87611/6410995.1048*100)</f>
        <v>0.31069866353643705</v>
      </c>
      <c r="H36" s="106">
        <f>IF(5074244.25964="","-",(55918.51412-10076.60778)/5074244.25964*100)</f>
        <v>0.90342332758045674</v>
      </c>
      <c r="I36" s="106">
        <f>IF(6735746.11893="","-",(19918.87611-55918.51412)/6735746.11893*100)</f>
        <v>-0.53445657503075072</v>
      </c>
    </row>
    <row r="37" spans="1:9" s="2" customFormat="1" x14ac:dyDescent="0.25">
      <c r="A37" s="34" t="s">
        <v>209</v>
      </c>
      <c r="B37" s="35" t="s">
        <v>174</v>
      </c>
      <c r="C37" s="104">
        <v>1825.09584</v>
      </c>
      <c r="D37" s="15">
        <v>2529.1871599999999</v>
      </c>
      <c r="E37" s="24">
        <f>IF(OR(1825.09584="",2529.18716=""),"-",2529.18716/1825.09584*100)</f>
        <v>138.5783203582339</v>
      </c>
      <c r="F37" s="107">
        <f>IF(1825.09584="","-",1825.09584/6735746.11893*100)</f>
        <v>2.7095674447568455E-2</v>
      </c>
      <c r="G37" s="107">
        <f>IF(2529.18716="","-",2529.18716/6410995.1048*100)</f>
        <v>3.9450773532900732E-2</v>
      </c>
      <c r="H37" s="107">
        <f>IF(OR(5074244.25964="",1385.00965="",1825.09584=""),"-",(1825.09584-1385.00965)/5074244.25964*100)</f>
        <v>8.6729405894075458E-3</v>
      </c>
      <c r="I37" s="107">
        <f>IF(OR(6735746.11893="",2529.18716="",1825.09584=""),"-",(2529.18716-1825.09584)/6735746.11893*100)</f>
        <v>1.0453056091607082E-2</v>
      </c>
    </row>
    <row r="38" spans="1:9" s="2" customFormat="1" ht="17.25" customHeight="1" x14ac:dyDescent="0.25">
      <c r="A38" s="34" t="s">
        <v>210</v>
      </c>
      <c r="B38" s="35" t="s">
        <v>129</v>
      </c>
      <c r="C38" s="104">
        <v>51341.088929999998</v>
      </c>
      <c r="D38" s="15">
        <v>14804.52269</v>
      </c>
      <c r="E38" s="24">
        <f>IF(OR(51341.08893="",14804.52269=""),"-",14804.52269/51341.08893*100)</f>
        <v>28.835622692352587</v>
      </c>
      <c r="F38" s="107">
        <f>IF(51341.08893="","-",51341.08893/6735746.11893*100)</f>
        <v>0.76221829064655622</v>
      </c>
      <c r="G38" s="107">
        <f>IF(14804.52269="","-",14804.52269/6410995.1048*100)</f>
        <v>0.23092394313194298</v>
      </c>
      <c r="H38" s="107">
        <f>IF(OR(5074244.25964="",7174.41565="",51341.08893=""),"-",(51341.08893-7174.41565)/5074244.25964*100)</f>
        <v>0.87040889283350087</v>
      </c>
      <c r="I38" s="107">
        <f>IF(OR(6735746.11893="",14804.52269="",51341.08893=""),"-",(14804.52269-51341.08893)/6735746.11893*100)</f>
        <v>-0.54242790026361587</v>
      </c>
    </row>
    <row r="39" spans="1:9" s="2" customFormat="1" ht="37.5" customHeight="1" x14ac:dyDescent="0.25">
      <c r="A39" s="34" t="s">
        <v>211</v>
      </c>
      <c r="B39" s="35" t="s">
        <v>172</v>
      </c>
      <c r="C39" s="104">
        <v>2752.32935</v>
      </c>
      <c r="D39" s="15">
        <v>2585.16626</v>
      </c>
      <c r="E39" s="24">
        <f>IF(OR(2752.32935="",2585.16626=""),"-",2585.16626/2752.32935*100)</f>
        <v>93.926486668465031</v>
      </c>
      <c r="F39" s="107">
        <f>IF(2752.32935="","-",2752.32935/6735746.11893*100)</f>
        <v>4.0861536367365614E-2</v>
      </c>
      <c r="G39" s="107">
        <f>IF(2585.16626="","-",2585.16626/6410995.1048*100)</f>
        <v>4.0323946871593318E-2</v>
      </c>
      <c r="H39" s="107">
        <f>IF(OR(5074244.25964="",1517.18248="",2752.32935=""),"-",(2752.32935-1517.18248)/5074244.25964*100)</f>
        <v>2.4341494157548292E-2</v>
      </c>
      <c r="I39" s="107">
        <f>IF(OR(6735746.11893="",2585.16626="",2752.32935=""),"-",(2585.16626-2752.32935)/6735746.11893*100)</f>
        <v>-2.481730858741964E-3</v>
      </c>
    </row>
    <row r="40" spans="1:9" s="2" customFormat="1" ht="24" x14ac:dyDescent="0.25">
      <c r="A40" s="32" t="s">
        <v>212</v>
      </c>
      <c r="B40" s="33" t="s">
        <v>130</v>
      </c>
      <c r="C40" s="103">
        <v>822080.02176999999</v>
      </c>
      <c r="D40" s="14">
        <v>828109.94970999996</v>
      </c>
      <c r="E40" s="23">
        <f>IF(822080.02177="","-",828109.94971/822080.02177*100)</f>
        <v>100.73349646996859</v>
      </c>
      <c r="F40" s="106">
        <f>IF(822080.02177="","-",822080.02177/6735746.11893*100)</f>
        <v>12.204735856353665</v>
      </c>
      <c r="G40" s="106">
        <f>IF(828109.94971="","-",828109.94971/6410995.1048*100)</f>
        <v>12.917026704481223</v>
      </c>
      <c r="H40" s="106">
        <f>IF(5074244.25964="","-",(822080.02177-761651.16325)/5074244.25964*100)</f>
        <v>1.1908937652182954</v>
      </c>
      <c r="I40" s="106">
        <f>IF(6735746.11893="","-",(828109.94971-822080.02177)/6735746.11893*100)</f>
        <v>8.9521306675344872E-2</v>
      </c>
    </row>
    <row r="41" spans="1:9" s="2" customFormat="1" x14ac:dyDescent="0.25">
      <c r="A41" s="34" t="s">
        <v>213</v>
      </c>
      <c r="B41" s="35" t="s">
        <v>19</v>
      </c>
      <c r="C41" s="104">
        <v>14273.606809999999</v>
      </c>
      <c r="D41" s="15">
        <v>12120.937190000001</v>
      </c>
      <c r="E41" s="24">
        <f>IF(OR(14273.60681="",12120.93719=""),"-",12120.93719/14273.60681*100)</f>
        <v>84.918530763423774</v>
      </c>
      <c r="F41" s="107">
        <f>IF(14273.60681="","-",14273.60681/6735746.11893*100)</f>
        <v>0.21190832549174846</v>
      </c>
      <c r="G41" s="107">
        <f>IF(12120.93719="","-",12120.93719/6410995.1048*100)</f>
        <v>0.18906483302295596</v>
      </c>
      <c r="H41" s="107">
        <f>IF(OR(5074244.25964="",10024.1524="",14273.60681=""),"-",(14273.60681-10024.1524)/5074244.25964*100)</f>
        <v>8.3745562739257692E-2</v>
      </c>
      <c r="I41" s="107">
        <f>IF(OR(6735746.11893="",12120.93719="",14273.60681=""),"-",(12120.93719-14273.60681)/6735746.11893*100)</f>
        <v>-3.1958888918781861E-2</v>
      </c>
    </row>
    <row r="42" spans="1:9" s="2" customFormat="1" x14ac:dyDescent="0.25">
      <c r="A42" s="34" t="s">
        <v>214</v>
      </c>
      <c r="B42" s="35" t="s">
        <v>20</v>
      </c>
      <c r="C42" s="104">
        <v>23763.477029999998</v>
      </c>
      <c r="D42" s="15">
        <v>26238.163219999999</v>
      </c>
      <c r="E42" s="24">
        <f>IF(OR(23763.47703="",26238.16322=""),"-",26238.16322/23763.47703*100)</f>
        <v>110.41382196248408</v>
      </c>
      <c r="F42" s="107">
        <f>IF(23763.47703="","-",23763.47703/6735746.11893*100)</f>
        <v>0.35279650703009158</v>
      </c>
      <c r="G42" s="107">
        <f>IF(26238.16322="","-",26238.16322/6410995.1048*100)</f>
        <v>0.40926818366083495</v>
      </c>
      <c r="H42" s="107">
        <f>IF(OR(5074244.25964="",12273.12824="",23763.47703=""),"-",(23763.47703-12273.12824)/5074244.25964*100)</f>
        <v>0.22644453443822193</v>
      </c>
      <c r="I42" s="107">
        <f>IF(OR(6735746.11893="",26238.16322="",23763.47703=""),"-",(26238.16322-23763.47703)/6735746.11893*100)</f>
        <v>3.6739600131976385E-2</v>
      </c>
    </row>
    <row r="43" spans="1:9" s="2" customFormat="1" x14ac:dyDescent="0.25">
      <c r="A43" s="34" t="s">
        <v>215</v>
      </c>
      <c r="B43" s="35" t="s">
        <v>131</v>
      </c>
      <c r="C43" s="104">
        <v>38445.416089999999</v>
      </c>
      <c r="D43" s="15">
        <v>40660.944100000001</v>
      </c>
      <c r="E43" s="24">
        <f>IF(OR(38445.41609="",40660.9441=""),"-",40660.9441/38445.41609*100)</f>
        <v>105.76278848124181</v>
      </c>
      <c r="F43" s="107">
        <f>IF(38445.41609="","-",38445.41609/6735746.11893*100)</f>
        <v>0.57076700058444607</v>
      </c>
      <c r="G43" s="107">
        <f>IF(40660.9441="","-",40660.9441/6410995.1048*100)</f>
        <v>0.63423764073001077</v>
      </c>
      <c r="H43" s="107">
        <f>IF(OR(5074244.25964="",38443.27571="",38445.41609=""),"-",(38445.41609-38443.27571)/5074244.25964*100)</f>
        <v>4.2181256764114603E-5</v>
      </c>
      <c r="I43" s="107">
        <f>IF(OR(6735746.11893="",40660.9441="",38445.41609=""),"-",(40660.9441-38445.41609)/6735746.11893*100)</f>
        <v>3.2892094964409778E-2</v>
      </c>
    </row>
    <row r="44" spans="1:9" s="2" customFormat="1" x14ac:dyDescent="0.25">
      <c r="A44" s="34" t="s">
        <v>216</v>
      </c>
      <c r="B44" s="35" t="s">
        <v>132</v>
      </c>
      <c r="C44" s="104">
        <v>210454.35190000001</v>
      </c>
      <c r="D44" s="15">
        <v>219036.96943</v>
      </c>
      <c r="E44" s="24">
        <f>IF(OR(210454.3519="",219036.96943=""),"-",219036.96943/210454.3519*100)</f>
        <v>104.07813735022127</v>
      </c>
      <c r="F44" s="107">
        <f>IF(210454.3519="","-",210454.3519/6735746.11893*100)</f>
        <v>3.1244400870238191</v>
      </c>
      <c r="G44" s="107">
        <f>IF(219036.96943="","-",219036.96943/6410995.1048*100)</f>
        <v>3.4165830085567221</v>
      </c>
      <c r="H44" s="107">
        <f>IF(OR(5074244.25964="",236453.88078="",210454.3519=""),"-",(210454.3519-236453.88078)/5074244.25964*100)</f>
        <v>-0.51238228886215609</v>
      </c>
      <c r="I44" s="107">
        <f>IF(OR(6735746.11893="",219036.96943="",210454.3519=""),"-",(219036.96943-210454.3519)/6735746.11893*100)</f>
        <v>0.12741895817420404</v>
      </c>
    </row>
    <row r="45" spans="1:9" s="2" customFormat="1" ht="27" customHeight="1" x14ac:dyDescent="0.25">
      <c r="A45" s="34" t="s">
        <v>217</v>
      </c>
      <c r="B45" s="35" t="s">
        <v>133</v>
      </c>
      <c r="C45" s="104">
        <v>111037.84551</v>
      </c>
      <c r="D45" s="15">
        <v>128826.79399000001</v>
      </c>
      <c r="E45" s="24">
        <f>IF(OR(111037.84551="",128826.79399=""),"-",128826.79399/111037.84551*100)</f>
        <v>116.02061747352433</v>
      </c>
      <c r="F45" s="107">
        <f>IF(111037.84551="","-",111037.84551/6735746.11893*100)</f>
        <v>1.6484862040441455</v>
      </c>
      <c r="G45" s="107">
        <f>IF(128826.79399="","-",128826.79399/6410995.1048*100)</f>
        <v>2.0094664226704153</v>
      </c>
      <c r="H45" s="107">
        <f>IF(OR(5074244.25964="",100763.24131="",111037.84551=""),"-",(111037.84551-100763.24131)/5074244.25964*100)</f>
        <v>0.20248540815670052</v>
      </c>
      <c r="I45" s="107">
        <f>IF(OR(6735746.11893="",128826.79399="",111037.84551=""),"-",(128826.79399-111037.84551)/6735746.11893*100)</f>
        <v>0.26409766885373426</v>
      </c>
    </row>
    <row r="46" spans="1:9" s="2" customFormat="1" ht="18" customHeight="1" x14ac:dyDescent="0.25">
      <c r="A46" s="34" t="s">
        <v>218</v>
      </c>
      <c r="B46" s="35" t="s">
        <v>134</v>
      </c>
      <c r="C46" s="104">
        <v>105289.73235999999</v>
      </c>
      <c r="D46" s="15">
        <v>112249.64311999999</v>
      </c>
      <c r="E46" s="24">
        <f>IF(OR(105289.73236="",112249.64312=""),"-",112249.64312/105289.73236*100)</f>
        <v>106.61024641624419</v>
      </c>
      <c r="F46" s="107">
        <f>IF(105289.73236="","-",105289.73236/6735746.11893*100)</f>
        <v>1.5631487663125534</v>
      </c>
      <c r="G46" s="107">
        <f>IF(112249.64312="","-",112249.64312/6410995.1048*100)</f>
        <v>1.750892666194007</v>
      </c>
      <c r="H46" s="107">
        <f>IF(OR(5074244.25964="",69584.30206="",105289.73236=""),"-",(105289.73236-69584.30206)/5074244.25964*100)</f>
        <v>0.70366006193271369</v>
      </c>
      <c r="I46" s="107">
        <f>IF(OR(6735746.11893="",112249.64312="",105289.73236=""),"-",(112249.64312-105289.73236)/6735746.11893*100)</f>
        <v>0.10332798530574083</v>
      </c>
    </row>
    <row r="47" spans="1:9" s="2" customFormat="1" x14ac:dyDescent="0.25">
      <c r="A47" s="34" t="s">
        <v>219</v>
      </c>
      <c r="B47" s="35" t="s">
        <v>21</v>
      </c>
      <c r="C47" s="104">
        <v>61858.066639999997</v>
      </c>
      <c r="D47" s="15">
        <v>51343.468690000002</v>
      </c>
      <c r="E47" s="24">
        <f>IF(OR(61858.06664="",51343.46869=""),"-",51343.46869/61858.06664*100)</f>
        <v>83.002058549303541</v>
      </c>
      <c r="F47" s="107">
        <f>IF(61858.06664="","-",61858.06664/6735746.11893*100)</f>
        <v>0.91835507971649022</v>
      </c>
      <c r="G47" s="107">
        <f>IF(51343.46869="","-",51343.46869/6410995.1048*100)</f>
        <v>0.80086582271071216</v>
      </c>
      <c r="H47" s="107">
        <f>IF(OR(5074244.25964="",50413.37306="",61858.06664=""),"-",(61858.06664-50413.37306)/5074244.25964*100)</f>
        <v>0.2255447904041569</v>
      </c>
      <c r="I47" s="107">
        <f>IF(OR(6735746.11893="",51343.46869="",61858.06664=""),"-",(51343.46869-61858.06664)/6735746.11893*100)</f>
        <v>-0.15610145875970577</v>
      </c>
    </row>
    <row r="48" spans="1:9" s="2" customFormat="1" x14ac:dyDescent="0.25">
      <c r="A48" s="34" t="s">
        <v>220</v>
      </c>
      <c r="B48" s="35" t="s">
        <v>22</v>
      </c>
      <c r="C48" s="104">
        <v>113413.46238</v>
      </c>
      <c r="D48" s="15">
        <v>105170.39611</v>
      </c>
      <c r="E48" s="24">
        <f>IF(OR(113413.46238="",105170.39611=""),"-",105170.39611/113413.46238*100)</f>
        <v>92.731844970589989</v>
      </c>
      <c r="F48" s="107">
        <f>IF(113413.46238="","-",113413.46238/6735746.11893*100)</f>
        <v>1.6837550046796625</v>
      </c>
      <c r="G48" s="107">
        <f>IF(105170.39611="","-",105170.39611/6410995.1048*100)</f>
        <v>1.6404691376422591</v>
      </c>
      <c r="H48" s="107">
        <f>IF(OR(5074244.25964="",116020.60757="",113413.46238=""),"-",(113413.46238-116020.60757)/5074244.25964*100)</f>
        <v>-5.1379970229989746E-2</v>
      </c>
      <c r="I48" s="107">
        <f>IF(OR(6735746.11893="",105170.39611="",113413.46238=""),"-",(105170.39611-113413.46238)/6735746.11893*100)</f>
        <v>-0.12237792405556758</v>
      </c>
    </row>
    <row r="49" spans="1:9" s="2" customFormat="1" x14ac:dyDescent="0.25">
      <c r="A49" s="34" t="s">
        <v>221</v>
      </c>
      <c r="B49" s="35" t="s">
        <v>135</v>
      </c>
      <c r="C49" s="104">
        <v>143544.06305</v>
      </c>
      <c r="D49" s="15">
        <v>132462.63386</v>
      </c>
      <c r="E49" s="24">
        <f>IF(OR(143544.06305="",132462.63386=""),"-",132462.63386/143544.06305*100)</f>
        <v>92.280120156456718</v>
      </c>
      <c r="F49" s="107">
        <f>IF(143544.06305="","-",143544.06305/6735746.11893*100)</f>
        <v>2.1310788814707071</v>
      </c>
      <c r="G49" s="107">
        <f>IF(132462.63386="","-",132462.63386/6410995.1048*100)</f>
        <v>2.0661789892933067</v>
      </c>
      <c r="H49" s="107">
        <f>IF(OR(5074244.25964="",127675.20212="",143544.06305=""),"-",(143544.06305-127675.20212)/5074244.25964*100)</f>
        <v>0.31273348538262596</v>
      </c>
      <c r="I49" s="107">
        <f>IF(OR(6735746.11893="",132462.63386="",143544.06305=""),"-",(132462.63386-143544.06305)/6735746.11893*100)</f>
        <v>-0.16451672902066453</v>
      </c>
    </row>
    <row r="50" spans="1:9" s="2" customFormat="1" ht="24" x14ac:dyDescent="0.25">
      <c r="A50" s="32" t="s">
        <v>222</v>
      </c>
      <c r="B50" s="33" t="s">
        <v>330</v>
      </c>
      <c r="C50" s="103">
        <v>989226.19074999995</v>
      </c>
      <c r="D50" s="14">
        <v>907795.15650000004</v>
      </c>
      <c r="E50" s="23">
        <f>IF(989226.19075="","-",907795.1565/989226.19075*100)</f>
        <v>91.768208827117533</v>
      </c>
      <c r="F50" s="106">
        <f>IF(989226.19075="","-",989226.19075/6735746.11893*100)</f>
        <v>14.686215502836417</v>
      </c>
      <c r="G50" s="106">
        <f>IF(907795.1565="","-",907795.1565/6410995.1048*100)</f>
        <v>14.159972697847193</v>
      </c>
      <c r="H50" s="106">
        <f>IF(5074244.25964="","-",(989226.19075-965615.6951)/5074244.25964*100)</f>
        <v>0.4653007313383653</v>
      </c>
      <c r="I50" s="106">
        <f>IF(6735746.11893="","-",(907795.1565-989226.19075)/6735746.11893*100)</f>
        <v>-1.2089385913929838</v>
      </c>
    </row>
    <row r="51" spans="1:9" s="2" customFormat="1" x14ac:dyDescent="0.25">
      <c r="A51" s="34" t="s">
        <v>223</v>
      </c>
      <c r="B51" s="35" t="s">
        <v>136</v>
      </c>
      <c r="C51" s="104">
        <v>41540.929259999997</v>
      </c>
      <c r="D51" s="15">
        <v>32769.920619999997</v>
      </c>
      <c r="E51" s="24">
        <f>IF(OR(41540.92926="",32769.92062=""),"-",32769.92062/41540.92926*100)</f>
        <v>78.885863180615814</v>
      </c>
      <c r="F51" s="107">
        <f>IF(41540.92926="","-",41540.92926/6735746.11893*100)</f>
        <v>0.61672350065650838</v>
      </c>
      <c r="G51" s="107">
        <f>IF(32769.92062="","-",32769.92062/6410995.1048*100)</f>
        <v>0.5111518583981558</v>
      </c>
      <c r="H51" s="107">
        <f>IF(OR(5074244.25964="",41518.437="",41540.92926=""),"-",(41540.92926-41518.437)/5074244.25964*100)</f>
        <v>4.4326324964093922E-4</v>
      </c>
      <c r="I51" s="107">
        <f>IF(OR(6735746.11893="",32769.92062="",41540.92926=""),"-",(32769.92062-41540.92926)/6735746.11893*100)</f>
        <v>-0.13021584372591094</v>
      </c>
    </row>
    <row r="52" spans="1:9" s="2" customFormat="1" x14ac:dyDescent="0.25">
      <c r="A52" s="34" t="s">
        <v>224</v>
      </c>
      <c r="B52" s="35" t="s">
        <v>23</v>
      </c>
      <c r="C52" s="104">
        <v>65645.030650000001</v>
      </c>
      <c r="D52" s="15">
        <v>56324.148390000002</v>
      </c>
      <c r="E52" s="24">
        <f>IF(OR(65645.03065="",56324.14839=""),"-",56324.14839/65645.03065*100)</f>
        <v>85.801084761927825</v>
      </c>
      <c r="F52" s="107">
        <f>IF(65645.03065="","-",65645.03065/6735746.11893*100)</f>
        <v>0.97457697322517223</v>
      </c>
      <c r="G52" s="107">
        <f>IF(56324.14839="","-",56324.14839/6410995.1048*100)</f>
        <v>0.87855547335903195</v>
      </c>
      <c r="H52" s="107">
        <f>IF(OR(5074244.25964="",50857.97952="",65645.03065=""),"-",(65645.03065-50857.97952)/5074244.25964*100)</f>
        <v>0.29141386132344149</v>
      </c>
      <c r="I52" s="107">
        <f>IF(OR(6735746.11893="",56324.14839="",65645.03065=""),"-",(56324.14839-65645.03065)/6735746.11893*100)</f>
        <v>-0.13837935835801154</v>
      </c>
    </row>
    <row r="53" spans="1:9" s="2" customFormat="1" x14ac:dyDescent="0.25">
      <c r="A53" s="34" t="s">
        <v>225</v>
      </c>
      <c r="B53" s="35" t="s">
        <v>137</v>
      </c>
      <c r="C53" s="104">
        <v>80867.239509999999</v>
      </c>
      <c r="D53" s="15">
        <v>80177.601139999999</v>
      </c>
      <c r="E53" s="24">
        <f>IF(OR(80867.23951="",80177.60114=""),"-",80177.60114/80867.23951*100)</f>
        <v>99.147196844879659</v>
      </c>
      <c r="F53" s="107">
        <f>IF(80867.23951="","-",80867.23951/6735746.11893*100)</f>
        <v>1.2005684015128244</v>
      </c>
      <c r="G53" s="107">
        <f>IF(80177.60114="","-",80177.60114/6410995.1048*100)</f>
        <v>1.2506264601570189</v>
      </c>
      <c r="H53" s="107">
        <f>IF(OR(5074244.25964="",82976.30821="",80867.23951=""),"-",(80867.23951-82976.30821)/5074244.25964*100)</f>
        <v>-4.1564193446013468E-2</v>
      </c>
      <c r="I53" s="107">
        <f>IF(OR(6735746.11893="",80177.60114="",80867.23951=""),"-",(80177.60114-80867.23951)/6735746.11893*100)</f>
        <v>-1.0238485207479173E-2</v>
      </c>
    </row>
    <row r="54" spans="1:9" s="2" customFormat="1" ht="25.5" customHeight="1" x14ac:dyDescent="0.25">
      <c r="A54" s="34" t="s">
        <v>226</v>
      </c>
      <c r="B54" s="35" t="s">
        <v>138</v>
      </c>
      <c r="C54" s="104">
        <v>105775.21603</v>
      </c>
      <c r="D54" s="15">
        <v>93351.281180000005</v>
      </c>
      <c r="E54" s="24">
        <f>IF(OR(105775.21603="",93351.28118=""),"-",93351.28118/105775.21603*100)</f>
        <v>88.254398982767086</v>
      </c>
      <c r="F54" s="107">
        <f>IF(105775.21603="","-",105775.21603/6735746.11893*100)</f>
        <v>1.5703563371061677</v>
      </c>
      <c r="G54" s="107">
        <f>IF(93351.28118="","-",93351.28118/6410995.1048*100)</f>
        <v>1.4561121893558555</v>
      </c>
      <c r="H54" s="107">
        <f>IF(OR(5074244.25964="",80716.0355="",105775.21603=""),"-",(105775.21603-80716.0355)/5074244.25964*100)</f>
        <v>0.49385049768530187</v>
      </c>
      <c r="I54" s="107">
        <f>IF(OR(6735746.11893="",93351.28118="",105775.21603=""),"-",(93351.28118-105775.21603)/6735746.11893*100)</f>
        <v>-0.18444778990532354</v>
      </c>
    </row>
    <row r="55" spans="1:9" s="2" customFormat="1" ht="24.75" customHeight="1" x14ac:dyDescent="0.25">
      <c r="A55" s="34" t="s">
        <v>227</v>
      </c>
      <c r="B55" s="35" t="s">
        <v>139</v>
      </c>
      <c r="C55" s="104">
        <v>247799.37411999999</v>
      </c>
      <c r="D55" s="15">
        <v>223494.57558999999</v>
      </c>
      <c r="E55" s="24">
        <f>IF(OR(247799.37412="",223494.57559=""),"-",223494.57559/247799.37412*100)</f>
        <v>90.191743374529239</v>
      </c>
      <c r="F55" s="107">
        <f>IF(247799.37412="","-",247799.37412/6735746.11893*100)</f>
        <v>3.6788704583682246</v>
      </c>
      <c r="G55" s="107">
        <f>IF(223494.57559="","-",223494.57559/6410995.1048*100)</f>
        <v>3.4861136521952192</v>
      </c>
      <c r="H55" s="107">
        <f>IF(OR(5074244.25964="",237583.49295="",247799.37412=""),"-",(247799.37412-237583.49295)/5074244.25964*100)</f>
        <v>0.20132813178222447</v>
      </c>
      <c r="I55" s="107">
        <f>IF(OR(6735746.11893="",223494.57559="",247799.37412=""),"-",(223494.57559-247799.37412)/6735746.11893*100)</f>
        <v>-0.3608330554753883</v>
      </c>
    </row>
    <row r="56" spans="1:9" s="2" customFormat="1" x14ac:dyDescent="0.25">
      <c r="A56" s="34" t="s">
        <v>228</v>
      </c>
      <c r="B56" s="35" t="s">
        <v>24</v>
      </c>
      <c r="C56" s="104">
        <v>125570.86507</v>
      </c>
      <c r="D56" s="15">
        <v>136624.83582000001</v>
      </c>
      <c r="E56" s="24">
        <f>IF(OR(125570.86507="",136624.83582=""),"-",136624.83582/125570.86507*100)</f>
        <v>108.80297411651813</v>
      </c>
      <c r="F56" s="107">
        <f>IF(125570.86507="","-",125570.86507/6735746.11893*100)</f>
        <v>1.8642458140917493</v>
      </c>
      <c r="G56" s="107">
        <f>IF(136624.83582="","-",136624.83582/6410995.1048*100)</f>
        <v>2.1311018583949179</v>
      </c>
      <c r="H56" s="107">
        <f>IF(OR(5074244.25964="",123157.69046="",125570.86507=""),"-",(125570.86507-123157.69046)/5074244.25964*100)</f>
        <v>4.7557320588489133E-2</v>
      </c>
      <c r="I56" s="107">
        <f>IF(OR(6735746.11893="",136624.83582="",125570.86507=""),"-",(136624.83582-125570.86507)/6735746.11893*100)</f>
        <v>0.16410907648276946</v>
      </c>
    </row>
    <row r="57" spans="1:9" s="2" customFormat="1" x14ac:dyDescent="0.25">
      <c r="A57" s="34" t="s">
        <v>229</v>
      </c>
      <c r="B57" s="35" t="s">
        <v>140</v>
      </c>
      <c r="C57" s="104">
        <v>140802.98652999999</v>
      </c>
      <c r="D57" s="15">
        <v>114384.61601</v>
      </c>
      <c r="E57" s="24">
        <f>IF(OR(140802.98653="",114384.61601=""),"-",114384.61601/140802.98653*100)</f>
        <v>81.237350733060481</v>
      </c>
      <c r="F57" s="107">
        <f>IF(140802.98653="","-",140802.98653/6735746.11893*100)</f>
        <v>2.0903844064771122</v>
      </c>
      <c r="G57" s="107">
        <f>IF(114384.61601="","-",114384.61601/6410995.1048*100)</f>
        <v>1.7841944057071371</v>
      </c>
      <c r="H57" s="107">
        <f>IF(OR(5074244.25964="",131951.11622="",140802.98653=""),"-",(140802.98653-131951.11622)/5074244.25964*100)</f>
        <v>0.17444706752504674</v>
      </c>
      <c r="I57" s="107">
        <f>IF(OR(6735746.11893="",114384.61601="",140802.98653=""),"-",(114384.61601-140802.98653)/6735746.11893*100)</f>
        <v>-0.39221149451809595</v>
      </c>
    </row>
    <row r="58" spans="1:9" s="2" customFormat="1" x14ac:dyDescent="0.25">
      <c r="A58" s="34" t="s">
        <v>230</v>
      </c>
      <c r="B58" s="35" t="s">
        <v>25</v>
      </c>
      <c r="C58" s="104">
        <v>27034.063170000001</v>
      </c>
      <c r="D58" s="15">
        <v>27619.490659999999</v>
      </c>
      <c r="E58" s="24">
        <f>IF(OR(27034.06317="",27619.49066=""),"-",27619.49066/27034.06317*100)</f>
        <v>102.16551794792599</v>
      </c>
      <c r="F58" s="107">
        <f>IF(27034.06317="","-",27034.06317/6735746.11893*100)</f>
        <v>0.40135216934652623</v>
      </c>
      <c r="G58" s="107">
        <f>IF(27619.49066="","-",27619.49066/6410995.1048*100)</f>
        <v>0.43081440881651756</v>
      </c>
      <c r="H58" s="107">
        <f>IF(OR(5074244.25964="",57631.7704="",27034.06317=""),"-",(27034.06317-57631.7704)/5074244.25964*100)</f>
        <v>-0.60300028268979711</v>
      </c>
      <c r="I58" s="107">
        <f>IF(OR(6735746.11893="",27619.49066="",27034.06317=""),"-",(27619.49066-27034.06317)/6735746.11893*100)</f>
        <v>8.6913532615893151E-3</v>
      </c>
    </row>
    <row r="59" spans="1:9" s="2" customFormat="1" x14ac:dyDescent="0.25">
      <c r="A59" s="34" t="s">
        <v>231</v>
      </c>
      <c r="B59" s="35" t="s">
        <v>26</v>
      </c>
      <c r="C59" s="104">
        <v>154190.48641000001</v>
      </c>
      <c r="D59" s="15">
        <v>143048.68708999999</v>
      </c>
      <c r="E59" s="24">
        <f>IF(OR(154190.48641="",143048.68709=""),"-",143048.68709/154190.48641*100)</f>
        <v>92.774003390602573</v>
      </c>
      <c r="F59" s="107">
        <f>IF(154190.48641="","-",154190.48641/6735746.11893*100)</f>
        <v>2.2891374420521329</v>
      </c>
      <c r="G59" s="107">
        <f>IF(143048.68709="","-",143048.68709/6410995.1048*100)</f>
        <v>2.231302391463339</v>
      </c>
      <c r="H59" s="107">
        <f>IF(OR(5074244.25964="",159222.86484="",154190.48641=""),"-",(154190.48641-159222.86484)/5074244.25964*100)</f>
        <v>-9.9174934679967741E-2</v>
      </c>
      <c r="I59" s="107">
        <f>IF(OR(6735746.11893="",143048.68709="",154190.48641=""),"-",(143048.68709-154190.48641)/6735746.11893*100)</f>
        <v>-0.16541299394713438</v>
      </c>
    </row>
    <row r="60" spans="1:9" s="2" customFormat="1" x14ac:dyDescent="0.25">
      <c r="A60" s="32" t="s">
        <v>232</v>
      </c>
      <c r="B60" s="33" t="s">
        <v>141</v>
      </c>
      <c r="C60" s="103">
        <v>1478289.8035899999</v>
      </c>
      <c r="D60" s="14">
        <v>1548540.68199</v>
      </c>
      <c r="E60" s="23">
        <f>IF(1478289.80359="","-",1548540.68199/1478289.80359*100)</f>
        <v>104.75217228918152</v>
      </c>
      <c r="F60" s="106">
        <f>IF(1478289.80359="","-",1478289.80359/6735746.11893*100)</f>
        <v>21.946934719458106</v>
      </c>
      <c r="G60" s="106">
        <f>IF(1548540.68199="","-",1548540.68199/6410995.1048*100)</f>
        <v>24.154451168284101</v>
      </c>
      <c r="H60" s="106">
        <f>IF(5074244.25964="","-",(1478289.80359-1298222.61596)/5074244.25964*100)</f>
        <v>3.5486503687304749</v>
      </c>
      <c r="I60" s="106">
        <f>IF(6735746.11893="","-",(1548540.68199-1478289.80359)/6735746.11893*100)</f>
        <v>1.0429561500628481</v>
      </c>
    </row>
    <row r="61" spans="1:9" s="2" customFormat="1" x14ac:dyDescent="0.25">
      <c r="A61" s="34" t="s">
        <v>233</v>
      </c>
      <c r="B61" s="35" t="s">
        <v>142</v>
      </c>
      <c r="C61" s="104">
        <v>22948.066060000001</v>
      </c>
      <c r="D61" s="15">
        <v>33867.360480000003</v>
      </c>
      <c r="E61" s="24">
        <f>IF(OR(22948.06606="",33867.36048=""),"-",33867.36048/22948.06606*100)</f>
        <v>147.58263459522217</v>
      </c>
      <c r="F61" s="107">
        <f>IF(22948.06606="","-",22948.06606/6735746.11893*100)</f>
        <v>0.34069078101841216</v>
      </c>
      <c r="G61" s="107">
        <f>IF(33867.36048="","-",33867.36048/6410995.1048*100)</f>
        <v>0.52826994758805923</v>
      </c>
      <c r="H61" s="107">
        <f>IF(OR(5074244.25964="",21247.90852="",22948.06606=""),"-",(22948.06606-21247.90852)/5074244.25964*100)</f>
        <v>3.3505630651698676E-2</v>
      </c>
      <c r="I61" s="107">
        <f>IF(OR(6735746.11893="",33867.36048="",22948.06606=""),"-",(33867.36048-22948.06606)/6735746.11893*100)</f>
        <v>0.16210964943159967</v>
      </c>
    </row>
    <row r="62" spans="1:9" s="2" customFormat="1" x14ac:dyDescent="0.25">
      <c r="A62" s="34" t="s">
        <v>234</v>
      </c>
      <c r="B62" s="35" t="s">
        <v>143</v>
      </c>
      <c r="C62" s="104">
        <v>239787.90526999999</v>
      </c>
      <c r="D62" s="15">
        <v>166631.92692</v>
      </c>
      <c r="E62" s="24">
        <f>IF(OR(239787.90527="",166631.92692=""),"-",166631.92692/239787.90527*100)</f>
        <v>69.491381032072184</v>
      </c>
      <c r="F62" s="107">
        <f>IF(239787.90527="","-",239787.90527/6735746.11893*100)</f>
        <v>3.5599308678827</v>
      </c>
      <c r="G62" s="107">
        <f>IF(166631.92692="","-",166631.92692/6410995.1048*100)</f>
        <v>2.5991585424116201</v>
      </c>
      <c r="H62" s="107">
        <f>IF(OR(5074244.25964="",178358.94918="",239787.90527=""),"-",(239787.90527-178358.94918)/5074244.25964*100)</f>
        <v>1.2106030562738059</v>
      </c>
      <c r="I62" s="107">
        <f>IF(OR(6735746.11893="",166631.92692="",239787.90527=""),"-",(166631.92692-239787.90527)/6735746.11893*100)</f>
        <v>-1.0860857440039784</v>
      </c>
    </row>
    <row r="63" spans="1:9" s="2" customFormat="1" x14ac:dyDescent="0.25">
      <c r="A63" s="34" t="s">
        <v>235</v>
      </c>
      <c r="B63" s="35" t="s">
        <v>144</v>
      </c>
      <c r="C63" s="104">
        <v>9941.0863800000006</v>
      </c>
      <c r="D63" s="15">
        <v>11543.029430000001</v>
      </c>
      <c r="E63" s="24">
        <f>IF(OR(9941.08638="",11543.02943=""),"-",11543.02943/9941.08638*100)</f>
        <v>116.11436606388285</v>
      </c>
      <c r="F63" s="107">
        <f>IF(9941.08638="","-",9941.08638/6735746.11893*100)</f>
        <v>0.14758701121560652</v>
      </c>
      <c r="G63" s="107">
        <f>IF(11543.02943="","-",11543.02943/6410995.1048*100)</f>
        <v>0.18005051074454223</v>
      </c>
      <c r="H63" s="107">
        <f>IF(OR(5074244.25964="",13526.1368="",9941.08638=""),"-",(9941.08638-13526.1368)/5074244.25964*100)</f>
        <v>-7.065190866973256E-2</v>
      </c>
      <c r="I63" s="107">
        <f>IF(OR(6735746.11893="",11543.02943="",9941.08638=""),"-",(11543.02943-9941.08638)/6735746.11893*100)</f>
        <v>2.3782711250026671E-2</v>
      </c>
    </row>
    <row r="64" spans="1:9" s="2" customFormat="1" ht="27.75" customHeight="1" x14ac:dyDescent="0.25">
      <c r="A64" s="34" t="s">
        <v>236</v>
      </c>
      <c r="B64" s="35" t="s">
        <v>145</v>
      </c>
      <c r="C64" s="104">
        <v>185637.4553</v>
      </c>
      <c r="D64" s="15">
        <v>182772.65199000001</v>
      </c>
      <c r="E64" s="24">
        <f>IF(OR(185637.4553="",182772.65199=""),"-",182772.65199/185637.4553*100)</f>
        <v>98.456775166751612</v>
      </c>
      <c r="F64" s="107">
        <f>IF(185637.4553="","-",185637.4553/6735746.11893*100)</f>
        <v>2.7560043389742437</v>
      </c>
      <c r="G64" s="107">
        <f>IF(182772.65199="","-",182772.65199/6410995.1048*100)</f>
        <v>2.8509248408746348</v>
      </c>
      <c r="H64" s="107">
        <f>IF(OR(5074244.25964="",182874.86338="",185637.4553=""),"-",(185637.4553-182874.86338)/5074244.25964*100)</f>
        <v>5.4443416174766536E-2</v>
      </c>
      <c r="I64" s="107">
        <f>IF(OR(6735746.11893="",182772.65199="",185637.4553=""),"-",(182772.65199-185637.4553)/6735746.11893*100)</f>
        <v>-4.2531343364453793E-2</v>
      </c>
    </row>
    <row r="65" spans="1:9" s="2" customFormat="1" ht="24" customHeight="1" x14ac:dyDescent="0.25">
      <c r="A65" s="34" t="s">
        <v>237</v>
      </c>
      <c r="B65" s="35" t="s">
        <v>146</v>
      </c>
      <c r="C65" s="104">
        <v>66032.998630000002</v>
      </c>
      <c r="D65" s="15">
        <v>64078.580470000001</v>
      </c>
      <c r="E65" s="24">
        <f>IF(OR(66032.99863="",64078.58047=""),"-",64078.58047/66032.99863*100)</f>
        <v>97.04024018210788</v>
      </c>
      <c r="F65" s="107">
        <f>IF(66032.99863="","-",66032.99863/6735746.11893*100)</f>
        <v>0.9803368099700529</v>
      </c>
      <c r="G65" s="107">
        <f>IF(64078.58047="","-",64078.58047/6410995.1048*100)</f>
        <v>0.99951067537118365</v>
      </c>
      <c r="H65" s="107">
        <f>IF(OR(5074244.25964="",55241.5034="",66032.99863=""),"-",(66032.99863-55241.5034)/5074244.25964*100)</f>
        <v>0.2126719700081135</v>
      </c>
      <c r="I65" s="107">
        <f>IF(OR(6735746.11893="",64078.58047="",66032.99863=""),"-",(64078.58047-66032.99863)/6735746.11893*100)</f>
        <v>-2.9015614981499158E-2</v>
      </c>
    </row>
    <row r="66" spans="1:9" s="2" customFormat="1" ht="27.75" customHeight="1" x14ac:dyDescent="0.25">
      <c r="A66" s="34" t="s">
        <v>238</v>
      </c>
      <c r="B66" s="35" t="s">
        <v>147</v>
      </c>
      <c r="C66" s="104">
        <v>137703.71661999999</v>
      </c>
      <c r="D66" s="15">
        <v>162079.90839999999</v>
      </c>
      <c r="E66" s="24">
        <f>IF(OR(137703.71662="",162079.9084=""),"-",162079.9084/137703.71662*100)</f>
        <v>117.70191275756723</v>
      </c>
      <c r="F66" s="107">
        <f>IF(137703.71662="","-",137703.71662/6735746.11893*100)</f>
        <v>2.0443721332221885</v>
      </c>
      <c r="G66" s="107">
        <f>IF(162079.9084="","-",162079.9084/6410995.1048*100)</f>
        <v>2.5281552356614427</v>
      </c>
      <c r="H66" s="107">
        <f>IF(OR(5074244.25964="",133858.57225="",137703.71662=""),"-",(137703.71662-133858.57225)/5074244.25964*100)</f>
        <v>7.5777675910950221E-2</v>
      </c>
      <c r="I66" s="107">
        <f>IF(OR(6735746.11893="",162079.9084="",137703.71662=""),"-",(162079.9084-137703.71662)/6735746.11893*100)</f>
        <v>0.3618929714630077</v>
      </c>
    </row>
    <row r="67" spans="1:9" s="2" customFormat="1" ht="27" customHeight="1" x14ac:dyDescent="0.25">
      <c r="A67" s="34" t="s">
        <v>239</v>
      </c>
      <c r="B67" s="35" t="s">
        <v>148</v>
      </c>
      <c r="C67" s="104">
        <v>421089.16879999998</v>
      </c>
      <c r="D67" s="15">
        <v>487830.978</v>
      </c>
      <c r="E67" s="24">
        <f>IF(OR(421089.1688="",487830.978=""),"-",487830.978/421089.1688*100)</f>
        <v>115.84980430396669</v>
      </c>
      <c r="F67" s="107">
        <f>IF(421089.1688="","-",421089.1688/6735746.11893*100)</f>
        <v>6.2515593872604525</v>
      </c>
      <c r="G67" s="107">
        <f>IF(487830.978="","-",487830.978/6410995.1048*100)</f>
        <v>7.6092863904193955</v>
      </c>
      <c r="H67" s="107">
        <f>IF(OR(5074244.25964="",388580.0921="",421089.1688=""),"-",(421089.1688-388580.0921)/5074244.25964*100)</f>
        <v>0.64066834461584199</v>
      </c>
      <c r="I67" s="107">
        <f>IF(OR(6735746.11893="",487830.978="",421089.1688=""),"-",(487830.978-421089.1688)/6735746.11893*100)</f>
        <v>0.99085992882704166</v>
      </c>
    </row>
    <row r="68" spans="1:9" s="2" customFormat="1" ht="16.5" customHeight="1" x14ac:dyDescent="0.25">
      <c r="A68" s="34" t="s">
        <v>240</v>
      </c>
      <c r="B68" s="35" t="s">
        <v>149</v>
      </c>
      <c r="C68" s="104">
        <v>388164.12075</v>
      </c>
      <c r="D68" s="15">
        <v>432653.87144999998</v>
      </c>
      <c r="E68" s="24">
        <f>IF(OR(388164.12075="",432653.87145=""),"-",432653.87145/388164.12075*100)</f>
        <v>111.46158243941716</v>
      </c>
      <c r="F68" s="107">
        <f>IF(388164.12075="","-",388164.12075/6735746.11893*100)</f>
        <v>5.7627486828684304</v>
      </c>
      <c r="G68" s="107">
        <f>IF(432653.87145="","-",432653.87145/6410995.1048*100)</f>
        <v>6.7486227079797043</v>
      </c>
      <c r="H68" s="107">
        <f>IF(OR(5074244.25964="",321494.69321="",388164.12075=""),"-",(388164.12075-321494.69321)/5074244.25964*100)</f>
        <v>1.3138789567203446</v>
      </c>
      <c r="I68" s="107">
        <f>IF(OR(6735746.11893="",432653.87145="",388164.12075=""),"-",(432653.87145-388164.12075)/6735746.11893*100)</f>
        <v>0.66050219106339103</v>
      </c>
    </row>
    <row r="69" spans="1:9" s="2" customFormat="1" x14ac:dyDescent="0.25">
      <c r="A69" s="34" t="s">
        <v>241</v>
      </c>
      <c r="B69" s="35" t="s">
        <v>27</v>
      </c>
      <c r="C69" s="104">
        <v>6985.2857800000002</v>
      </c>
      <c r="D69" s="15">
        <v>7082.3748500000002</v>
      </c>
      <c r="E69" s="24">
        <f>IF(OR(6985.28578="",7082.37485=""),"-",7082.37485/6985.28578*100)</f>
        <v>101.38990834531039</v>
      </c>
      <c r="F69" s="107">
        <f>IF(6985.28578="","-",6985.28578/6735746.11893*100)</f>
        <v>0.10370470704601972</v>
      </c>
      <c r="G69" s="107">
        <f>IF(7082.37485="","-",7082.37485/6410995.1048*100)</f>
        <v>0.11047231723351854</v>
      </c>
      <c r="H69" s="107">
        <f>IF(OR(5074244.25964="",3039.89712="",6985.28578=""),"-",(6985.28578-3039.89712)/5074244.25964*100)</f>
        <v>7.7753227044689247E-2</v>
      </c>
      <c r="I69" s="107">
        <f>IF(OR(6735746.11893="",7082.37485="",6985.28578=""),"-",(7082.37485-6985.28578)/6735746.11893*100)</f>
        <v>1.4414003777123206E-3</v>
      </c>
    </row>
    <row r="70" spans="1:9" s="2" customFormat="1" x14ac:dyDescent="0.25">
      <c r="A70" s="32" t="s">
        <v>242</v>
      </c>
      <c r="B70" s="33" t="s">
        <v>28</v>
      </c>
      <c r="C70" s="103">
        <v>592471.74909000006</v>
      </c>
      <c r="D70" s="14">
        <v>625273.75112999999</v>
      </c>
      <c r="E70" s="23">
        <f>IF(592471.74909="","-",625273.75113/592471.74909*100)</f>
        <v>105.53646685945479</v>
      </c>
      <c r="F70" s="106">
        <f>IF(592471.74909="","-",592471.74909/6735746.11893*100)</f>
        <v>8.795933496141279</v>
      </c>
      <c r="G70" s="106">
        <f>IF(625273.75113="","-",625273.75113/6410995.1048*100)</f>
        <v>9.7531466006244329</v>
      </c>
      <c r="H70" s="106">
        <f>IF(5074244.25964="","-",(592471.74909-596009.03162)/5074244.25964*100)</f>
        <v>-6.9710529273002045E-2</v>
      </c>
      <c r="I70" s="106">
        <f>IF(6735746.11893="","-",(625273.75113-592471.74909)/6735746.11893*100)</f>
        <v>0.48698394299354414</v>
      </c>
    </row>
    <row r="71" spans="1:9" ht="25.5" customHeight="1" x14ac:dyDescent="0.25">
      <c r="A71" s="34" t="s">
        <v>243</v>
      </c>
      <c r="B71" s="35" t="s">
        <v>175</v>
      </c>
      <c r="C71" s="104">
        <v>48438.281320000002</v>
      </c>
      <c r="D71" s="15">
        <v>34810.79578</v>
      </c>
      <c r="E71" s="24">
        <f>IF(OR(48438.28132="",34810.79578=""),"-",34810.79578/48438.28132*100)</f>
        <v>71.866290114688155</v>
      </c>
      <c r="F71" s="107">
        <f>IF(48438.28132="","-",48438.28132/6735746.11893*100)</f>
        <v>0.71912272916388686</v>
      </c>
      <c r="G71" s="107">
        <f>IF(34810.79578="","-",34810.79578/6410995.1048*100)</f>
        <v>0.54298584246206461</v>
      </c>
      <c r="H71" s="107">
        <f>IF(OR(5074244.25964="",53181.72309="",48438.28132=""),"-",(48438.28132-53181.72309)/5074244.25964*100)</f>
        <v>-9.348075353267539E-2</v>
      </c>
      <c r="I71" s="107">
        <f>IF(OR(6735746.11893="",34810.79578="",48438.28132=""),"-",(34810.79578-48438.28132)/6735746.11893*100)</f>
        <v>-0.20231590234230473</v>
      </c>
    </row>
    <row r="72" spans="1:9" x14ac:dyDescent="0.25">
      <c r="A72" s="34" t="s">
        <v>244</v>
      </c>
      <c r="B72" s="35" t="s">
        <v>150</v>
      </c>
      <c r="C72" s="104">
        <v>53862.872309999999</v>
      </c>
      <c r="D72" s="15">
        <v>53354.328999999998</v>
      </c>
      <c r="E72" s="24">
        <f>IF(OR(53862.87231="",53354.329=""),"-",53354.329/53862.87231*100)</f>
        <v>99.055855567684631</v>
      </c>
      <c r="F72" s="107">
        <f>IF(53862.87231="","-",53862.87231/6735746.11893*100)</f>
        <v>0.79965710344433727</v>
      </c>
      <c r="G72" s="107">
        <f>IF(53354.329="","-",53354.329/6410995.1048*100)</f>
        <v>0.83223162906571058</v>
      </c>
      <c r="H72" s="107">
        <f>IF(OR(5074244.25964="",53318.27069="",53862.87231=""),"-",(53862.87231-53318.27069)/5074244.25964*100)</f>
        <v>1.0732664651792677E-2</v>
      </c>
      <c r="I72" s="107">
        <f>IF(OR(6735746.11893="",53354.329="",53862.87231=""),"-",(53354.329-53862.87231)/6735746.11893*100)</f>
        <v>-7.5499180197840512E-3</v>
      </c>
    </row>
    <row r="73" spans="1:9" x14ac:dyDescent="0.25">
      <c r="A73" s="34" t="s">
        <v>245</v>
      </c>
      <c r="B73" s="35" t="s">
        <v>151</v>
      </c>
      <c r="C73" s="104">
        <v>13288.8226</v>
      </c>
      <c r="D73" s="15">
        <v>13337.157450000001</v>
      </c>
      <c r="E73" s="24">
        <f>IF(OR(13288.8226="",13337.15745=""),"-",13337.15745/13288.8226*100)</f>
        <v>100.36372560199578</v>
      </c>
      <c r="F73" s="107">
        <f>IF(13288.8226="","-",13288.8226/6735746.11893*100)</f>
        <v>0.19728805636918781</v>
      </c>
      <c r="G73" s="107">
        <f>IF(13337.15745="","-",13337.15745/6410995.1048*100)</f>
        <v>0.20803568294747704</v>
      </c>
      <c r="H73" s="107">
        <f>IF(OR(5074244.25964="",9005.12536="",13288.8226=""),"-",(13288.8226-9005.12536)/5074244.25964*100)</f>
        <v>8.4420398798537799E-2</v>
      </c>
      <c r="I73" s="107">
        <f>IF(OR(6735746.11893="",13337.15745="",13288.8226=""),"-",(13337.15745-13288.8226)/6735746.11893*100)</f>
        <v>7.1758717069459973E-4</v>
      </c>
    </row>
    <row r="74" spans="1:9" x14ac:dyDescent="0.25">
      <c r="A74" s="34" t="s">
        <v>246</v>
      </c>
      <c r="B74" s="35" t="s">
        <v>152</v>
      </c>
      <c r="C74" s="104">
        <v>147989.05587000001</v>
      </c>
      <c r="D74" s="15">
        <v>154222.1649</v>
      </c>
      <c r="E74" s="24">
        <f>IF(OR(147989.05587="",154222.1649=""),"-",154222.1649/147989.05587*100)</f>
        <v>104.21187160993541</v>
      </c>
      <c r="F74" s="107">
        <f>IF(147989.05587="","-",147989.05587/6735746.11893*100)</f>
        <v>2.197069979435458</v>
      </c>
      <c r="G74" s="107">
        <f>IF(154222.1649="","-",154222.1649/6410995.1048*100)</f>
        <v>2.4055885611974928</v>
      </c>
      <c r="H74" s="107">
        <f>IF(OR(5074244.25964="",145412.97047="",147989.05587=""),"-",(147989.05587-145412.97047)/5074244.25964*100)</f>
        <v>5.076786351200948E-2</v>
      </c>
      <c r="I74" s="107">
        <f>IF(OR(6735746.11893="",154222.1649="",147989.05587=""),"-",(154222.1649-147989.05587)/6735746.11893*100)</f>
        <v>9.2537766714255953E-2</v>
      </c>
    </row>
    <row r="75" spans="1:9" x14ac:dyDescent="0.25">
      <c r="A75" s="34" t="s">
        <v>247</v>
      </c>
      <c r="B75" s="35" t="s">
        <v>153</v>
      </c>
      <c r="C75" s="104">
        <v>43949.956299999998</v>
      </c>
      <c r="D75" s="15">
        <v>48024.576150000001</v>
      </c>
      <c r="E75" s="24">
        <f>IF(OR(43949.9563="",48024.57615=""),"-",48024.57615/43949.9563*100)</f>
        <v>109.27104414436018</v>
      </c>
      <c r="F75" s="107">
        <f>IF(43949.9563="","-",43949.9563/6735746.11893*100)</f>
        <v>0.65248831419705622</v>
      </c>
      <c r="G75" s="107">
        <f>IF(48024.57615="","-",48024.57615/6410995.1048*100)</f>
        <v>0.74909706472936388</v>
      </c>
      <c r="H75" s="107">
        <f>IF(OR(5074244.25964="",38467.13182="",43949.9563=""),"-",(43949.9563-38467.13182)/5074244.25964*100)</f>
        <v>0.10805204084497469</v>
      </c>
      <c r="I75" s="107">
        <f>IF(OR(6735746.11893="",48024.57615="",43949.9563=""),"-",(48024.57615-43949.9563)/6735746.11893*100)</f>
        <v>6.0492479646000553E-2</v>
      </c>
    </row>
    <row r="76" spans="1:9" x14ac:dyDescent="0.25">
      <c r="A76" s="34" t="s">
        <v>248</v>
      </c>
      <c r="B76" s="35" t="s">
        <v>277</v>
      </c>
      <c r="C76" s="104">
        <v>53168.339440000003</v>
      </c>
      <c r="D76" s="15">
        <v>58387.436220000003</v>
      </c>
      <c r="E76" s="24">
        <f>IF(OR(53168.33944="",58387.43622=""),"-",58387.43622/53168.33944*100)</f>
        <v>109.81617412725426</v>
      </c>
      <c r="F76" s="107">
        <f>IF(53168.33944="","-",53168.33944/6735746.11893*100)</f>
        <v>0.78934595368101557</v>
      </c>
      <c r="G76" s="107">
        <f>IF(58387.43622="","-",58387.43622/6410995.1048*100)</f>
        <v>0.91073905478861672</v>
      </c>
      <c r="H76" s="107">
        <f>IF(OR(5074244.25964="",70600.68843="",53168.33944=""),"-",(53168.33944-70600.68843)/5074244.25964*100)</f>
        <v>-0.34354572026922403</v>
      </c>
      <c r="I76" s="107">
        <f>IF(OR(6735746.11893="",58387.43622="",53168.33944=""),"-",(58387.43622-53168.33944)/6735746.11893*100)</f>
        <v>7.7483573279764212E-2</v>
      </c>
    </row>
    <row r="77" spans="1:9" ht="26.25" customHeight="1" x14ac:dyDescent="0.25">
      <c r="A77" s="34" t="s">
        <v>249</v>
      </c>
      <c r="B77" s="35" t="s">
        <v>154</v>
      </c>
      <c r="C77" s="104">
        <v>10744.130230000001</v>
      </c>
      <c r="D77" s="15">
        <v>13777.837310000001</v>
      </c>
      <c r="E77" s="24">
        <f>IF(OR(10744.13023="",13777.83731=""),"-",13777.83731/10744.13023*100)</f>
        <v>128.23594851381469</v>
      </c>
      <c r="F77" s="107">
        <f>IF(10744.13023="","-",10744.13023/6735746.11893*100)</f>
        <v>0.15950913292003274</v>
      </c>
      <c r="G77" s="107">
        <f>IF(13777.83731="","-",13777.83731/6410995.1048*100)</f>
        <v>0.21490949665028358</v>
      </c>
      <c r="H77" s="107">
        <f>IF(OR(5074244.25964="",12708.90468="",10744.13023=""),"-",(10744.13023-12708.90468)/5074244.25964*100)</f>
        <v>-3.8720533531024635E-2</v>
      </c>
      <c r="I77" s="107">
        <f>IF(OR(6735746.11893="",13777.83731="",10744.13023=""),"-",(13777.83731-10744.13023)/6735746.11893*100)</f>
        <v>4.5038916646132687E-2</v>
      </c>
    </row>
    <row r="78" spans="1:9" x14ac:dyDescent="0.25">
      <c r="A78" s="34" t="s">
        <v>250</v>
      </c>
      <c r="B78" s="35" t="s">
        <v>29</v>
      </c>
      <c r="C78" s="104">
        <v>221030.29102</v>
      </c>
      <c r="D78" s="15">
        <v>249359.45431999999</v>
      </c>
      <c r="E78" s="24">
        <f>IF(OR(221030.29102="",249359.45432=""),"-",249359.45432/221030.29102*100)</f>
        <v>112.81686920343267</v>
      </c>
      <c r="F78" s="107">
        <f>IF(221030.29102="","-",221030.29102/6735746.11893*100)</f>
        <v>3.2814522269303037</v>
      </c>
      <c r="G78" s="107">
        <f>IF(249359.45432="","-",249359.45432/6410995.1048*100)</f>
        <v>3.8895592687834242</v>
      </c>
      <c r="H78" s="107">
        <f>IF(OR(5074244.25964="",213314.21708="",221030.29102=""),"-",(221030.29102-213314.21708)/5074244.25964*100)</f>
        <v>0.15206351025260717</v>
      </c>
      <c r="I78" s="107">
        <f>IF(OR(6735746.11893="",249359.45432="",221030.29102=""),"-",(249359.45432-221030.29102)/6735746.11893*100)</f>
        <v>0.42057943989878566</v>
      </c>
    </row>
    <row r="79" spans="1:9" x14ac:dyDescent="0.25">
      <c r="A79" s="37" t="s">
        <v>253</v>
      </c>
      <c r="B79" s="38" t="s">
        <v>155</v>
      </c>
      <c r="C79" s="105">
        <v>16571.817630000001</v>
      </c>
      <c r="D79" s="43">
        <v>3606.0287699999999</v>
      </c>
      <c r="E79" s="43">
        <f>IF(16571.81763="","-",3606.02877/16571.81763*100)</f>
        <v>21.760007565325829</v>
      </c>
      <c r="F79" s="108">
        <f>IF(16571.81763="","-",16571.81763/6735746.11893*100)</f>
        <v>0.24602794311719844</v>
      </c>
      <c r="G79" s="108">
        <f>IF(3606.02877="","-",3606.02877/6410995.1048*100)</f>
        <v>5.6247567047744536E-2</v>
      </c>
      <c r="H79" s="108">
        <f>IF(5074244.25964="","-",(16571.81763-235.77689)/5074244.25964*100)</f>
        <v>0.32194036991745029</v>
      </c>
      <c r="I79" s="108">
        <f>IF(6735746.11893="","-",(3606.02877-16571.81763)/6735746.11893*100)</f>
        <v>-0.19249224408208052</v>
      </c>
    </row>
    <row r="80" spans="1:9" x14ac:dyDescent="0.25">
      <c r="A80" s="16" t="s">
        <v>256</v>
      </c>
      <c r="B80" s="17"/>
      <c r="C80" s="17"/>
    </row>
    <row r="81" spans="1:3" x14ac:dyDescent="0.25">
      <c r="A81" s="17" t="s">
        <v>303</v>
      </c>
      <c r="B81" s="17"/>
      <c r="C81" s="17"/>
    </row>
  </sheetData>
  <mergeCells count="9">
    <mergeCell ref="B1:I1"/>
    <mergeCell ref="B2:I2"/>
    <mergeCell ref="A4:A5"/>
    <mergeCell ref="B4:B5"/>
    <mergeCell ref="F4:G4"/>
    <mergeCell ref="H4:I4"/>
    <mergeCell ref="A3:I3"/>
    <mergeCell ref="C4:D4"/>
    <mergeCell ref="E4:E5"/>
  </mergeCells>
  <pageMargins left="0.59055118110236227" right="0.39370078740157483" top="0.39370078740157483" bottom="0.39370078740157483" header="0.11811023622047245" footer="0.11811023622047245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E83"/>
  <sheetViews>
    <sheetView zoomScale="99" zoomScaleNormal="99" workbookViewId="0">
      <selection activeCell="B1" sqref="B1:E1"/>
    </sheetView>
  </sheetViews>
  <sheetFormatPr defaultRowHeight="15.75" x14ac:dyDescent="0.25"/>
  <cols>
    <col min="1" max="1" width="5.625" style="26" customWidth="1"/>
    <col min="2" max="2" width="42.875" style="26" customWidth="1"/>
    <col min="3" max="4" width="13.5" style="26" customWidth="1"/>
    <col min="5" max="5" width="11.375" style="26" customWidth="1"/>
  </cols>
  <sheetData>
    <row r="1" spans="1:5" s="29" customFormat="1" ht="12.75" x14ac:dyDescent="0.2">
      <c r="A1" s="28"/>
      <c r="B1" s="123" t="s">
        <v>319</v>
      </c>
      <c r="C1" s="123"/>
      <c r="D1" s="123"/>
      <c r="E1" s="123"/>
    </row>
    <row r="2" spans="1:5" s="29" customFormat="1" ht="12.75" x14ac:dyDescent="0.2">
      <c r="A2" s="28"/>
      <c r="B2" s="123" t="s">
        <v>255</v>
      </c>
      <c r="C2" s="123"/>
      <c r="D2" s="123"/>
      <c r="E2" s="123"/>
    </row>
    <row r="3" spans="1:5" x14ac:dyDescent="0.25">
      <c r="A3" s="134"/>
      <c r="B3" s="134"/>
      <c r="C3" s="134"/>
      <c r="D3" s="134"/>
      <c r="E3" s="134"/>
    </row>
    <row r="4" spans="1:5" ht="45" customHeight="1" x14ac:dyDescent="0.25">
      <c r="A4" s="127" t="s">
        <v>254</v>
      </c>
      <c r="B4" s="135"/>
      <c r="C4" s="115" t="s">
        <v>398</v>
      </c>
      <c r="D4" s="122"/>
      <c r="E4" s="125" t="s">
        <v>338</v>
      </c>
    </row>
    <row r="5" spans="1:5" ht="45" customHeight="1" x14ac:dyDescent="0.25">
      <c r="A5" s="128"/>
      <c r="B5" s="136"/>
      <c r="C5" s="13" t="s">
        <v>334</v>
      </c>
      <c r="D5" s="13" t="s">
        <v>335</v>
      </c>
      <c r="E5" s="126"/>
    </row>
    <row r="6" spans="1:5" s="29" customFormat="1" ht="15" customHeight="1" x14ac:dyDescent="0.2">
      <c r="A6" s="45"/>
      <c r="B6" s="99" t="s">
        <v>403</v>
      </c>
      <c r="C6" s="54">
        <v>-3457922.8714700001</v>
      </c>
      <c r="D6" s="54">
        <v>-3396115.7544300002</v>
      </c>
      <c r="E6" s="109">
        <f>IF(-3457922.87147="","-",-3396115.75443/-3457922.87147*100)</f>
        <v>98.212594111050109</v>
      </c>
    </row>
    <row r="7" spans="1:5" ht="12.75" customHeight="1" x14ac:dyDescent="0.25">
      <c r="A7" s="41"/>
      <c r="B7" s="42" t="s">
        <v>105</v>
      </c>
      <c r="C7" s="51"/>
      <c r="D7" s="51"/>
      <c r="E7" s="47"/>
    </row>
    <row r="8" spans="1:5" x14ac:dyDescent="0.25">
      <c r="A8" s="32" t="s">
        <v>182</v>
      </c>
      <c r="B8" s="33" t="s">
        <v>156</v>
      </c>
      <c r="C8" s="23">
        <v>73914.352299999999</v>
      </c>
      <c r="D8" s="23">
        <v>-62975.422919999997</v>
      </c>
      <c r="E8" s="47" t="s">
        <v>382</v>
      </c>
    </row>
    <row r="9" spans="1:5" x14ac:dyDescent="0.25">
      <c r="A9" s="34" t="s">
        <v>183</v>
      </c>
      <c r="B9" s="35" t="s">
        <v>17</v>
      </c>
      <c r="C9" s="24">
        <v>-2949.8212100000001</v>
      </c>
      <c r="D9" s="24">
        <v>-4269.6837599999999</v>
      </c>
      <c r="E9" s="48">
        <f>IF(OR(-2949.82121="",-4269.68376="",-2949.82121=0,-4269.68376=0),"-",-4269.68376/-2949.82121*100)</f>
        <v>144.74381516837761</v>
      </c>
    </row>
    <row r="10" spans="1:5" x14ac:dyDescent="0.25">
      <c r="A10" s="34" t="s">
        <v>184</v>
      </c>
      <c r="B10" s="35" t="s">
        <v>157</v>
      </c>
      <c r="C10" s="24">
        <v>-59205.058720000001</v>
      </c>
      <c r="D10" s="24">
        <v>-56232.147810000002</v>
      </c>
      <c r="E10" s="48">
        <f>IF(OR(-59205.05872="",-56232.14781="",-59205.05872=0,-56232.14781=0),"-",-56232.14781/-59205.05872*100)</f>
        <v>94.978620114102313</v>
      </c>
    </row>
    <row r="11" spans="1:5" x14ac:dyDescent="0.25">
      <c r="A11" s="34" t="s">
        <v>185</v>
      </c>
      <c r="B11" s="35" t="s">
        <v>158</v>
      </c>
      <c r="C11" s="24">
        <v>-74746.772289999994</v>
      </c>
      <c r="D11" s="24">
        <v>-80325.85411</v>
      </c>
      <c r="E11" s="48">
        <f>IF(OR(-74746.77229="",-80325.85411="",-74746.77229=0,-80325.85411=0),"-",-80325.85411/-74746.77229*100)</f>
        <v>107.46397690371762</v>
      </c>
    </row>
    <row r="12" spans="1:5" x14ac:dyDescent="0.25">
      <c r="A12" s="34" t="s">
        <v>186</v>
      </c>
      <c r="B12" s="35" t="s">
        <v>159</v>
      </c>
      <c r="C12" s="24">
        <v>-58701.61449</v>
      </c>
      <c r="D12" s="24">
        <v>-63926.318639999998</v>
      </c>
      <c r="E12" s="48">
        <f>IF(OR(-58701.61449="",-63926.31864="",-58701.61449=0,-63926.31864=0),"-",-63926.31864/-58701.61449*100)</f>
        <v>108.90044370225975</v>
      </c>
    </row>
    <row r="13" spans="1:5" x14ac:dyDescent="0.25">
      <c r="A13" s="34" t="s">
        <v>187</v>
      </c>
      <c r="B13" s="35" t="s">
        <v>160</v>
      </c>
      <c r="C13" s="24">
        <v>274673.93291999999</v>
      </c>
      <c r="D13" s="24">
        <v>193776.27827000001</v>
      </c>
      <c r="E13" s="48">
        <f>IF(OR(274673.93292="",193776.27827="",274673.93292=0,193776.27827=0),"-",193776.27827/274673.93292*100)</f>
        <v>70.54774954798431</v>
      </c>
    </row>
    <row r="14" spans="1:5" x14ac:dyDescent="0.25">
      <c r="A14" s="34" t="s">
        <v>188</v>
      </c>
      <c r="B14" s="35" t="s">
        <v>161</v>
      </c>
      <c r="C14" s="24">
        <v>120751.47731</v>
      </c>
      <c r="D14" s="24">
        <v>78554.697209999998</v>
      </c>
      <c r="E14" s="48">
        <f>IF(OR(120751.47731="",78554.69721="",120751.47731=0,78554.69721=0),"-",78554.69721/120751.47731*100)</f>
        <v>65.054853952908545</v>
      </c>
    </row>
    <row r="15" spans="1:5" x14ac:dyDescent="0.25">
      <c r="A15" s="34" t="s">
        <v>189</v>
      </c>
      <c r="B15" s="35" t="s">
        <v>119</v>
      </c>
      <c r="C15" s="24">
        <v>2395.03512</v>
      </c>
      <c r="D15" s="24">
        <v>-4505.6072700000004</v>
      </c>
      <c r="E15" s="48" t="s">
        <v>382</v>
      </c>
    </row>
    <row r="16" spans="1:5" ht="17.25" customHeight="1" x14ac:dyDescent="0.25">
      <c r="A16" s="34" t="s">
        <v>190</v>
      </c>
      <c r="B16" s="35" t="s">
        <v>162</v>
      </c>
      <c r="C16" s="24">
        <v>-41808.435129999998</v>
      </c>
      <c r="D16" s="24">
        <v>-48792.045899999997</v>
      </c>
      <c r="E16" s="48">
        <f>IF(OR(-41808.43513="",-48792.0459="",-41808.43513=0,-48792.0459=0),"-",-48792.0459/-41808.43513*100)</f>
        <v>116.70383200970096</v>
      </c>
    </row>
    <row r="17" spans="1:5" ht="15.75" customHeight="1" x14ac:dyDescent="0.25">
      <c r="A17" s="34" t="s">
        <v>191</v>
      </c>
      <c r="B17" s="35" t="s">
        <v>120</v>
      </c>
      <c r="C17" s="24">
        <v>-1131.4902400000001</v>
      </c>
      <c r="D17" s="24">
        <v>2698.3288600000001</v>
      </c>
      <c r="E17" s="48" t="s">
        <v>382</v>
      </c>
    </row>
    <row r="18" spans="1:5" x14ac:dyDescent="0.25">
      <c r="A18" s="34" t="s">
        <v>192</v>
      </c>
      <c r="B18" s="35" t="s">
        <v>163</v>
      </c>
      <c r="C18" s="24">
        <v>-85362.900970000002</v>
      </c>
      <c r="D18" s="24">
        <v>-79953.069770000002</v>
      </c>
      <c r="E18" s="48">
        <f>IF(OR(-85362.90097="",-79953.06977="",-85362.90097=0,-79953.06977=0),"-",-79953.06977/-85362.90097*100)</f>
        <v>93.662549961954511</v>
      </c>
    </row>
    <row r="19" spans="1:5" x14ac:dyDescent="0.25">
      <c r="A19" s="32" t="s">
        <v>193</v>
      </c>
      <c r="B19" s="33" t="s">
        <v>164</v>
      </c>
      <c r="C19" s="23">
        <v>37881.781560000003</v>
      </c>
      <c r="D19" s="23">
        <v>51168.654119999999</v>
      </c>
      <c r="E19" s="47">
        <f>IF(37881.78156="","-",51168.65412/37881.78156*100)</f>
        <v>135.07457150333664</v>
      </c>
    </row>
    <row r="20" spans="1:5" x14ac:dyDescent="0.25">
      <c r="A20" s="34" t="s">
        <v>194</v>
      </c>
      <c r="B20" s="35" t="s">
        <v>165</v>
      </c>
      <c r="C20" s="24">
        <v>63460.97752</v>
      </c>
      <c r="D20" s="24">
        <v>75919.776689999999</v>
      </c>
      <c r="E20" s="48">
        <f>IF(OR(63460.97752="",75919.77669="",63460.97752=0,75919.77669=0),"-",75919.77669/63460.97752*100)</f>
        <v>119.63222070771531</v>
      </c>
    </row>
    <row r="21" spans="1:5" x14ac:dyDescent="0.25">
      <c r="A21" s="34" t="s">
        <v>195</v>
      </c>
      <c r="B21" s="35" t="s">
        <v>166</v>
      </c>
      <c r="C21" s="24">
        <v>-25579.195960000001</v>
      </c>
      <c r="D21" s="24">
        <v>-24751.12257</v>
      </c>
      <c r="E21" s="48">
        <f>IF(OR(-25579.19596="",-24751.12257="",-25579.19596=0,-24751.12257=0),"-",-24751.12257/-25579.19596*100)</f>
        <v>96.76270750927857</v>
      </c>
    </row>
    <row r="22" spans="1:5" ht="16.5" customHeight="1" x14ac:dyDescent="0.25">
      <c r="A22" s="32" t="s">
        <v>196</v>
      </c>
      <c r="B22" s="33" t="s">
        <v>18</v>
      </c>
      <c r="C22" s="23">
        <v>172905.35475999999</v>
      </c>
      <c r="D22" s="23">
        <v>77302.748380000005</v>
      </c>
      <c r="E22" s="47">
        <f>IF(172905.35476="","-",77302.74838/172905.35476*100)</f>
        <v>44.708128610186492</v>
      </c>
    </row>
    <row r="23" spans="1:5" x14ac:dyDescent="0.25">
      <c r="A23" s="34" t="s">
        <v>197</v>
      </c>
      <c r="B23" s="35" t="s">
        <v>173</v>
      </c>
      <c r="C23" s="24">
        <v>990.21055999999999</v>
      </c>
      <c r="D23" s="24">
        <v>983.89565000000005</v>
      </c>
      <c r="E23" s="48">
        <f>IF(OR(990.21056="",983.89565="",990.21056=0,983.89565=0),"-",983.89565/990.21056*100)</f>
        <v>99.362265940690435</v>
      </c>
    </row>
    <row r="24" spans="1:5" x14ac:dyDescent="0.25">
      <c r="A24" s="34" t="s">
        <v>198</v>
      </c>
      <c r="B24" s="35" t="s">
        <v>167</v>
      </c>
      <c r="C24" s="24">
        <v>206811.65481000001</v>
      </c>
      <c r="D24" s="24">
        <v>126058.28526999999</v>
      </c>
      <c r="E24" s="48">
        <f>IF(OR(206811.65481="",126058.28527="",206811.65481=0,126058.28527=0),"-",126058.28527/206811.65481*100)</f>
        <v>60.95318244313215</v>
      </c>
    </row>
    <row r="25" spans="1:5" ht="17.25" customHeight="1" x14ac:dyDescent="0.25">
      <c r="A25" s="34" t="s">
        <v>251</v>
      </c>
      <c r="B25" s="35" t="s">
        <v>168</v>
      </c>
      <c r="C25" s="24">
        <v>-3370.7643400000002</v>
      </c>
      <c r="D25" s="24">
        <v>-2925.8569900000002</v>
      </c>
      <c r="E25" s="48">
        <f>IF(OR(-3370.76434="",-2925.85699="",-3370.76434=0,-2925.85699=0),"-",-2925.85699/-3370.76434*100)</f>
        <v>86.800995111986978</v>
      </c>
    </row>
    <row r="26" spans="1:5" x14ac:dyDescent="0.25">
      <c r="A26" s="34" t="s">
        <v>199</v>
      </c>
      <c r="B26" s="35" t="s">
        <v>169</v>
      </c>
      <c r="C26" s="24">
        <v>-42701.337359999998</v>
      </c>
      <c r="D26" s="24">
        <v>-30789.263800000001</v>
      </c>
      <c r="E26" s="48">
        <f>IF(OR(-42701.33736="",-30789.2638="",-42701.33736=0,-30789.2638=0),"-",-30789.2638/-42701.33736*100)</f>
        <v>72.103745932888501</v>
      </c>
    </row>
    <row r="27" spans="1:5" x14ac:dyDescent="0.25">
      <c r="A27" s="34" t="s">
        <v>200</v>
      </c>
      <c r="B27" s="35" t="s">
        <v>121</v>
      </c>
      <c r="C27" s="24">
        <v>3376.8234299999999</v>
      </c>
      <c r="D27" s="24">
        <v>2262.1168899999998</v>
      </c>
      <c r="E27" s="48">
        <f>IF(OR(3376.82343="",2262.11689="",3376.82343=0,2262.11689=0),"-",2262.11689/3376.82343*100)</f>
        <v>66.989492844166847</v>
      </c>
    </row>
    <row r="28" spans="1:5" ht="28.5" customHeight="1" x14ac:dyDescent="0.25">
      <c r="A28" s="34" t="s">
        <v>201</v>
      </c>
      <c r="B28" s="35" t="s">
        <v>122</v>
      </c>
      <c r="C28" s="24">
        <v>-6074.3157099999999</v>
      </c>
      <c r="D28" s="24">
        <v>-5503.2570900000001</v>
      </c>
      <c r="E28" s="48">
        <f>IF(OR(-6074.31571="",-5503.25709="",-6074.31571=0,-5503.25709=0),"-",-5503.25709/-6074.31571*100)</f>
        <v>90.598799152637397</v>
      </c>
    </row>
    <row r="29" spans="1:5" ht="29.25" customHeight="1" x14ac:dyDescent="0.25">
      <c r="A29" s="34" t="s">
        <v>202</v>
      </c>
      <c r="B29" s="35" t="s">
        <v>123</v>
      </c>
      <c r="C29" s="24">
        <v>839.69066999999995</v>
      </c>
      <c r="D29" s="24">
        <v>-373.78737999999998</v>
      </c>
      <c r="E29" s="48" t="s">
        <v>382</v>
      </c>
    </row>
    <row r="30" spans="1:5" x14ac:dyDescent="0.25">
      <c r="A30" s="34" t="s">
        <v>203</v>
      </c>
      <c r="B30" s="35" t="s">
        <v>124</v>
      </c>
      <c r="C30" s="24">
        <v>44833.883139999998</v>
      </c>
      <c r="D30" s="24">
        <v>24041.066350000001</v>
      </c>
      <c r="E30" s="48">
        <f>IF(OR(44833.88314="",24041.06635="",44833.88314=0,24041.06635=0),"-",24041.06635/44833.88314*100)</f>
        <v>53.622538727971538</v>
      </c>
    </row>
    <row r="31" spans="1:5" x14ac:dyDescent="0.25">
      <c r="A31" s="34" t="s">
        <v>204</v>
      </c>
      <c r="B31" s="35" t="s">
        <v>125</v>
      </c>
      <c r="C31" s="24">
        <v>-31800.490440000001</v>
      </c>
      <c r="D31" s="24">
        <v>-36450.450519999999</v>
      </c>
      <c r="E31" s="48">
        <f>IF(OR(-31800.49044="",-36450.45052="",-31800.49044=0,-36450.45052=0),"-",-36450.45052/-31800.49044*100)</f>
        <v>114.62229046049895</v>
      </c>
    </row>
    <row r="32" spans="1:5" ht="15.75" customHeight="1" x14ac:dyDescent="0.25">
      <c r="A32" s="32" t="s">
        <v>205</v>
      </c>
      <c r="B32" s="33" t="s">
        <v>126</v>
      </c>
      <c r="C32" s="23">
        <v>-1379226.0776500001</v>
      </c>
      <c r="D32" s="23">
        <v>-1106845.41062</v>
      </c>
      <c r="E32" s="47">
        <f>IF(-1379226.07765="","-",-1106845.41062/-1379226.07765*100)</f>
        <v>80.251195112689786</v>
      </c>
    </row>
    <row r="33" spans="1:5" x14ac:dyDescent="0.25">
      <c r="A33" s="34" t="s">
        <v>206</v>
      </c>
      <c r="B33" s="35" t="s">
        <v>170</v>
      </c>
      <c r="C33" s="24">
        <v>-28898.02894</v>
      </c>
      <c r="D33" s="24">
        <v>-14130.295630000001</v>
      </c>
      <c r="E33" s="48">
        <f>IF(OR(-28898.02894="",-14130.29563="",-28898.02894=0,-14130.29563=0),"-",-14130.29563/-28898.02894*100)</f>
        <v>48.89709142218058</v>
      </c>
    </row>
    <row r="34" spans="1:5" x14ac:dyDescent="0.25">
      <c r="A34" s="34" t="s">
        <v>207</v>
      </c>
      <c r="B34" s="35" t="s">
        <v>127</v>
      </c>
      <c r="C34" s="24">
        <v>-717038.14662999997</v>
      </c>
      <c r="D34" s="24">
        <v>-682192.43171000003</v>
      </c>
      <c r="E34" s="48">
        <f>IF(OR(-717038.14663="",-682192.43171="",-717038.14663=0,-682192.43171=0),"-",-682192.43171/-717038.14663*100)</f>
        <v>95.140326203874793</v>
      </c>
    </row>
    <row r="35" spans="1:5" x14ac:dyDescent="0.25">
      <c r="A35" s="34" t="s">
        <v>252</v>
      </c>
      <c r="B35" s="35" t="s">
        <v>171</v>
      </c>
      <c r="C35" s="24">
        <v>-600505.87727000006</v>
      </c>
      <c r="D35" s="24">
        <v>-405024.69702999998</v>
      </c>
      <c r="E35" s="48">
        <f>IF(OR(-600505.87727="",-405024.69703="",-600505.87727=0,-405024.69703=0),"-",-405024.69703/-600505.87727*100)</f>
        <v>67.447249454295076</v>
      </c>
    </row>
    <row r="36" spans="1:5" x14ac:dyDescent="0.25">
      <c r="A36" s="34" t="s">
        <v>257</v>
      </c>
      <c r="B36" s="35" t="s">
        <v>259</v>
      </c>
      <c r="C36" s="24">
        <v>-32784.024810000003</v>
      </c>
      <c r="D36" s="24">
        <v>-5497.9862499999999</v>
      </c>
      <c r="E36" s="48">
        <f>IF(OR(-32784.02481="",-5497.98625="",-32784.02481=0,-5497.98625=0),"-",-5497.98625/-32784.02481*100)</f>
        <v>16.770321160576255</v>
      </c>
    </row>
    <row r="37" spans="1:5" x14ac:dyDescent="0.25">
      <c r="A37" s="32" t="s">
        <v>208</v>
      </c>
      <c r="B37" s="33" t="s">
        <v>128</v>
      </c>
      <c r="C37" s="23">
        <v>226995.64132</v>
      </c>
      <c r="D37" s="23">
        <v>172835.33306</v>
      </c>
      <c r="E37" s="47">
        <f>IF(226995.64132="","-",172835.33306/226995.64132*100)</f>
        <v>76.140375231412833</v>
      </c>
    </row>
    <row r="38" spans="1:5" x14ac:dyDescent="0.25">
      <c r="A38" s="34" t="s">
        <v>209</v>
      </c>
      <c r="B38" s="35" t="s">
        <v>174</v>
      </c>
      <c r="C38" s="24">
        <v>-1822.3168599999999</v>
      </c>
      <c r="D38" s="24">
        <v>-2527.2541500000002</v>
      </c>
      <c r="E38" s="48">
        <f>IF(OR(-1822.31686="",-2527.25415="",-1822.31686=0,-2527.25415=0),"-",-2527.25415/-1822.31686*100)</f>
        <v>138.68357394223966</v>
      </c>
    </row>
    <row r="39" spans="1:5" ht="14.25" customHeight="1" x14ac:dyDescent="0.25">
      <c r="A39" s="34" t="s">
        <v>210</v>
      </c>
      <c r="B39" s="35" t="s">
        <v>129</v>
      </c>
      <c r="C39" s="24">
        <v>231558.16985999999</v>
      </c>
      <c r="D39" s="24">
        <v>177938.59106000001</v>
      </c>
      <c r="E39" s="48">
        <f>IF(OR(231558.16986="",177938.59106="",231558.16986=0,177938.59106=0),"-",177938.59106/231558.16986*100)</f>
        <v>76.844013393084609</v>
      </c>
    </row>
    <row r="40" spans="1:5" ht="40.5" customHeight="1" x14ac:dyDescent="0.25">
      <c r="A40" s="34" t="s">
        <v>211</v>
      </c>
      <c r="B40" s="35" t="s">
        <v>172</v>
      </c>
      <c r="C40" s="24">
        <v>-2740.2116799999999</v>
      </c>
      <c r="D40" s="24">
        <v>-2576.0038500000001</v>
      </c>
      <c r="E40" s="48">
        <f>IF(OR(-2740.21168="",-2576.00385="",-2740.21168=0,-2576.00385=0),"-",-2576.00385/-2740.21168*100)</f>
        <v>94.007476458898978</v>
      </c>
    </row>
    <row r="41" spans="1:5" ht="15" customHeight="1" x14ac:dyDescent="0.25">
      <c r="A41" s="32" t="s">
        <v>212</v>
      </c>
      <c r="B41" s="33" t="s">
        <v>130</v>
      </c>
      <c r="C41" s="23">
        <v>-718645.73225</v>
      </c>
      <c r="D41" s="23">
        <v>-727789.54544999998</v>
      </c>
      <c r="E41" s="47">
        <f>IF(-718645.73225="","-",-727789.54545/-718645.73225*100)</f>
        <v>101.27236728608568</v>
      </c>
    </row>
    <row r="42" spans="1:5" x14ac:dyDescent="0.25">
      <c r="A42" s="34" t="s">
        <v>213</v>
      </c>
      <c r="B42" s="35" t="s">
        <v>19</v>
      </c>
      <c r="C42" s="24">
        <v>21430.390759999998</v>
      </c>
      <c r="D42" s="24">
        <v>8379.5151499999993</v>
      </c>
      <c r="E42" s="48">
        <f>IF(OR(21430.39076="",8379.51515="",21430.39076=0,8379.51515=0),"-",8379.51515/21430.39076*100)</f>
        <v>39.101084267863342</v>
      </c>
    </row>
    <row r="43" spans="1:5" x14ac:dyDescent="0.25">
      <c r="A43" s="34" t="s">
        <v>214</v>
      </c>
      <c r="B43" s="35" t="s">
        <v>20</v>
      </c>
      <c r="C43" s="24">
        <v>-17971.91185</v>
      </c>
      <c r="D43" s="24">
        <v>-19169.069510000001</v>
      </c>
      <c r="E43" s="48">
        <f>IF(OR(-17971.91185="",-19169.06951="",-17971.91185=0,-19169.06951=0),"-",-19169.06951/-17971.91185*100)</f>
        <v>106.66127048692373</v>
      </c>
    </row>
    <row r="44" spans="1:5" x14ac:dyDescent="0.25">
      <c r="A44" s="34" t="s">
        <v>215</v>
      </c>
      <c r="B44" s="35" t="s">
        <v>131</v>
      </c>
      <c r="C44" s="24">
        <v>-36431.006789999999</v>
      </c>
      <c r="D44" s="24">
        <v>-36976.417829999999</v>
      </c>
      <c r="E44" s="48">
        <f>IF(OR(-36431.00679="",-36976.41783="",-36431.00679=0,-36976.41783=0),"-",-36976.41783/-36431.00679*100)</f>
        <v>101.49710669030895</v>
      </c>
    </row>
    <row r="45" spans="1:5" x14ac:dyDescent="0.25">
      <c r="A45" s="34" t="s">
        <v>216</v>
      </c>
      <c r="B45" s="35" t="s">
        <v>132</v>
      </c>
      <c r="C45" s="24">
        <v>-176103.43854</v>
      </c>
      <c r="D45" s="24">
        <v>-186265.77050000001</v>
      </c>
      <c r="E45" s="48">
        <f>IF(OR(-176103.43854="",-186265.7705="",-176103.43854=0,-186265.7705=0),"-",-186265.7705/-176103.43854*100)</f>
        <v>105.77066072318159</v>
      </c>
    </row>
    <row r="46" spans="1:5" ht="28.5" customHeight="1" x14ac:dyDescent="0.25">
      <c r="A46" s="34" t="s">
        <v>217</v>
      </c>
      <c r="B46" s="35" t="s">
        <v>133</v>
      </c>
      <c r="C46" s="24">
        <v>-97507.065430000002</v>
      </c>
      <c r="D46" s="24">
        <v>-114334.68047000001</v>
      </c>
      <c r="E46" s="48">
        <f>IF(OR(-97507.06543="",-114334.68047="",-97507.06543=0,-114334.68047=0),"-",-114334.68047/-97507.06543*100)</f>
        <v>117.25784174284324</v>
      </c>
    </row>
    <row r="47" spans="1:5" x14ac:dyDescent="0.25">
      <c r="A47" s="34" t="s">
        <v>218</v>
      </c>
      <c r="B47" s="35" t="s">
        <v>134</v>
      </c>
      <c r="C47" s="24">
        <v>-105213.55821</v>
      </c>
      <c r="D47" s="24">
        <v>-111948.86859</v>
      </c>
      <c r="E47" s="48">
        <f>IF(OR(-105213.55821="",-111948.86859="",-105213.55821=0,-111948.86859=0),"-",-111948.86859/-105213.55821*100)</f>
        <v>106.40156125749185</v>
      </c>
    </row>
    <row r="48" spans="1:5" x14ac:dyDescent="0.25">
      <c r="A48" s="34" t="s">
        <v>219</v>
      </c>
      <c r="B48" s="35" t="s">
        <v>21</v>
      </c>
      <c r="C48" s="24">
        <v>-58140.621829999996</v>
      </c>
      <c r="D48" s="24">
        <v>-38704.487099999998</v>
      </c>
      <c r="E48" s="48">
        <f>IF(OR(-58140.62183="",-38704.4871="",-58140.62183=0,-38704.4871=0),"-",-38704.4871/-58140.62183*100)</f>
        <v>66.570473245315128</v>
      </c>
    </row>
    <row r="49" spans="1:5" x14ac:dyDescent="0.25">
      <c r="A49" s="34" t="s">
        <v>220</v>
      </c>
      <c r="B49" s="35" t="s">
        <v>22</v>
      </c>
      <c r="C49" s="24">
        <v>-109130.72166</v>
      </c>
      <c r="D49" s="24">
        <v>-101382.99553</v>
      </c>
      <c r="E49" s="48">
        <f>IF(OR(-109130.72166="",-101382.99553="",-109130.72166=0,-101382.99553=0),"-",-101382.99553/-109130.72166*100)</f>
        <v>92.900508663235755</v>
      </c>
    </row>
    <row r="50" spans="1:5" x14ac:dyDescent="0.25">
      <c r="A50" s="34" t="s">
        <v>221</v>
      </c>
      <c r="B50" s="35" t="s">
        <v>135</v>
      </c>
      <c r="C50" s="24">
        <v>-139577.79870000001</v>
      </c>
      <c r="D50" s="24">
        <v>-127386.77107</v>
      </c>
      <c r="E50" s="48">
        <f>IF(OR(-139577.7987="",-127386.77107="",-139577.7987=0,-127386.77107=0),"-",-127386.77107/-139577.7987*100)</f>
        <v>91.265783137759144</v>
      </c>
    </row>
    <row r="51" spans="1:5" ht="24" x14ac:dyDescent="0.25">
      <c r="A51" s="32" t="s">
        <v>222</v>
      </c>
      <c r="B51" s="33" t="s">
        <v>332</v>
      </c>
      <c r="C51" s="23">
        <v>-770590.86655999999</v>
      </c>
      <c r="D51" s="23">
        <v>-692044.46774999995</v>
      </c>
      <c r="E51" s="47">
        <f>IF(-770590.86656="","-",-692044.46775/-770590.86656*100)</f>
        <v>89.806990684870229</v>
      </c>
    </row>
    <row r="52" spans="1:5" x14ac:dyDescent="0.25">
      <c r="A52" s="34" t="s">
        <v>223</v>
      </c>
      <c r="B52" s="35" t="s">
        <v>136</v>
      </c>
      <c r="C52" s="24">
        <v>-39485.397369999999</v>
      </c>
      <c r="D52" s="24">
        <v>-31981.30143</v>
      </c>
      <c r="E52" s="48">
        <f>IF(OR(-39485.39737="",-31981.30143="",-39485.39737=0,-31981.30143=0),"-",-31981.30143/-39485.39737*100)</f>
        <v>80.995262958398342</v>
      </c>
    </row>
    <row r="53" spans="1:5" x14ac:dyDescent="0.25">
      <c r="A53" s="34" t="s">
        <v>224</v>
      </c>
      <c r="B53" s="35" t="s">
        <v>23</v>
      </c>
      <c r="C53" s="24">
        <v>-64708.123639999998</v>
      </c>
      <c r="D53" s="24">
        <v>-54190.814550000003</v>
      </c>
      <c r="E53" s="48">
        <f>IF(OR(-64708.12364="",-54190.81455="",-64708.12364=0,-54190.81455=0),"-",-54190.81455/-64708.12364*100)</f>
        <v>83.746539849443863</v>
      </c>
    </row>
    <row r="54" spans="1:5" x14ac:dyDescent="0.25">
      <c r="A54" s="34" t="s">
        <v>225</v>
      </c>
      <c r="B54" s="35" t="s">
        <v>137</v>
      </c>
      <c r="C54" s="24">
        <v>-59985.660510000002</v>
      </c>
      <c r="D54" s="24">
        <v>-63938.81106</v>
      </c>
      <c r="E54" s="48">
        <f>IF(OR(-59985.66051="",-63938.81106="",-59985.66051=0,-63938.81106=0),"-",-63938.81106/-59985.66051*100)</f>
        <v>106.59015924204249</v>
      </c>
    </row>
    <row r="55" spans="1:5" ht="24" x14ac:dyDescent="0.25">
      <c r="A55" s="34" t="s">
        <v>226</v>
      </c>
      <c r="B55" s="35" t="s">
        <v>138</v>
      </c>
      <c r="C55" s="24">
        <v>-91044.757689999999</v>
      </c>
      <c r="D55" s="24">
        <v>-77323.865569999994</v>
      </c>
      <c r="E55" s="48">
        <f>IF(OR(-91044.75769="",-77323.86557="",-91044.75769=0,-77323.86557=0),"-",-77323.86557/-91044.75769*100)</f>
        <v>84.92950888318191</v>
      </c>
    </row>
    <row r="56" spans="1:5" ht="24" x14ac:dyDescent="0.25">
      <c r="A56" s="34" t="s">
        <v>227</v>
      </c>
      <c r="B56" s="35" t="s">
        <v>139</v>
      </c>
      <c r="C56" s="24">
        <v>-178406.16701999999</v>
      </c>
      <c r="D56" s="24">
        <v>-161464.47584</v>
      </c>
      <c r="E56" s="48">
        <f>IF(OR(-178406.16702="",-161464.47584="",-178406.16702=0,-161464.47584=0),"-",-161464.47584/-178406.16702*100)</f>
        <v>90.503864601215966</v>
      </c>
    </row>
    <row r="57" spans="1:5" x14ac:dyDescent="0.25">
      <c r="A57" s="34" t="s">
        <v>228</v>
      </c>
      <c r="B57" s="35" t="s">
        <v>24</v>
      </c>
      <c r="C57" s="24">
        <v>-56555.125319999999</v>
      </c>
      <c r="D57" s="24">
        <v>-52979.639159999999</v>
      </c>
      <c r="E57" s="48">
        <f>IF(OR(-56555.12532="",-52979.63916="",-56555.12532=0,-52979.63916=0),"-",-52979.63916/-56555.12532*100)</f>
        <v>93.677874216051691</v>
      </c>
    </row>
    <row r="58" spans="1:5" x14ac:dyDescent="0.25">
      <c r="A58" s="34" t="s">
        <v>229</v>
      </c>
      <c r="B58" s="35" t="s">
        <v>140</v>
      </c>
      <c r="C58" s="24">
        <v>-132867.94602999999</v>
      </c>
      <c r="D58" s="24">
        <v>-106384.5739</v>
      </c>
      <c r="E58" s="48">
        <f>IF(OR(-132867.94603="",-106384.5739="",-132867.94603=0,-106384.5739=0),"-",-106384.5739/-132867.94603*100)</f>
        <v>80.067899804802906</v>
      </c>
    </row>
    <row r="59" spans="1:5" x14ac:dyDescent="0.25">
      <c r="A59" s="34" t="s">
        <v>230</v>
      </c>
      <c r="B59" s="35" t="s">
        <v>25</v>
      </c>
      <c r="C59" s="24">
        <v>-25658.026890000001</v>
      </c>
      <c r="D59" s="24">
        <v>-26621.832180000001</v>
      </c>
      <c r="E59" s="48">
        <f>IF(OR(-25658.02689="",-26621.83218="",-25658.02689=0,-26621.83218=0),"-",-26621.83218/-25658.02689*100)</f>
        <v>103.75634998798616</v>
      </c>
    </row>
    <row r="60" spans="1:5" x14ac:dyDescent="0.25">
      <c r="A60" s="34" t="s">
        <v>231</v>
      </c>
      <c r="B60" s="35" t="s">
        <v>26</v>
      </c>
      <c r="C60" s="24">
        <v>-121879.66209</v>
      </c>
      <c r="D60" s="24">
        <v>-117159.15406</v>
      </c>
      <c r="E60" s="48">
        <f>IF(OR(-121879.66209="",-117159.15406="",-121879.66209=0,-117159.15406=0),"-",-117159.15406/-121879.66209*100)</f>
        <v>96.126910799511236</v>
      </c>
    </row>
    <row r="61" spans="1:5" x14ac:dyDescent="0.25">
      <c r="A61" s="32" t="s">
        <v>232</v>
      </c>
      <c r="B61" s="33" t="s">
        <v>141</v>
      </c>
      <c r="C61" s="23">
        <v>-959684.40830000001</v>
      </c>
      <c r="D61" s="23">
        <v>-948917.86213999998</v>
      </c>
      <c r="E61" s="47">
        <f>IF(-959684.4083="","-",-948917.86214/-959684.4083*100)</f>
        <v>98.878115965323218</v>
      </c>
    </row>
    <row r="62" spans="1:5" ht="16.5" customHeight="1" x14ac:dyDescent="0.25">
      <c r="A62" s="34" t="s">
        <v>233</v>
      </c>
      <c r="B62" s="35" t="s">
        <v>142</v>
      </c>
      <c r="C62" s="24">
        <v>-19785.073970000001</v>
      </c>
      <c r="D62" s="24">
        <v>-29356.036199999999</v>
      </c>
      <c r="E62" s="48">
        <f>IF(OR(-19785.07397="",-29356.0362="",-19785.07397=0,-29356.0362=0),"-",-29356.0362/-19785.07397*100)</f>
        <v>148.3746598294876</v>
      </c>
    </row>
    <row r="63" spans="1:5" ht="15" customHeight="1" x14ac:dyDescent="0.25">
      <c r="A63" s="34" t="s">
        <v>234</v>
      </c>
      <c r="B63" s="35" t="s">
        <v>143</v>
      </c>
      <c r="C63" s="24">
        <v>-229613.92598</v>
      </c>
      <c r="D63" s="24">
        <v>-140992.08600000001</v>
      </c>
      <c r="E63" s="48">
        <f>IF(OR(-229613.92598="",-140992.086="",-229613.92598=0,-140992.086=0),"-",-140992.086/-229613.92598*100)</f>
        <v>61.403978612464826</v>
      </c>
    </row>
    <row r="64" spans="1:5" x14ac:dyDescent="0.25">
      <c r="A64" s="34" t="s">
        <v>235</v>
      </c>
      <c r="B64" s="35" t="s">
        <v>144</v>
      </c>
      <c r="C64" s="24">
        <v>-6088.1436800000001</v>
      </c>
      <c r="D64" s="24">
        <v>-7879.7719999999999</v>
      </c>
      <c r="E64" s="48">
        <f>IF(OR(-6088.14368="",-7879.772="",-6088.14368=0,-7879.772=0),"-",-7879.772/-6088.14368*100)</f>
        <v>129.42815436313751</v>
      </c>
    </row>
    <row r="65" spans="1:5" ht="24" x14ac:dyDescent="0.25">
      <c r="A65" s="34" t="s">
        <v>236</v>
      </c>
      <c r="B65" s="35" t="s">
        <v>145</v>
      </c>
      <c r="C65" s="24">
        <v>-165378.06484000001</v>
      </c>
      <c r="D65" s="24">
        <v>-152438.21569000001</v>
      </c>
      <c r="E65" s="48">
        <f>IF(OR(-165378.06484="",-152438.21569="",-165378.06484=0,-152438.21569=0),"-",-152438.21569/-165378.06484*100)</f>
        <v>92.175595256529917</v>
      </c>
    </row>
    <row r="66" spans="1:5" ht="25.5" customHeight="1" x14ac:dyDescent="0.25">
      <c r="A66" s="34" t="s">
        <v>237</v>
      </c>
      <c r="B66" s="35" t="s">
        <v>146</v>
      </c>
      <c r="C66" s="24">
        <v>-61192.622799999997</v>
      </c>
      <c r="D66" s="24">
        <v>-55732.791140000001</v>
      </c>
      <c r="E66" s="48">
        <f>IF(OR(-61192.6228="",-55732.79114="",-61192.6228=0,-55732.79114=0),"-",-55732.79114/-61192.6228*100)</f>
        <v>91.07763091337867</v>
      </c>
    </row>
    <row r="67" spans="1:5" ht="27" customHeight="1" x14ac:dyDescent="0.25">
      <c r="A67" s="34" t="s">
        <v>238</v>
      </c>
      <c r="B67" s="35" t="s">
        <v>147</v>
      </c>
      <c r="C67" s="24">
        <v>-135418.52062</v>
      </c>
      <c r="D67" s="24">
        <v>-158794.10201</v>
      </c>
      <c r="E67" s="48">
        <f>IF(OR(-135418.52062="",-158794.10201="",-135418.52062=0,-158794.10201=0),"-",-158794.10201/-135418.52062*100)</f>
        <v>117.26173146994758</v>
      </c>
    </row>
    <row r="68" spans="1:5" ht="36" x14ac:dyDescent="0.25">
      <c r="A68" s="34" t="s">
        <v>239</v>
      </c>
      <c r="B68" s="35" t="s">
        <v>148</v>
      </c>
      <c r="C68" s="24">
        <v>-17101.337899999999</v>
      </c>
      <c r="D68" s="24">
        <v>-23511.52952</v>
      </c>
      <c r="E68" s="48">
        <f>IF(OR(-17101.3379="",-23511.52952="",-17101.3379=0,-23511.52952=0),"-",-23511.52952/-17101.3379*100)</f>
        <v>137.48356799616246</v>
      </c>
    </row>
    <row r="69" spans="1:5" x14ac:dyDescent="0.25">
      <c r="A69" s="34" t="s">
        <v>240</v>
      </c>
      <c r="B69" s="35" t="s">
        <v>149</v>
      </c>
      <c r="C69" s="24">
        <v>-320554.36875999998</v>
      </c>
      <c r="D69" s="24">
        <v>-379731.82796000002</v>
      </c>
      <c r="E69" s="48">
        <f>IF(OR(-320554.36876="",-379731.82796="",-320554.36876=0,-379731.82796=0),"-",-379731.82796/-320554.36876*100)</f>
        <v>118.46097416451261</v>
      </c>
    </row>
    <row r="70" spans="1:5" x14ac:dyDescent="0.25">
      <c r="A70" s="34" t="s">
        <v>241</v>
      </c>
      <c r="B70" s="35" t="s">
        <v>27</v>
      </c>
      <c r="C70" s="24">
        <v>-4552.3497500000003</v>
      </c>
      <c r="D70" s="24">
        <v>-481.50162</v>
      </c>
      <c r="E70" s="48">
        <f>IF(OR(-4552.34975="",-481.50162="",-4552.34975=0,-481.50162=0),"-",-481.50162/-4552.34975*100)</f>
        <v>10.576990926499001</v>
      </c>
    </row>
    <row r="71" spans="1:5" x14ac:dyDescent="0.25">
      <c r="A71" s="32" t="s">
        <v>242</v>
      </c>
      <c r="B71" s="33" t="s">
        <v>28</v>
      </c>
      <c r="C71" s="23">
        <v>-127435.26136</v>
      </c>
      <c r="D71" s="23">
        <v>-160775.85557000001</v>
      </c>
      <c r="E71" s="47">
        <f>IF(-127435.26136="","-",-160775.85557/-127435.26136*100)</f>
        <v>126.16276990699933</v>
      </c>
    </row>
    <row r="72" spans="1:5" ht="26.25" customHeight="1" x14ac:dyDescent="0.25">
      <c r="A72" s="34" t="s">
        <v>243</v>
      </c>
      <c r="B72" s="35" t="s">
        <v>175</v>
      </c>
      <c r="C72" s="24">
        <v>-34532.306960000002</v>
      </c>
      <c r="D72" s="24">
        <v>-24416.222860000002</v>
      </c>
      <c r="E72" s="48">
        <f>IF(OR(-34532.30696="",-24416.22286="",-34532.30696=0,-24416.22286=0),"-",-24416.22286/-34532.30696*100)</f>
        <v>70.70544950351038</v>
      </c>
    </row>
    <row r="73" spans="1:5" x14ac:dyDescent="0.25">
      <c r="A73" s="34" t="s">
        <v>244</v>
      </c>
      <c r="B73" s="35" t="s">
        <v>150</v>
      </c>
      <c r="C73" s="24">
        <v>55557.628270000001</v>
      </c>
      <c r="D73" s="24">
        <v>54537.6414</v>
      </c>
      <c r="E73" s="48">
        <f>IF(OR(55557.62827="",54537.6414="",55557.62827=0,54537.6414=0),"-",54537.6414/55557.62827*100)</f>
        <v>98.164092129629708</v>
      </c>
    </row>
    <row r="74" spans="1:5" x14ac:dyDescent="0.25">
      <c r="A74" s="34" t="s">
        <v>245</v>
      </c>
      <c r="B74" s="35" t="s">
        <v>151</v>
      </c>
      <c r="C74" s="24">
        <v>-1788.8392899999999</v>
      </c>
      <c r="D74" s="24">
        <v>-3006.1948200000002</v>
      </c>
      <c r="E74" s="48" t="s">
        <v>341</v>
      </c>
    </row>
    <row r="75" spans="1:5" x14ac:dyDescent="0.25">
      <c r="A75" s="34" t="s">
        <v>246</v>
      </c>
      <c r="B75" s="35" t="s">
        <v>152</v>
      </c>
      <c r="C75" s="24">
        <v>72572.603919999994</v>
      </c>
      <c r="D75" s="24">
        <v>65847.194499999998</v>
      </c>
      <c r="E75" s="48">
        <f>IF(OR(72572.60392="",65847.1945="",72572.60392=0,65847.1945=0),"-",65847.1945/72572.60392*100)</f>
        <v>90.732853643485484</v>
      </c>
    </row>
    <row r="76" spans="1:5" x14ac:dyDescent="0.25">
      <c r="A76" s="34" t="s">
        <v>247</v>
      </c>
      <c r="B76" s="35" t="s">
        <v>153</v>
      </c>
      <c r="C76" s="24">
        <v>-14903.28414</v>
      </c>
      <c r="D76" s="24">
        <v>-24939.818019999999</v>
      </c>
      <c r="E76" s="48" t="s">
        <v>341</v>
      </c>
    </row>
    <row r="77" spans="1:5" x14ac:dyDescent="0.25">
      <c r="A77" s="34" t="s">
        <v>248</v>
      </c>
      <c r="B77" s="35" t="s">
        <v>277</v>
      </c>
      <c r="C77" s="24">
        <v>-37066.227229999997</v>
      </c>
      <c r="D77" s="24">
        <v>-36965.65393</v>
      </c>
      <c r="E77" s="48">
        <f>IF(OR(-37066.22723="",-36965.65393="",-37066.22723=0,-36965.65393=0),"-",-36965.65393/-37066.22723*100)</f>
        <v>99.728665937928</v>
      </c>
    </row>
    <row r="78" spans="1:5" ht="24" x14ac:dyDescent="0.25">
      <c r="A78" s="34" t="s">
        <v>249</v>
      </c>
      <c r="B78" s="35" t="s">
        <v>154</v>
      </c>
      <c r="C78" s="24">
        <v>-6710.7749000000003</v>
      </c>
      <c r="D78" s="24">
        <v>-8339.6461899999995</v>
      </c>
      <c r="E78" s="48">
        <f>IF(OR(-6710.7749="",-8339.64619="",-6710.7749=0,-8339.64619=0),"-",-8339.64619/-6710.7749*100)</f>
        <v>124.27247693854251</v>
      </c>
    </row>
    <row r="79" spans="1:5" x14ac:dyDescent="0.25">
      <c r="A79" s="34" t="s">
        <v>250</v>
      </c>
      <c r="B79" s="35" t="s">
        <v>29</v>
      </c>
      <c r="C79" s="24">
        <v>-160564.06103000001</v>
      </c>
      <c r="D79" s="24">
        <v>-183493.15565</v>
      </c>
      <c r="E79" s="48">
        <f>IF(OR(-160564.06103="",-183493.15565="",-160564.06103=0,-183493.15565=0),"-",-183493.15565/-160564.06103*100)</f>
        <v>114.2803404902146</v>
      </c>
    </row>
    <row r="80" spans="1:5" x14ac:dyDescent="0.25">
      <c r="A80" s="37" t="s">
        <v>253</v>
      </c>
      <c r="B80" s="38" t="s">
        <v>155</v>
      </c>
      <c r="C80" s="43">
        <v>-14037.655290000001</v>
      </c>
      <c r="D80" s="43">
        <v>1926.07446</v>
      </c>
      <c r="E80" s="50" t="s">
        <v>382</v>
      </c>
    </row>
    <row r="81" spans="1:5" s="21" customFormat="1" ht="11.25" x14ac:dyDescent="0.2">
      <c r="A81" s="9" t="s">
        <v>256</v>
      </c>
      <c r="B81" s="10"/>
      <c r="C81" s="31"/>
      <c r="D81" s="31"/>
      <c r="E81" s="31"/>
    </row>
    <row r="82" spans="1:5" x14ac:dyDescent="0.25">
      <c r="C82" s="24"/>
      <c r="D82" s="24"/>
      <c r="E82" s="44"/>
    </row>
    <row r="83" spans="1:5" x14ac:dyDescent="0.25">
      <c r="C83" s="24"/>
      <c r="D83" s="24"/>
      <c r="E83" s="44"/>
    </row>
  </sheetData>
  <mergeCells count="7">
    <mergeCell ref="B1:E1"/>
    <mergeCell ref="B2:E2"/>
    <mergeCell ref="A3:E3"/>
    <mergeCell ref="A4:A5"/>
    <mergeCell ref="B4:B5"/>
    <mergeCell ref="C4:D4"/>
    <mergeCell ref="E4:E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1. Export_Tari</vt:lpstr>
      <vt:lpstr>2. Import_Tari</vt:lpstr>
      <vt:lpstr>3. Balanta Comerciala_Tari</vt:lpstr>
      <vt:lpstr>4. Export_Moduri_Transport</vt:lpstr>
      <vt:lpstr>5. Import_Moduri_Transport</vt:lpstr>
      <vt:lpstr>6. Export_Grupe_Marfuri_CSCI</vt:lpstr>
      <vt:lpstr>7. Import_Grupe_Marfuri_CSCI</vt:lpstr>
      <vt:lpstr>8. Balanta_Comerciala_CSCI</vt:lpstr>
      <vt:lpstr>'1. Export_Tari'!Print_Titles</vt:lpstr>
      <vt:lpstr>'2. Import_Tari'!Print_Titles</vt:lpstr>
      <vt:lpstr>'3. Balanta Comerciala_Tari'!Print_Titles</vt:lpstr>
      <vt:lpstr>'6. Export_Grupe_Marfuri_CSCI'!Print_Titles</vt:lpstr>
      <vt:lpstr>'7. Import_Grupe_Marfuri_CSCI'!Print_Titles</vt:lpstr>
      <vt:lpstr>'8. Balanta_Comerciala_CSCI'!Print_Titles</vt:lpstr>
    </vt:vector>
  </TitlesOfParts>
  <Company>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Eni</dc:creator>
  <cp:lastModifiedBy>Corina Vicol</cp:lastModifiedBy>
  <cp:lastPrinted>2023-11-16T14:05:36Z</cp:lastPrinted>
  <dcterms:created xsi:type="dcterms:W3CDTF">2016-09-01T07:59:47Z</dcterms:created>
  <dcterms:modified xsi:type="dcterms:W3CDTF">2023-11-17T05:38:12Z</dcterms:modified>
</cp:coreProperties>
</file>