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"/>
    </mc:Choice>
  </mc:AlternateContent>
  <xr:revisionPtr revIDLastSave="0" documentId="13_ncr:1_{A42F1812-E63A-4DE2-9461-35FF6F2CFE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 Export_Tari" sheetId="1" r:id="rId1"/>
    <sheet name="2. Import_Tari" sheetId="2" r:id="rId2"/>
    <sheet name="3. Balanta Comerciala_Tari" sheetId="3" r:id="rId3"/>
    <sheet name="4. Export_Moduri_Transport" sheetId="7" r:id="rId4"/>
    <sheet name="5. Import_Moduri_Transport" sheetId="8" r:id="rId5"/>
    <sheet name="6. Export_Grupe_Marfuri_CSCI" sheetId="5" r:id="rId6"/>
    <sheet name="7. Import_Grupe_Marfuri_CSCI" sheetId="6" r:id="rId7"/>
    <sheet name="8. Balanta_Comerciala_CSCI" sheetId="4" r:id="rId8"/>
  </sheets>
  <definedNames>
    <definedName name="_xlnm.Print_Titles" localSheetId="0">'1. Export_Tari'!$3:$4</definedName>
    <definedName name="_xlnm.Print_Titles" localSheetId="1">'2. Import_Tari'!$3:$4</definedName>
    <definedName name="_xlnm.Print_Titles" localSheetId="2">'3. Balanta Comerciala_Tari'!$3:$4</definedName>
    <definedName name="_xlnm.Print_Titles" localSheetId="5">'6. Export_Grupe_Marfuri_CSCI'!$4:$5</definedName>
    <definedName name="_xlnm.Print_Titles" localSheetId="6">'7. Import_Grupe_Marfuri_CSCI'!$4:$5</definedName>
    <definedName name="_xlnm.Print_Titles" localSheetId="7">'8. Balanta_Comerciala_CSCI'!$4:$5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G5" i="2"/>
  <c r="D5" i="2"/>
  <c r="E80" i="4" l="1"/>
  <c r="E79" i="4"/>
  <c r="E78" i="4"/>
  <c r="E77" i="4"/>
  <c r="E75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2" i="4"/>
  <c r="E21" i="4"/>
  <c r="E20" i="4"/>
  <c r="E19" i="4"/>
  <c r="E18" i="4"/>
  <c r="E16" i="4"/>
  <c r="E14" i="4"/>
  <c r="E13" i="4"/>
  <c r="E12" i="4"/>
  <c r="E11" i="4"/>
  <c r="E10" i="4"/>
  <c r="E6" i="4"/>
  <c r="I80" i="6"/>
  <c r="H80" i="6"/>
  <c r="G80" i="6"/>
  <c r="F80" i="6"/>
  <c r="E80" i="6"/>
  <c r="I79" i="6"/>
  <c r="H79" i="6"/>
  <c r="G79" i="6"/>
  <c r="F79" i="6"/>
  <c r="E79" i="6"/>
  <c r="I78" i="6"/>
  <c r="H78" i="6"/>
  <c r="G78" i="6"/>
  <c r="F78" i="6"/>
  <c r="E78" i="6"/>
  <c r="I77" i="6"/>
  <c r="H77" i="6"/>
  <c r="G77" i="6"/>
  <c r="F77" i="6"/>
  <c r="E77" i="6"/>
  <c r="I76" i="6"/>
  <c r="H76" i="6"/>
  <c r="G76" i="6"/>
  <c r="F76" i="6"/>
  <c r="E76" i="6"/>
  <c r="I75" i="6"/>
  <c r="H75" i="6"/>
  <c r="G75" i="6"/>
  <c r="F75" i="6"/>
  <c r="E75" i="6"/>
  <c r="I74" i="6"/>
  <c r="H74" i="6"/>
  <c r="G74" i="6"/>
  <c r="F74" i="6"/>
  <c r="E74" i="6"/>
  <c r="I73" i="6"/>
  <c r="H73" i="6"/>
  <c r="G73" i="6"/>
  <c r="F73" i="6"/>
  <c r="E73" i="6"/>
  <c r="I72" i="6"/>
  <c r="H72" i="6"/>
  <c r="G72" i="6"/>
  <c r="F72" i="6"/>
  <c r="E72" i="6"/>
  <c r="I71" i="6"/>
  <c r="H71" i="6"/>
  <c r="G71" i="6"/>
  <c r="F71" i="6"/>
  <c r="E71" i="6"/>
  <c r="I70" i="6"/>
  <c r="H70" i="6"/>
  <c r="G70" i="6"/>
  <c r="F70" i="6"/>
  <c r="E70" i="6"/>
  <c r="I69" i="6"/>
  <c r="H69" i="6"/>
  <c r="G69" i="6"/>
  <c r="F69" i="6"/>
  <c r="E69" i="6"/>
  <c r="I68" i="6"/>
  <c r="H68" i="6"/>
  <c r="G68" i="6"/>
  <c r="F68" i="6"/>
  <c r="E68" i="6"/>
  <c r="I67" i="6"/>
  <c r="H67" i="6"/>
  <c r="G67" i="6"/>
  <c r="F67" i="6"/>
  <c r="E67" i="6"/>
  <c r="I66" i="6"/>
  <c r="H66" i="6"/>
  <c r="G66" i="6"/>
  <c r="F66" i="6"/>
  <c r="E66" i="6"/>
  <c r="I65" i="6"/>
  <c r="H65" i="6"/>
  <c r="G65" i="6"/>
  <c r="F65" i="6"/>
  <c r="E65" i="6"/>
  <c r="I64" i="6"/>
  <c r="H64" i="6"/>
  <c r="G64" i="6"/>
  <c r="F64" i="6"/>
  <c r="E64" i="6"/>
  <c r="I63" i="6"/>
  <c r="H63" i="6"/>
  <c r="G63" i="6"/>
  <c r="F63" i="6"/>
  <c r="E63" i="6"/>
  <c r="I62" i="6"/>
  <c r="H62" i="6"/>
  <c r="G62" i="6"/>
  <c r="F62" i="6"/>
  <c r="E62" i="6"/>
  <c r="I61" i="6"/>
  <c r="H61" i="6"/>
  <c r="G61" i="6"/>
  <c r="F61" i="6"/>
  <c r="E61" i="6"/>
  <c r="I60" i="6"/>
  <c r="H60" i="6"/>
  <c r="G60" i="6"/>
  <c r="F60" i="6"/>
  <c r="E60" i="6"/>
  <c r="I59" i="6"/>
  <c r="H59" i="6"/>
  <c r="G59" i="6"/>
  <c r="F59" i="6"/>
  <c r="E59" i="6"/>
  <c r="I58" i="6"/>
  <c r="H58" i="6"/>
  <c r="G58" i="6"/>
  <c r="F58" i="6"/>
  <c r="E58" i="6"/>
  <c r="I57" i="6"/>
  <c r="H57" i="6"/>
  <c r="G57" i="6"/>
  <c r="F57" i="6"/>
  <c r="E57" i="6"/>
  <c r="I56" i="6"/>
  <c r="H56" i="6"/>
  <c r="G56" i="6"/>
  <c r="F56" i="6"/>
  <c r="E56" i="6"/>
  <c r="I55" i="6"/>
  <c r="H55" i="6"/>
  <c r="G55" i="6"/>
  <c r="F55" i="6"/>
  <c r="E55" i="6"/>
  <c r="I54" i="6"/>
  <c r="H54" i="6"/>
  <c r="G54" i="6"/>
  <c r="F54" i="6"/>
  <c r="E54" i="6"/>
  <c r="I53" i="6"/>
  <c r="H53" i="6"/>
  <c r="G53" i="6"/>
  <c r="F53" i="6"/>
  <c r="E53" i="6"/>
  <c r="I52" i="6"/>
  <c r="H52" i="6"/>
  <c r="G52" i="6"/>
  <c r="F52" i="6"/>
  <c r="E52" i="6"/>
  <c r="I51" i="6"/>
  <c r="H51" i="6"/>
  <c r="G51" i="6"/>
  <c r="F51" i="6"/>
  <c r="E51" i="6"/>
  <c r="I50" i="6"/>
  <c r="H50" i="6"/>
  <c r="G50" i="6"/>
  <c r="F50" i="6"/>
  <c r="E50" i="6"/>
  <c r="I49" i="6"/>
  <c r="H49" i="6"/>
  <c r="G49" i="6"/>
  <c r="F49" i="6"/>
  <c r="E49" i="6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6" i="6"/>
  <c r="H6" i="6"/>
  <c r="E6" i="6"/>
  <c r="I80" i="5"/>
  <c r="H80" i="5"/>
  <c r="G80" i="5"/>
  <c r="F80" i="5"/>
  <c r="I79" i="5"/>
  <c r="H79" i="5"/>
  <c r="G79" i="5"/>
  <c r="F79" i="5"/>
  <c r="E79" i="5"/>
  <c r="I78" i="5"/>
  <c r="H78" i="5"/>
  <c r="G78" i="5"/>
  <c r="F78" i="5"/>
  <c r="E78" i="5"/>
  <c r="I77" i="5"/>
  <c r="H77" i="5"/>
  <c r="G77" i="5"/>
  <c r="F77" i="5"/>
  <c r="E77" i="5"/>
  <c r="I76" i="5"/>
  <c r="H76" i="5"/>
  <c r="G76" i="5"/>
  <c r="F76" i="5"/>
  <c r="E76" i="5"/>
  <c r="I75" i="5"/>
  <c r="H75" i="5"/>
  <c r="G75" i="5"/>
  <c r="F75" i="5"/>
  <c r="E75" i="5"/>
  <c r="I74" i="5"/>
  <c r="H74" i="5"/>
  <c r="G74" i="5"/>
  <c r="F74" i="5"/>
  <c r="E74" i="5"/>
  <c r="I73" i="5"/>
  <c r="H73" i="5"/>
  <c r="G73" i="5"/>
  <c r="F73" i="5"/>
  <c r="E73" i="5"/>
  <c r="I72" i="5"/>
  <c r="H72" i="5"/>
  <c r="G72" i="5"/>
  <c r="F72" i="5"/>
  <c r="E72" i="5"/>
  <c r="I71" i="5"/>
  <c r="H71" i="5"/>
  <c r="G71" i="5"/>
  <c r="F71" i="5"/>
  <c r="E71" i="5"/>
  <c r="I70" i="5"/>
  <c r="H70" i="5"/>
  <c r="G70" i="5"/>
  <c r="F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I66" i="5"/>
  <c r="H66" i="5"/>
  <c r="G66" i="5"/>
  <c r="F66" i="5"/>
  <c r="I65" i="5"/>
  <c r="H65" i="5"/>
  <c r="G65" i="5"/>
  <c r="F65" i="5"/>
  <c r="E65" i="5"/>
  <c r="I64" i="5"/>
  <c r="H64" i="5"/>
  <c r="G64" i="5"/>
  <c r="F64" i="5"/>
  <c r="E64" i="5"/>
  <c r="I63" i="5"/>
  <c r="H63" i="5"/>
  <c r="G63" i="5"/>
  <c r="F63" i="5"/>
  <c r="I62" i="5"/>
  <c r="H62" i="5"/>
  <c r="G62" i="5"/>
  <c r="F62" i="5"/>
  <c r="E62" i="5"/>
  <c r="I61" i="5"/>
  <c r="H61" i="5"/>
  <c r="G61" i="5"/>
  <c r="F61" i="5"/>
  <c r="E61" i="5"/>
  <c r="I60" i="5"/>
  <c r="H60" i="5"/>
  <c r="G60" i="5"/>
  <c r="F60" i="5"/>
  <c r="E60" i="5"/>
  <c r="I59" i="5"/>
  <c r="H59" i="5"/>
  <c r="G59" i="5"/>
  <c r="F59" i="5"/>
  <c r="E59" i="5"/>
  <c r="I58" i="5"/>
  <c r="H58" i="5"/>
  <c r="G58" i="5"/>
  <c r="F58" i="5"/>
  <c r="E58" i="5"/>
  <c r="I57" i="5"/>
  <c r="H57" i="5"/>
  <c r="G57" i="5"/>
  <c r="F57" i="5"/>
  <c r="E57" i="5"/>
  <c r="I56" i="5"/>
  <c r="H56" i="5"/>
  <c r="G56" i="5"/>
  <c r="F56" i="5"/>
  <c r="E56" i="5"/>
  <c r="I55" i="5"/>
  <c r="H55" i="5"/>
  <c r="G55" i="5"/>
  <c r="F55" i="5"/>
  <c r="E55" i="5"/>
  <c r="I54" i="5"/>
  <c r="H54" i="5"/>
  <c r="G54" i="5"/>
  <c r="F54" i="5"/>
  <c r="E54" i="5"/>
  <c r="I53" i="5"/>
  <c r="H53" i="5"/>
  <c r="G53" i="5"/>
  <c r="F53" i="5"/>
  <c r="E53" i="5"/>
  <c r="I52" i="5"/>
  <c r="H52" i="5"/>
  <c r="G52" i="5"/>
  <c r="F52" i="5"/>
  <c r="E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I48" i="5"/>
  <c r="H48" i="5"/>
  <c r="G48" i="5"/>
  <c r="F48" i="5"/>
  <c r="I47" i="5"/>
  <c r="H47" i="5"/>
  <c r="G47" i="5"/>
  <c r="F47" i="5"/>
  <c r="E47" i="5"/>
  <c r="I46" i="5"/>
  <c r="H46" i="5"/>
  <c r="G46" i="5"/>
  <c r="F46" i="5"/>
  <c r="E46" i="5"/>
  <c r="I45" i="5"/>
  <c r="H45" i="5"/>
  <c r="G45" i="5"/>
  <c r="F45" i="5"/>
  <c r="E45" i="5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I8" i="5"/>
  <c r="H8" i="5"/>
  <c r="G8" i="5"/>
  <c r="F8" i="5"/>
  <c r="E8" i="5"/>
  <c r="I6" i="5"/>
  <c r="H6" i="5"/>
  <c r="E6" i="5"/>
  <c r="F39" i="8"/>
  <c r="E39" i="8"/>
  <c r="F38" i="8"/>
  <c r="E38" i="8"/>
  <c r="F37" i="8"/>
  <c r="E37" i="8"/>
  <c r="F36" i="8"/>
  <c r="E36" i="8"/>
  <c r="F35" i="8"/>
  <c r="E35" i="8"/>
  <c r="F34" i="8"/>
  <c r="E34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39" i="7"/>
  <c r="E39" i="7"/>
  <c r="F38" i="7"/>
  <c r="E38" i="7"/>
  <c r="F37" i="7"/>
  <c r="E37" i="7"/>
  <c r="F36" i="7"/>
  <c r="E36" i="7"/>
  <c r="F35" i="7"/>
  <c r="E35" i="7"/>
  <c r="F34" i="7"/>
  <c r="E34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D158" i="3" l="1"/>
  <c r="D157" i="3"/>
  <c r="D156" i="3"/>
  <c r="D155" i="3"/>
  <c r="D152" i="3"/>
  <c r="D149" i="3"/>
  <c r="D148" i="3"/>
  <c r="D147" i="3"/>
  <c r="D146" i="3"/>
  <c r="D144" i="3"/>
  <c r="D141" i="3"/>
  <c r="D140" i="3"/>
  <c r="D139" i="3"/>
  <c r="D138" i="3"/>
  <c r="D134" i="3"/>
  <c r="D130" i="3"/>
  <c r="D127" i="3"/>
  <c r="D126" i="3"/>
  <c r="D125" i="3"/>
  <c r="D122" i="3"/>
  <c r="D119" i="3"/>
  <c r="D118" i="3"/>
  <c r="D116" i="3"/>
  <c r="D115" i="3"/>
  <c r="D114" i="3"/>
  <c r="D111" i="3"/>
  <c r="D107" i="3"/>
  <c r="D106" i="3"/>
  <c r="D105" i="3"/>
  <c r="D104" i="3"/>
  <c r="D103" i="3"/>
  <c r="D102" i="3"/>
  <c r="D98" i="3"/>
  <c r="D95" i="3"/>
  <c r="D94" i="3"/>
  <c r="D87" i="3"/>
  <c r="D85" i="3"/>
  <c r="D84" i="3"/>
  <c r="D83" i="3"/>
  <c r="D82" i="3"/>
  <c r="D81" i="3"/>
  <c r="D80" i="3"/>
  <c r="D79" i="3"/>
  <c r="D76" i="3"/>
  <c r="D73" i="3"/>
  <c r="D72" i="3"/>
  <c r="D69" i="3"/>
  <c r="D68" i="3"/>
  <c r="D67" i="3"/>
  <c r="D66" i="3"/>
  <c r="D65" i="3"/>
  <c r="D64" i="3"/>
  <c r="D63" i="3"/>
  <c r="D62" i="3"/>
  <c r="D61" i="3"/>
  <c r="D60" i="3"/>
  <c r="D59" i="3"/>
  <c r="D57" i="3"/>
  <c r="D56" i="3"/>
  <c r="D54" i="3"/>
  <c r="D53" i="3"/>
  <c r="D52" i="3"/>
  <c r="D51" i="3"/>
  <c r="D50" i="3"/>
  <c r="D48" i="3"/>
  <c r="D47" i="3"/>
  <c r="D44" i="3"/>
  <c r="D43" i="3"/>
  <c r="D42" i="3"/>
  <c r="D40" i="3"/>
  <c r="D38" i="3"/>
  <c r="D36" i="3"/>
  <c r="D33" i="3"/>
  <c r="D35" i="3"/>
  <c r="D29" i="3"/>
  <c r="D27" i="3"/>
  <c r="D26" i="3"/>
  <c r="D25" i="3"/>
  <c r="D24" i="3"/>
  <c r="D23" i="3"/>
  <c r="D21" i="3"/>
  <c r="D20" i="3"/>
  <c r="D19" i="3"/>
  <c r="D18" i="3"/>
  <c r="D16" i="3"/>
  <c r="D15" i="3"/>
  <c r="D14" i="3"/>
  <c r="D13" i="3"/>
  <c r="D12" i="3"/>
  <c r="D11" i="3"/>
  <c r="D10" i="3"/>
  <c r="D8" i="3"/>
  <c r="D7" i="3"/>
  <c r="D5" i="3"/>
  <c r="H135" i="2"/>
  <c r="G135" i="2"/>
  <c r="F135" i="2"/>
  <c r="E135" i="2"/>
  <c r="D135" i="2"/>
  <c r="H134" i="2"/>
  <c r="G134" i="2"/>
  <c r="F134" i="2"/>
  <c r="E134" i="2"/>
  <c r="D134" i="2"/>
  <c r="H133" i="2"/>
  <c r="G133" i="2"/>
  <c r="F133" i="2"/>
  <c r="E133" i="2"/>
  <c r="H132" i="2"/>
  <c r="G132" i="2"/>
  <c r="F132" i="2"/>
  <c r="E132" i="2"/>
  <c r="H131" i="2"/>
  <c r="G131" i="2"/>
  <c r="F131" i="2"/>
  <c r="E131" i="2"/>
  <c r="D131" i="2"/>
  <c r="H130" i="2"/>
  <c r="G130" i="2"/>
  <c r="F130" i="2"/>
  <c r="E130" i="2"/>
  <c r="D130" i="2"/>
  <c r="H129" i="2"/>
  <c r="G129" i="2"/>
  <c r="F129" i="2"/>
  <c r="E129" i="2"/>
  <c r="H128" i="2"/>
  <c r="G128" i="2"/>
  <c r="F128" i="2"/>
  <c r="E128" i="2"/>
  <c r="D128" i="2"/>
  <c r="H127" i="2"/>
  <c r="G127" i="2"/>
  <c r="F127" i="2"/>
  <c r="E127" i="2"/>
  <c r="D127" i="2"/>
  <c r="H126" i="2"/>
  <c r="G126" i="2"/>
  <c r="F126" i="2"/>
  <c r="E126" i="2"/>
  <c r="D126" i="2"/>
  <c r="H125" i="2"/>
  <c r="G125" i="2"/>
  <c r="F125" i="2"/>
  <c r="E125" i="2"/>
  <c r="D125" i="2"/>
  <c r="H124" i="2"/>
  <c r="G124" i="2"/>
  <c r="F124" i="2"/>
  <c r="E124" i="2"/>
  <c r="D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H120" i="2"/>
  <c r="G120" i="2"/>
  <c r="F120" i="2"/>
  <c r="E120" i="2"/>
  <c r="D120" i="2"/>
  <c r="H119" i="2"/>
  <c r="G119" i="2"/>
  <c r="F119" i="2"/>
  <c r="E119" i="2"/>
  <c r="H118" i="2"/>
  <c r="G118" i="2"/>
  <c r="F118" i="2"/>
  <c r="E118" i="2"/>
  <c r="D118" i="2"/>
  <c r="H117" i="2"/>
  <c r="G117" i="2"/>
  <c r="F117" i="2"/>
  <c r="E117" i="2"/>
  <c r="D117" i="2"/>
  <c r="H116" i="2"/>
  <c r="G116" i="2"/>
  <c r="F116" i="2"/>
  <c r="E116" i="2"/>
  <c r="H115" i="2"/>
  <c r="G115" i="2"/>
  <c r="F115" i="2"/>
  <c r="E115" i="2"/>
  <c r="D115" i="2"/>
  <c r="H114" i="2"/>
  <c r="G114" i="2"/>
  <c r="F114" i="2"/>
  <c r="E114" i="2"/>
  <c r="D114" i="2"/>
  <c r="H113" i="2"/>
  <c r="G113" i="2"/>
  <c r="F113" i="2"/>
  <c r="E113" i="2"/>
  <c r="D113" i="2"/>
  <c r="H112" i="2"/>
  <c r="G112" i="2"/>
  <c r="F112" i="2"/>
  <c r="E112" i="2"/>
  <c r="H111" i="2"/>
  <c r="G111" i="2"/>
  <c r="F111" i="2"/>
  <c r="E111" i="2"/>
  <c r="D111" i="2"/>
  <c r="H110" i="2"/>
  <c r="G110" i="2"/>
  <c r="F110" i="2"/>
  <c r="E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H106" i="2"/>
  <c r="G106" i="2"/>
  <c r="F106" i="2"/>
  <c r="E106" i="2"/>
  <c r="D106" i="2"/>
  <c r="H105" i="2"/>
  <c r="G105" i="2"/>
  <c r="F105" i="2"/>
  <c r="E105" i="2"/>
  <c r="H104" i="2"/>
  <c r="G104" i="2"/>
  <c r="F104" i="2"/>
  <c r="E104" i="2"/>
  <c r="D104" i="2"/>
  <c r="H103" i="2"/>
  <c r="G103" i="2"/>
  <c r="F103" i="2"/>
  <c r="E103" i="2"/>
  <c r="D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D97" i="2"/>
  <c r="H96" i="2"/>
  <c r="G96" i="2"/>
  <c r="F96" i="2"/>
  <c r="E96" i="2"/>
  <c r="H95" i="2"/>
  <c r="G95" i="2"/>
  <c r="F95" i="2"/>
  <c r="E95" i="2"/>
  <c r="D95" i="2"/>
  <c r="H94" i="2"/>
  <c r="G94" i="2"/>
  <c r="F94" i="2"/>
  <c r="E94" i="2"/>
  <c r="D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H40" i="2"/>
  <c r="G40" i="2"/>
  <c r="F40" i="2"/>
  <c r="E40" i="2"/>
  <c r="D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5" i="2"/>
  <c r="G35" i="2"/>
  <c r="F35" i="2"/>
  <c r="E35" i="2"/>
  <c r="D35" i="2"/>
  <c r="H34" i="2"/>
  <c r="G34" i="2"/>
  <c r="F34" i="2"/>
  <c r="E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118" i="1" l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H115" i="1"/>
  <c r="G115" i="1"/>
  <c r="F115" i="1"/>
  <c r="E115" i="1"/>
  <c r="D115" i="1"/>
  <c r="H114" i="1"/>
  <c r="G114" i="1"/>
  <c r="F114" i="1"/>
  <c r="E114" i="1"/>
  <c r="H113" i="1"/>
  <c r="G113" i="1"/>
  <c r="F113" i="1"/>
  <c r="E113" i="1"/>
  <c r="D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H97" i="1"/>
  <c r="G97" i="1"/>
  <c r="F97" i="1"/>
  <c r="E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H92" i="1"/>
  <c r="G92" i="1"/>
  <c r="F92" i="1"/>
  <c r="E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H77" i="1"/>
  <c r="G77" i="1"/>
  <c r="F77" i="1"/>
  <c r="E77" i="1"/>
  <c r="D77" i="1"/>
  <c r="H76" i="1"/>
  <c r="G76" i="1"/>
  <c r="F76" i="1"/>
  <c r="E76" i="1"/>
  <c r="H75" i="1"/>
  <c r="G75" i="1"/>
  <c r="F75" i="1"/>
  <c r="E75" i="1"/>
  <c r="D75" i="1"/>
  <c r="H74" i="1"/>
  <c r="G74" i="1"/>
  <c r="F74" i="1"/>
  <c r="E74" i="1"/>
  <c r="H73" i="1"/>
  <c r="G73" i="1"/>
  <c r="F73" i="1"/>
  <c r="E73" i="1"/>
  <c r="D73" i="1"/>
  <c r="H72" i="1"/>
  <c r="G72" i="1"/>
  <c r="F72" i="1"/>
  <c r="E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H66" i="1"/>
  <c r="G66" i="1"/>
  <c r="F66" i="1"/>
  <c r="E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H60" i="1"/>
  <c r="G60" i="1"/>
  <c r="F60" i="1"/>
  <c r="E60" i="1"/>
  <c r="D60" i="1"/>
  <c r="H59" i="1"/>
  <c r="G59" i="1"/>
  <c r="F59" i="1"/>
  <c r="E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H41" i="1"/>
  <c r="G41" i="1"/>
  <c r="F41" i="1"/>
  <c r="E41" i="1"/>
  <c r="D41" i="1"/>
  <c r="H40" i="1"/>
  <c r="G40" i="1"/>
  <c r="F40" i="1"/>
  <c r="E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5" i="1"/>
  <c r="G5" i="1"/>
  <c r="D5" i="1"/>
</calcChain>
</file>

<file path=xl/sharedStrings.xml><?xml version="1.0" encoding="utf-8"?>
<sst xmlns="http://schemas.openxmlformats.org/spreadsheetml/2006/main" count="1112" uniqueCount="406">
  <si>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</si>
  <si>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</si>
  <si>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</si>
  <si>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</si>
  <si>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</si>
  <si>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</si>
  <si>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</si>
  <si>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</si>
  <si>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</si>
  <si>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</si>
  <si>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</si>
  <si>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</si>
  <si>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</si>
  <si>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</si>
  <si>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</si>
  <si>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</si>
  <si>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¹ În preţuri curente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</si>
  <si>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</si>
  <si>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</si>
  <si>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</si>
  <si>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</si>
  <si>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</si>
  <si>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</si>
  <si>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</si>
  <si>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</si>
  <si>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</si>
  <si>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</si>
  <si>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</si>
  <si>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</si>
  <si>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</si>
  <si>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</si>
  <si>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</si>
  <si>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</si>
  <si>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</si>
  <si>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</si>
  <si>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</si>
  <si>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</si>
  <si>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</si>
  <si>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</si>
  <si>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</si>
  <si>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</si>
  <si>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</si>
  <si>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</si>
  <si>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</si>
  <si>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</si>
  <si>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</si>
  <si>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</si>
  <si>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</si>
  <si>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</si>
  <si>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</si>
  <si>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</si>
  <si>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</si>
  <si>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</si>
  <si>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</si>
  <si>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</si>
  <si>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Israel</t>
  </si>
  <si>
    <t>Egipt</t>
  </si>
  <si>
    <t>Myanmar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</si>
  <si>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</si>
  <si>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</si>
  <si>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</si>
  <si>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</si>
  <si>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</si>
  <si>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</si>
  <si>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</si>
  <si>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</si>
  <si>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</si>
  <si>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</si>
  <si>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</si>
  <si>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</si>
  <si>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</si>
  <si>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</si>
  <si>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</si>
  <si>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</si>
  <si>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</si>
  <si>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</si>
  <si>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</si>
  <si>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</si>
  <si>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</si>
  <si>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</si>
  <si>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</si>
  <si>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</si>
  <si>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</si>
  <si>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</si>
  <si>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Mongolia</t>
  </si>
  <si>
    <t>Peru</t>
  </si>
  <si>
    <t>Kenya</t>
  </si>
  <si>
    <t>EXPORT - total</t>
  </si>
  <si>
    <t>Oman</t>
  </si>
  <si>
    <t>Albania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</si>
  <si>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</si>
  <si>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</si>
  <si>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</si>
  <si>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</si>
  <si>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</si>
  <si>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</si>
  <si>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</si>
  <si>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</si>
  <si>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</si>
  <si>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IMPORT - total</t>
  </si>
  <si>
    <t>Etiopia</t>
  </si>
  <si>
    <t>Bahrain</t>
  </si>
  <si>
    <t xml:space="preserve">   din care:</t>
  </si>
  <si>
    <t>Macedonia de Nord</t>
  </si>
  <si>
    <t>Cote D'Ivoire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</si>
  <si>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</si>
  <si>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</si>
  <si>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</si>
  <si>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</si>
  <si>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</si>
  <si>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</si>
  <si>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</si>
  <si>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</si>
  <si>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</si>
  <si>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</si>
  <si>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</si>
  <si>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</si>
  <si>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</si>
  <si>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</si>
  <si>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</si>
  <si>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</si>
  <si>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</si>
  <si>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</si>
  <si>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</si>
  <si>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</si>
  <si>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</si>
  <si>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</si>
  <si>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</si>
  <si>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</si>
  <si>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</si>
  <si>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</si>
  <si>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</si>
  <si>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</si>
  <si>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</si>
  <si>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</si>
  <si>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</si>
  <si>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</si>
  <si>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</si>
  <si>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</si>
  <si>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</si>
  <si>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</si>
  <si>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</si>
  <si>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</si>
  <si>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</si>
  <si>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</si>
  <si>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</si>
  <si>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</si>
  <si>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</si>
  <si>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</si>
  <si>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</si>
  <si>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</si>
  <si>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</si>
  <si>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</si>
  <si>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</si>
  <si>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</si>
  <si>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</si>
  <si>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</si>
  <si>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</si>
  <si>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</si>
  <si>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</si>
  <si>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</si>
  <si>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</si>
  <si>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</si>
  <si>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</si>
  <si>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</si>
  <si>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</si>
  <si>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</si>
  <si>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</si>
  <si>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</si>
  <si>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</si>
  <si>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</si>
  <si>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</si>
  <si>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</si>
  <si>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</si>
  <si>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</si>
  <si>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</si>
  <si>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</si>
  <si>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</si>
  <si>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</si>
  <si>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</si>
  <si>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</si>
  <si>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</si>
  <si>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</si>
  <si>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</si>
  <si>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</si>
  <si>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</si>
  <si>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</si>
  <si>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</si>
  <si>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</si>
  <si>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</si>
  <si>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</si>
  <si>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</si>
  <si>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</si>
  <si>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</si>
  <si>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</si>
  <si>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</si>
  <si>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</si>
  <si>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</si>
  <si>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</si>
  <si>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</si>
  <si>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</si>
  <si>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</si>
  <si>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</si>
  <si>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</si>
  <si>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</si>
  <si>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</si>
  <si>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</si>
  <si>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</si>
  <si>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</si>
  <si>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</si>
  <si>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</si>
  <si>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</si>
  <si>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</si>
  <si>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</si>
  <si>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</si>
  <si>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</si>
  <si>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</si>
  <si>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</si>
  <si>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</si>
  <si>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</si>
  <si>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</si>
  <si>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</si>
  <si>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</si>
  <si>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</si>
  <si>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</si>
  <si>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</si>
  <si>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</si>
  <si>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</si>
  <si>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</si>
  <si>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</si>
  <si>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</si>
  <si>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</si>
  <si>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</si>
  <si>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</si>
  <si>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</si>
  <si>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</si>
  <si>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</si>
  <si>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</si>
  <si>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</si>
  <si>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</si>
  <si>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</si>
  <si>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</si>
  <si>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</si>
  <si>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</si>
  <si>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</si>
  <si>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</si>
  <si>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</si>
  <si>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</si>
  <si>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</si>
  <si>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</si>
  <si>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</si>
  <si>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</si>
  <si>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</si>
  <si>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</si>
  <si>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</si>
  <si>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</si>
  <si>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</si>
  <si>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Celelalte țări ale lumii</t>
  </si>
  <si>
    <t>Malawi</t>
  </si>
  <si>
    <t>Franța</t>
  </si>
  <si>
    <t>Croația</t>
  </si>
  <si>
    <t>Federația Rusă</t>
  </si>
  <si>
    <t>Cehia</t>
  </si>
  <si>
    <t>Kârgâzstan</t>
  </si>
  <si>
    <t>Taiwan, provincie a Chinei</t>
  </si>
  <si>
    <t>Burkina Faso</t>
  </si>
  <si>
    <t>Regatul Țărilor de Jos (Netherlands)</t>
  </si>
  <si>
    <t>Țările Uniunii Europene - total</t>
  </si>
  <si>
    <t>Gaz și produse industriale obținute din gaz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</si>
  <si>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</si>
  <si>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</si>
  <si>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</si>
  <si>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</si>
  <si>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</si>
  <si>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</si>
  <si>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Uganda</t>
  </si>
  <si>
    <t>Nepal</t>
  </si>
  <si>
    <t>Instrumente şi aparate, profesionale, ştiinţifice şi de control</t>
  </si>
  <si>
    <t>Algeria</t>
  </si>
  <si>
    <t>Kuwait</t>
  </si>
  <si>
    <t>Togo</t>
  </si>
  <si>
    <t>Coreea de Nord</t>
  </si>
  <si>
    <t>Mauritania</t>
  </si>
  <si>
    <t>Nicaragua</t>
  </si>
  <si>
    <t>Liechtenstein</t>
  </si>
  <si>
    <t>Libia</t>
  </si>
  <si>
    <t>Sudan</t>
  </si>
  <si>
    <t>Muntenegru</t>
  </si>
  <si>
    <t>Belize</t>
  </si>
  <si>
    <t>Venezuela</t>
  </si>
  <si>
    <t>San Marino</t>
  </si>
  <si>
    <t>Mauritius</t>
  </si>
  <si>
    <t>Guatemala</t>
  </si>
  <si>
    <t>Laos</t>
  </si>
  <si>
    <t>Yemen</t>
  </si>
  <si>
    <t>Haiti</t>
  </si>
  <si>
    <t>Sierra Leone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</si>
  <si>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</si>
  <si>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</si>
  <si>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</si>
  <si>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</si>
  <si>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</si>
  <si>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</si>
  <si>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</si>
  <si>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</si>
  <si>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</si>
  <si>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</si>
  <si>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</si>
  <si>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</si>
  <si>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</si>
  <si>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</si>
  <si>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</si>
  <si>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>Regatul Unit al Marii Britanii și Irlandei de Nord</t>
  </si>
  <si>
    <t>Elveția</t>
  </si>
  <si>
    <t>Mozambic</t>
  </si>
  <si>
    <t>Palau</t>
  </si>
  <si>
    <t>Bosnia și Herțegovina</t>
  </si>
  <si>
    <t>Senegal</t>
  </si>
  <si>
    <t>Barbados</t>
  </si>
  <si>
    <t>Eswatini</t>
  </si>
  <si>
    <t>Trinidad și Tobago</t>
  </si>
  <si>
    <t>Mărfuri manufacturate, clasificate mai ales după materia primă</t>
  </si>
  <si>
    <r>
      <t xml:space="preserve"> </t>
    </r>
    <r>
      <rPr>
        <sz val="9"/>
        <rFont val="Arial"/>
        <family val="2"/>
        <charset val="204"/>
      </rPr>
      <t xml:space="preserve">  din care:</t>
    </r>
  </si>
  <si>
    <t>Mărfuri manufacturate, clasificate iulie ales după materia primă</t>
  </si>
  <si>
    <t>Uruguay</t>
  </si>
  <si>
    <t xml:space="preserve">     din care:</t>
  </si>
  <si>
    <t>de 1,7 ori</t>
  </si>
  <si>
    <t>de 1,9 ori</t>
  </si>
  <si>
    <t>de 3,6 ori</t>
  </si>
  <si>
    <t>de 1,8 ori</t>
  </si>
  <si>
    <t>de 2,1 ori</t>
  </si>
  <si>
    <t>de 2,9 ori</t>
  </si>
  <si>
    <t>de 2,2 ori</t>
  </si>
  <si>
    <t>de 3,2 ori</t>
  </si>
  <si>
    <t>de 2,0 ori</t>
  </si>
  <si>
    <t>de 3,5 ori</t>
  </si>
  <si>
    <t>de 1,6 ori</t>
  </si>
  <si>
    <t>de 3,4 ori</t>
  </si>
  <si>
    <t>x</t>
  </si>
  <si>
    <t>Valoarea, mii dolari SUA</t>
  </si>
  <si>
    <t>BALANŢA COMERCIALĂ - total</t>
  </si>
  <si>
    <t>Djibouti</t>
  </si>
  <si>
    <t>de 21,1 ori</t>
  </si>
  <si>
    <t>Dominica</t>
  </si>
  <si>
    <t>de 5,8 ori</t>
  </si>
  <si>
    <t>de 4,1 ori</t>
  </si>
  <si>
    <t>Piei crude, piei tăbăcite și blănuri brute</t>
  </si>
  <si>
    <t>de 6,3 ori</t>
  </si>
  <si>
    <t>Panama</t>
  </si>
  <si>
    <t>Madagascar</t>
  </si>
  <si>
    <t>de 3,0 ori</t>
  </si>
  <si>
    <t>de 6,1 ori</t>
  </si>
  <si>
    <t>de 5,0 ori</t>
  </si>
  <si>
    <t>de 4,6 ori</t>
  </si>
  <si>
    <t>Mexico</t>
  </si>
  <si>
    <t>Malaesia</t>
  </si>
  <si>
    <r>
      <t>2023                           în % față de                              2022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</si>
  <si>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2022 </t>
    </r>
    <r>
      <rPr>
        <b/>
        <vertAlign val="superscript"/>
        <sz val="9"/>
        <rFont val="Arial"/>
        <family val="2"/>
        <charset val="204"/>
      </rPr>
      <t>1,2</t>
    </r>
  </si>
  <si>
    <r>
      <t>2022</t>
    </r>
    <r>
      <rPr>
        <b/>
        <vertAlign val="superscript"/>
        <sz val="9"/>
        <rFont val="Arial"/>
        <family val="2"/>
        <charset val="204"/>
      </rPr>
      <t xml:space="preserve"> 1,2</t>
    </r>
  </si>
  <si>
    <r>
      <t xml:space="preserve">2023 </t>
    </r>
    <r>
      <rPr>
        <b/>
        <vertAlign val="superscript"/>
        <sz val="9"/>
        <rFont val="Arial"/>
        <family val="2"/>
        <charset val="204"/>
      </rPr>
      <t>1,2</t>
    </r>
  </si>
  <si>
    <r>
      <t xml:space="preserve"> 2023
în % faţă de           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</si>
  <si>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 xml:space="preserve"> 2023                             în % față de                              2022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</si>
  <si>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 2023                           în % față de                              2022</t>
    </r>
    <r>
      <rPr>
        <b/>
        <vertAlign val="superscript"/>
        <sz val="9"/>
        <rFont val="Arial"/>
        <family val="2"/>
        <charset val="204"/>
      </rPr>
      <t>1</t>
    </r>
  </si>
  <si>
    <r>
      <t>2023                     în % față de                              2022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</si>
  <si>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 2023
în % faţă de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</si>
  <si>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t>Republica Arabă Siriana</t>
  </si>
  <si>
    <t>de 2,6 ori</t>
  </si>
  <si>
    <t>de 19,6 ori</t>
  </si>
  <si>
    <t>de 27,5 ori</t>
  </si>
  <si>
    <t>de 20,4 ori</t>
  </si>
  <si>
    <t>de 35,5 ori</t>
  </si>
  <si>
    <t>de 21,7 ori</t>
  </si>
  <si>
    <t>de 96,0 ori</t>
  </si>
  <si>
    <t>Andorra</t>
  </si>
  <si>
    <t>Honduras</t>
  </si>
  <si>
    <t>Tanzania, Republica Unită</t>
  </si>
  <si>
    <t>de 4,5 ori</t>
  </si>
  <si>
    <t>de 4,7 ori</t>
  </si>
  <si>
    <t>de 44,2 ori</t>
  </si>
  <si>
    <t>de 29,1 ori</t>
  </si>
  <si>
    <t>de 29,0 ori</t>
  </si>
  <si>
    <t>de 10,3 ori</t>
  </si>
  <si>
    <t>de 1149,5 ori</t>
  </si>
  <si>
    <t>de 42,9 ori</t>
  </si>
  <si>
    <t>de 40,3 ori</t>
  </si>
  <si>
    <t>Insulele Falkland (Malvine)</t>
  </si>
  <si>
    <t>Rwanda</t>
  </si>
  <si>
    <t>de 11,3 ori</t>
  </si>
  <si>
    <t>de 4,8 ori</t>
  </si>
  <si>
    <t>de 17,2 ori</t>
  </si>
  <si>
    <t>de 2,5 ori</t>
  </si>
  <si>
    <t>de 85,0 ori</t>
  </si>
  <si>
    <t>de 11,9 ori</t>
  </si>
  <si>
    <t>de 7,8 ori</t>
  </si>
  <si>
    <t>de 297,6 ori</t>
  </si>
  <si>
    <t>de 886,0 ori</t>
  </si>
  <si>
    <t>de 17,0 ori</t>
  </si>
  <si>
    <t>de 3,9 ori</t>
  </si>
  <si>
    <t>de 30,8 ori</t>
  </si>
  <si>
    <t>Indonezia</t>
  </si>
  <si>
    <t>Insulele Feroe</t>
  </si>
  <si>
    <t>Mărfuri produse în UE, la care țara de origine nu poate fi identificată</t>
  </si>
  <si>
    <t>Sri Lanka</t>
  </si>
  <si>
    <t xml:space="preserve">Mărfuri produse în UE, la care țara de origine nu poate fi identificată </t>
  </si>
  <si>
    <t xml:space="preserve">IMPORT - total      </t>
  </si>
  <si>
    <t>BALANŢA COMERCIALĂ –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</si>
</sst>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_ ;[Red]\-#,##0.00\ "/>
  </numFmts>
  <fonts count="38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4" fontId="1" fillId="0" borderId="0" xfId="0" applyNumberFormat="1" applyFont="1"/>
    <xf numFmtId="0" fontId="30" fillId="0" borderId="0" xfId="0" applyFont="1"/>
    <xf numFmtId="0" fontId="22" fillId="0" borderId="0" xfId="0" applyFont="1" applyAlignment="1">
      <alignment vertical="top" wrapTex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4" fillId="0" borderId="0" xfId="0" applyFont="1"/>
    <xf numFmtId="4" fontId="18" fillId="0" borderId="0" xfId="0" applyNumberFormat="1" applyFont="1" applyAlignment="1">
      <alignment horizontal="right" vertical="top" wrapText="1" indent="1"/>
    </xf>
    <xf numFmtId="4" fontId="17" fillId="0" borderId="0" xfId="0" applyNumberFormat="1" applyFont="1" applyAlignment="1">
      <alignment horizontal="right" vertical="top" wrapText="1" indent="1"/>
    </xf>
    <xf numFmtId="4" fontId="21" fillId="0" borderId="0" xfId="0" applyNumberFormat="1" applyFont="1" applyAlignment="1">
      <alignment horizontal="right" vertical="top" indent="1"/>
    </xf>
    <xf numFmtId="4" fontId="18" fillId="0" borderId="3" xfId="0" applyNumberFormat="1" applyFont="1" applyBorder="1" applyAlignment="1">
      <alignment horizontal="right" vertical="top" indent="1"/>
    </xf>
    <xf numFmtId="4" fontId="29" fillId="0" borderId="0" xfId="0" applyNumberFormat="1" applyFont="1" applyAlignment="1">
      <alignment horizontal="right" vertical="top" indent="1"/>
    </xf>
    <xf numFmtId="0" fontId="13" fillId="0" borderId="0" xfId="0" applyFont="1" applyAlignment="1">
      <alignment horizontal="right" vertical="top" indent="1"/>
    </xf>
    <xf numFmtId="4" fontId="14" fillId="0" borderId="0" xfId="0" applyNumberFormat="1" applyFont="1" applyAlignment="1">
      <alignment horizontal="right" vertical="top" indent="1"/>
    </xf>
    <xf numFmtId="4" fontId="20" fillId="0" borderId="0" xfId="0" applyNumberFormat="1" applyFont="1" applyAlignment="1">
      <alignment horizontal="right" vertical="top" wrapText="1" indent="1"/>
    </xf>
    <xf numFmtId="4" fontId="34" fillId="0" borderId="0" xfId="0" applyNumberFormat="1" applyFont="1" applyAlignment="1">
      <alignment horizontal="right" vertical="top" indent="1"/>
    </xf>
    <xf numFmtId="4" fontId="12" fillId="0" borderId="5" xfId="0" applyNumberFormat="1" applyFont="1" applyBorder="1" applyAlignment="1">
      <alignment horizontal="right" vertical="top" wrapText="1" indent="1"/>
    </xf>
    <xf numFmtId="4" fontId="12" fillId="0" borderId="5" xfId="0" applyNumberFormat="1" applyFont="1" applyBorder="1" applyAlignment="1">
      <alignment horizontal="right" vertical="top" indent="1"/>
    </xf>
    <xf numFmtId="4" fontId="12" fillId="0" borderId="0" xfId="0" applyNumberFormat="1" applyFont="1" applyAlignment="1">
      <alignment horizontal="right" vertical="top" indent="1"/>
    </xf>
    <xf numFmtId="165" fontId="1" fillId="0" borderId="0" xfId="0" applyNumberFormat="1" applyFont="1"/>
    <xf numFmtId="4" fontId="37" fillId="0" borderId="0" xfId="0" applyNumberFormat="1" applyFont="1" applyAlignment="1">
      <alignment horizontal="right" vertical="top" indent="1"/>
    </xf>
    <xf numFmtId="0" fontId="12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 indent="1"/>
    </xf>
    <xf numFmtId="38" fontId="18" fillId="0" borderId="0" xfId="0" applyNumberFormat="1" applyFont="1" applyAlignment="1">
      <alignment horizontal="left" vertical="top" wrapText="1" indent="1"/>
    </xf>
    <xf numFmtId="4" fontId="20" fillId="0" borderId="0" xfId="0" applyNumberFormat="1" applyFont="1" applyAlignment="1">
      <alignment horizontal="right" vertical="top" indent="1"/>
    </xf>
    <xf numFmtId="4" fontId="21" fillId="0" borderId="3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0" fontId="18" fillId="0" borderId="0" xfId="0" applyFont="1" applyAlignment="1">
      <alignment horizontal="left" vertical="top" wrapText="1" indent="1"/>
    </xf>
    <xf numFmtId="38" fontId="18" fillId="0" borderId="3" xfId="0" applyNumberFormat="1" applyFont="1" applyBorder="1" applyAlignment="1">
      <alignment horizontal="left" vertical="top" wrapText="1" indent="1"/>
    </xf>
    <xf numFmtId="4" fontId="18" fillId="0" borderId="3" xfId="0" applyNumberFormat="1" applyFont="1" applyBorder="1" applyAlignment="1">
      <alignment horizontal="right" vertical="top" wrapText="1" indent="1"/>
    </xf>
    <xf numFmtId="0" fontId="12" fillId="0" borderId="0" xfId="0" applyFont="1" applyAlignment="1">
      <alignment horizontal="left" vertical="top" wrapText="1" indent="1"/>
    </xf>
    <xf numFmtId="0" fontId="18" fillId="0" borderId="3" xfId="0" applyFont="1" applyBorder="1" applyAlignment="1">
      <alignment horizontal="left" vertical="top" wrapText="1" indent="1"/>
    </xf>
    <xf numFmtId="2" fontId="21" fillId="0" borderId="0" xfId="0" applyNumberFormat="1" applyFont="1" applyAlignment="1">
      <alignment horizontal="left" vertical="top" wrapText="1" indent="1"/>
    </xf>
    <xf numFmtId="4" fontId="17" fillId="0" borderId="3" xfId="0" applyNumberFormat="1" applyFont="1" applyBorder="1" applyAlignment="1">
      <alignment horizontal="right" vertical="top" wrapText="1" indent="1"/>
    </xf>
    <xf numFmtId="4" fontId="30" fillId="0" borderId="0" xfId="0" applyNumberFormat="1" applyFont="1" applyAlignment="1">
      <alignment horizontal="right" vertical="top"/>
    </xf>
    <xf numFmtId="4" fontId="30" fillId="0" borderId="0" xfId="0" applyNumberFormat="1" applyFont="1" applyAlignment="1">
      <alignment horizontal="right" vertical="top" indent="1"/>
    </xf>
    <xf numFmtId="0" fontId="21" fillId="0" borderId="0" xfId="0" applyFont="1" applyAlignment="1">
      <alignment horizontal="left" vertical="top" wrapText="1" indent="1"/>
    </xf>
    <xf numFmtId="0" fontId="21" fillId="0" borderId="3" xfId="0" applyFont="1" applyBorder="1" applyAlignment="1">
      <alignment horizontal="left" vertical="top" wrapText="1" indent="1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21"/>
  <sheetViews>
    <sheetView tabSelected="1" zoomScaleNormal="100" workbookViewId="0">
      <selection sqref="A1:H1"/>
    </sheetView>
  </sheetViews>
  <sheetFormatPr defaultRowHeight="15.75" x14ac:dyDescent="0.25"/>
  <cols>
    <col min="1" max="1" width="37" style="15" customWidth="1"/>
    <col min="2" max="3" width="14.25" style="15" customWidth="1"/>
    <col min="4" max="4" width="10.5" style="15" customWidth="1"/>
    <col min="5" max="5" width="10.75" style="15" customWidth="1"/>
    <col min="6" max="6" width="10.875" style="15" customWidth="1"/>
    <col min="7" max="7" width="11.375" style="15" customWidth="1"/>
    <col min="8" max="8" width="10.625" style="15" customWidth="1"/>
    <col min="10" max="10" width="8.875" customWidth="1"/>
  </cols>
  <sheetData>
    <row r="1" spans="1:10" x14ac:dyDescent="0.25">
      <c r="A1" s="74" t="s">
        <v>298</v>
      </c>
      <c r="B1" s="74"/>
      <c r="C1" s="74"/>
      <c r="D1" s="74"/>
      <c r="E1" s="74"/>
      <c r="F1" s="74"/>
      <c r="G1" s="74"/>
      <c r="H1" s="74"/>
    </row>
    <row r="2" spans="1:10" x14ac:dyDescent="0.25">
      <c r="A2" s="81"/>
      <c r="B2" s="81"/>
      <c r="C2" s="81"/>
      <c r="D2" s="81"/>
      <c r="E2" s="81"/>
      <c r="F2" s="81"/>
      <c r="G2" s="81"/>
      <c r="H2" s="81"/>
    </row>
    <row r="3" spans="1:10" ht="51" customHeight="1" x14ac:dyDescent="0.25">
      <c r="A3" s="75"/>
      <c r="B3" s="77" t="s">
        <v>339</v>
      </c>
      <c r="C3" s="84"/>
      <c r="D3" s="82" t="s">
        <v>356</v>
      </c>
      <c r="E3" s="77" t="s">
        <v>91</v>
      </c>
      <c r="F3" s="78"/>
      <c r="G3" s="79" t="s">
        <v>308</v>
      </c>
      <c r="H3" s="80"/>
    </row>
    <row r="4" spans="1:10" ht="21.75" customHeight="1" x14ac:dyDescent="0.25">
      <c r="A4" s="76"/>
      <c r="B4" s="13">
        <v>2022</v>
      </c>
      <c r="C4" s="13">
        <v>2023</v>
      </c>
      <c r="D4" s="83"/>
      <c r="E4" s="13">
        <v>2022</v>
      </c>
      <c r="F4" s="13">
        <v>2023</v>
      </c>
      <c r="G4" s="13" t="s">
        <v>358</v>
      </c>
      <c r="H4" s="12" t="s">
        <v>359</v>
      </c>
    </row>
    <row r="5" spans="1:10" s="16" customFormat="1" ht="15.75" customHeight="1" x14ac:dyDescent="0.2">
      <c r="A5" s="62" t="s">
        <v>87</v>
      </c>
      <c r="B5" s="52">
        <v>4332145.1178099997</v>
      </c>
      <c r="C5" s="52">
        <v>4048616.5172000001</v>
      </c>
      <c r="D5" s="53">
        <f>IF(4332145.11781="","-",4048616.5172/4332145.11781*100)</f>
        <v>93.455237696346387</v>
      </c>
      <c r="E5" s="53">
        <v>100</v>
      </c>
      <c r="F5" s="53">
        <v>100</v>
      </c>
      <c r="G5" s="53">
        <f>IF(3144504.53867="","-",(4332145.11781-3144504.53867)/3144504.53867*100)</f>
        <v>37.768766574664383</v>
      </c>
      <c r="H5" s="53">
        <f>IF(4332145.11781="","-",(4048616.5172-4332145.11781)/4332145.11781*100)</f>
        <v>-6.5447623036536218</v>
      </c>
      <c r="I5" s="24"/>
    </row>
    <row r="6" spans="1:10" ht="13.5" customHeight="1" x14ac:dyDescent="0.25">
      <c r="A6" s="63" t="s">
        <v>102</v>
      </c>
      <c r="B6" s="43"/>
      <c r="C6" s="43"/>
      <c r="D6" s="60"/>
      <c r="E6" s="60"/>
      <c r="F6" s="60"/>
      <c r="G6" s="60"/>
      <c r="H6" s="60"/>
    </row>
    <row r="7" spans="1:10" x14ac:dyDescent="0.25">
      <c r="A7" s="58" t="s">
        <v>109</v>
      </c>
      <c r="B7" s="44">
        <v>2537508.5123399999</v>
      </c>
      <c r="C7" s="19">
        <v>2646779.0956100002</v>
      </c>
      <c r="D7" s="19">
        <f>IF(2537508.51234="","-",2646779.09561/2537508.51234*100)</f>
        <v>104.30621543685916</v>
      </c>
      <c r="E7" s="19">
        <f>IF(2537508.51234="","-",2537508.51234/4332145.11781*100)</f>
        <v>58.573949933209292</v>
      </c>
      <c r="F7" s="19">
        <f>IF(2646779.09561="","-",2646779.09561/4048616.5172*100)</f>
        <v>65.374902373823673</v>
      </c>
      <c r="G7" s="19">
        <f>IF(3144504.53867="","-",(2537508.51234-1919531.97341)/3144504.53867*100)</f>
        <v>19.652588550289682</v>
      </c>
      <c r="H7" s="19">
        <f>IF(4332145.11781="","-",(2646779.09561-2537508.51234)/4332145.11781*100)</f>
        <v>2.5223204740020142</v>
      </c>
      <c r="J7" s="7"/>
    </row>
    <row r="8" spans="1:10" x14ac:dyDescent="0.25">
      <c r="A8" s="59" t="s">
        <v>0</v>
      </c>
      <c r="B8" s="43">
        <v>1240798.375</v>
      </c>
      <c r="C8" s="20">
        <v>1420814.9273300001</v>
      </c>
      <c r="D8" s="20">
        <f>IF(OR(1240798.375="",1420814.92733=""),"-",1420814.92733/1240798.375*100)</f>
        <v>114.5081228309958</v>
      </c>
      <c r="E8" s="20">
        <f>IF(1240798.375="","-",1240798.375/4332145.11781*100)</f>
        <v>28.641662300252129</v>
      </c>
      <c r="F8" s="20">
        <f>IF(1420814.92733="","-",1420814.92733/4048616.5172*100)</f>
        <v>35.093838136900843</v>
      </c>
      <c r="G8" s="20">
        <f>IF(OR(3144504.53867="",833476.92972="",1240798.375=""),"-",(1240798.375-833476.92972)/3144504.53867*100)</f>
        <v>12.953437982706195</v>
      </c>
      <c r="H8" s="20">
        <f>IF(OR(4332145.11781="",1420814.92733="",1240798.375=""),"-",(1420814.92733-1240798.375)/4332145.11781*100)</f>
        <v>4.1553675473596012</v>
      </c>
    </row>
    <row r="9" spans="1:10" x14ac:dyDescent="0.25">
      <c r="A9" s="59" t="s">
        <v>1</v>
      </c>
      <c r="B9" s="43">
        <v>331143.47353000002</v>
      </c>
      <c r="C9" s="20">
        <v>260020.65744000001</v>
      </c>
      <c r="D9" s="20">
        <f>IF(OR(331143.47353="",260020.65744=""),"-",260020.65744/331143.47353*100)</f>
        <v>78.522054101858473</v>
      </c>
      <c r="E9" s="20">
        <f>IF(331143.47353="","-",331143.47353/4332145.11781*100)</f>
        <v>7.6438684421864602</v>
      </c>
      <c r="F9" s="20">
        <f>IF(260020.65744="","-",260020.65744/4048616.5172*100)</f>
        <v>6.4224570624394133</v>
      </c>
      <c r="G9" s="20">
        <f>IF(OR(3144504.53867="",240059.08368="",331143.47353=""),"-",(331143.47353-240059.08368)/3144504.53867*100)</f>
        <v>2.8966213509911185</v>
      </c>
      <c r="H9" s="20">
        <f>IF(OR(4332145.11781="",260020.65744="",331143.47353=""),"-",(260020.65744-331143.47353)/4332145.11781*100)</f>
        <v>-1.6417459285379212</v>
      </c>
    </row>
    <row r="10" spans="1:10" x14ac:dyDescent="0.25">
      <c r="A10" s="59" t="s">
        <v>2</v>
      </c>
      <c r="B10" s="43">
        <v>230789.25857000001</v>
      </c>
      <c r="C10" s="20">
        <v>221316.05744</v>
      </c>
      <c r="D10" s="20">
        <f>IF(OR(230789.25857="",221316.05744=""),"-",221316.05744/230789.25857*100)</f>
        <v>95.895302411950539</v>
      </c>
      <c r="E10" s="20">
        <f>IF(230789.25857="","-",230789.25857/4332145.11781*100)</f>
        <v>5.3273667500471298</v>
      </c>
      <c r="F10" s="20">
        <f>IF(221316.05744="","-",221316.05744/4048616.5172*100)</f>
        <v>5.4664613578433183</v>
      </c>
      <c r="G10" s="20">
        <f>IF(OR(3144504.53867="",245445.88827="",230789.25857=""),"-",(230789.25857-245445.88827)/3144504.53867*100)</f>
        <v>-0.46610299078147172</v>
      </c>
      <c r="H10" s="20">
        <f>IF(OR(4332145.11781="",221316.05744="",230789.25857=""),"-",(221316.05744-230789.25857)/4332145.11781*100)</f>
        <v>-0.21867229449573297</v>
      </c>
    </row>
    <row r="11" spans="1:10" x14ac:dyDescent="0.25">
      <c r="A11" s="59" t="s">
        <v>262</v>
      </c>
      <c r="B11" s="43">
        <v>104112.41048000001</v>
      </c>
      <c r="C11" s="20">
        <v>160918.56031</v>
      </c>
      <c r="D11" s="20">
        <f>IF(OR(104112.41048="",160918.56031=""),"-",160918.56031/104112.41048*100)</f>
        <v>154.56232313525433</v>
      </c>
      <c r="E11" s="20">
        <f>IF(104112.41048="","-",104112.41048/4332145.11781*100)</f>
        <v>2.4032530686006028</v>
      </c>
      <c r="F11" s="20">
        <f>IF(160918.56031="","-",160918.56031/4048616.5172*100)</f>
        <v>3.974655530509231</v>
      </c>
      <c r="G11" s="20">
        <f>IF(OR(3144504.53867="",79000.73983="",104112.41048=""),"-",(104112.41048-79000.73983)/3144504.53867*100)</f>
        <v>0.79858910493483448</v>
      </c>
      <c r="H11" s="20">
        <f>IF(OR(4332145.11781="",160918.56031="",104112.41048=""),"-",(160918.56031-104112.41048)/4332145.11781*100)</f>
        <v>1.3112707050477761</v>
      </c>
    </row>
    <row r="12" spans="1:10" s="4" customFormat="1" x14ac:dyDescent="0.25">
      <c r="A12" s="59" t="s">
        <v>3</v>
      </c>
      <c r="B12" s="43">
        <v>122380.44825</v>
      </c>
      <c r="C12" s="20">
        <v>133581.75232</v>
      </c>
      <c r="D12" s="20">
        <f>IF(OR(122380.44825="",133581.75232=""),"-",133581.75232/122380.44825*100)</f>
        <v>109.15285425913612</v>
      </c>
      <c r="E12" s="20">
        <f>IF(122380.44825="","-",122380.44825/4332145.11781*100)</f>
        <v>2.8249387987230254</v>
      </c>
      <c r="F12" s="20">
        <f>IF(133581.75232="","-",133581.75232/4048616.5172*100)</f>
        <v>3.2994419637546799</v>
      </c>
      <c r="G12" s="20">
        <f>IF(OR(3144504.53867="",108508.15569="",122380.44825=""),"-",(122380.44825-108508.15569)/3144504.53867*100)</f>
        <v>0.44115988351752955</v>
      </c>
      <c r="H12" s="20">
        <f>IF(OR(4332145.11781="",133581.75232="",122380.44825=""),"-",(133581.75232-122380.44825)/4332145.11781*100)</f>
        <v>0.25856253115690908</v>
      </c>
    </row>
    <row r="13" spans="1:10" s="4" customFormat="1" x14ac:dyDescent="0.25">
      <c r="A13" s="59" t="s">
        <v>4</v>
      </c>
      <c r="B13" s="43">
        <v>142130.8321</v>
      </c>
      <c r="C13" s="20">
        <v>86135.70018</v>
      </c>
      <c r="D13" s="20">
        <f>IF(OR(142130.8321="",86135.70018=""),"-",86135.70018/142130.8321*100)</f>
        <v>60.603106945435236</v>
      </c>
      <c r="E13" s="20">
        <f>IF(142130.8321="","-",142130.8321/4332145.11781*100)</f>
        <v>3.2808418978321403</v>
      </c>
      <c r="F13" s="20">
        <f>IF(86135.70018="","-",86135.70018/4048616.5172*100)</f>
        <v>2.1275341789982853</v>
      </c>
      <c r="G13" s="20">
        <f>IF(OR(3144504.53867="",77766.04431="",142130.8321=""),"-",(142130.8321-77766.04431)/3144504.53867*100)</f>
        <v>2.0468975954228941</v>
      </c>
      <c r="H13" s="20">
        <f>IF(OR(4332145.11781="",86135.70018="",142130.8321=""),"-",(86135.70018-142130.8321)/4332145.11781*100)</f>
        <v>-1.2925497737782812</v>
      </c>
    </row>
    <row r="14" spans="1:10" s="4" customFormat="1" x14ac:dyDescent="0.25">
      <c r="A14" s="59" t="s">
        <v>34</v>
      </c>
      <c r="B14" s="43">
        <v>42925.478060000001</v>
      </c>
      <c r="C14" s="20">
        <v>55214.90797</v>
      </c>
      <c r="D14" s="20">
        <f>IF(OR(42925.47806="",55214.90797=""),"-",55214.90797/42925.47806*100)</f>
        <v>128.62968676277103</v>
      </c>
      <c r="E14" s="20">
        <f>IF(42925.47806="","-",42925.47806/4332145.11781*100)</f>
        <v>0.99085965249704822</v>
      </c>
      <c r="F14" s="20">
        <f>IF(55214.90797="","-",55214.90797/4048616.5172*100)</f>
        <v>1.36379693496351</v>
      </c>
      <c r="G14" s="20">
        <f>IF(OR(3144504.53867="",62797.90029="",42925.47806=""),"-",(42925.47806-62797.90029)/3144504.53867*100)</f>
        <v>-0.63197308147010145</v>
      </c>
      <c r="H14" s="20">
        <f>IF(OR(4332145.11781="",55214.90797="",42925.47806=""),"-",(55214.90797-42925.47806)/4332145.11781*100)</f>
        <v>0.28368001476858629</v>
      </c>
    </row>
    <row r="15" spans="1:10" s="4" customFormat="1" x14ac:dyDescent="0.25">
      <c r="A15" s="59" t="s">
        <v>266</v>
      </c>
      <c r="B15" s="43">
        <v>64271.272779999999</v>
      </c>
      <c r="C15" s="20">
        <v>47328.140820000001</v>
      </c>
      <c r="D15" s="20">
        <f>IF(OR(64271.27278="",47328.14082=""),"-",47328.14082/64271.27278*100)</f>
        <v>73.638094863943039</v>
      </c>
      <c r="E15" s="20">
        <f>IF(64271.27278="","-",64271.27278/4332145.11781*100)</f>
        <v>1.4835900236991744</v>
      </c>
      <c r="F15" s="20">
        <f>IF(47328.14082="","-",47328.14082/4048616.5172*100)</f>
        <v>1.1689953992662132</v>
      </c>
      <c r="G15" s="20">
        <f>IF(OR(3144504.53867="",35829.53069="",64271.27278=""),"-",(64271.27278-35829.53069)/3144504.53867*100)</f>
        <v>0.90449041304388522</v>
      </c>
      <c r="H15" s="20">
        <f>IF(OR(4332145.11781="",47328.14082="",64271.27278=""),"-",(47328.14082-64271.27278)/4332145.11781*100)</f>
        <v>-0.39110259465558134</v>
      </c>
    </row>
    <row r="16" spans="1:10" s="4" customFormat="1" x14ac:dyDescent="0.25">
      <c r="A16" s="59" t="s">
        <v>36</v>
      </c>
      <c r="B16" s="43">
        <v>52815.403760000001</v>
      </c>
      <c r="C16" s="20">
        <v>46356.311540000002</v>
      </c>
      <c r="D16" s="20">
        <f>IF(OR(52815.40376="",46356.31154=""),"-",46356.31154/52815.40376*100)</f>
        <v>87.770438621749548</v>
      </c>
      <c r="E16" s="20">
        <f>IF(52815.40376="","-",52815.40376/4332145.11781*100)</f>
        <v>1.2191513055014975</v>
      </c>
      <c r="F16" s="20">
        <f>IF(46356.31154="","-",46356.31154/4048616.5172*100)</f>
        <v>1.1449914147971654</v>
      </c>
      <c r="G16" s="20">
        <f>IF(OR(3144504.53867="",41801.2056="",52815.40376=""),"-",(52815.40376-41801.2056)/3144504.53867*100)</f>
        <v>0.35026815908679104</v>
      </c>
      <c r="H16" s="20">
        <f>IF(OR(4332145.11781="",46356.31154="",52815.40376=""),"-",(46356.31154-52815.40376)/4332145.11781*100)</f>
        <v>-0.14909685720004734</v>
      </c>
    </row>
    <row r="17" spans="1:8" s="4" customFormat="1" x14ac:dyDescent="0.25">
      <c r="A17" s="59" t="s">
        <v>6</v>
      </c>
      <c r="B17" s="43">
        <v>33041.687059999997</v>
      </c>
      <c r="C17" s="20">
        <v>40049.63478</v>
      </c>
      <c r="D17" s="20">
        <f>IF(OR(33041.68706="",40049.63478=""),"-",40049.63478/33041.68706*100)</f>
        <v>121.20941254384002</v>
      </c>
      <c r="E17" s="20">
        <f>IF(33041.68706="","-",33041.68706/4332145.11781*100)</f>
        <v>0.7627096083222471</v>
      </c>
      <c r="F17" s="20">
        <f>IF(40049.63478="","-",40049.63478/4048616.5172*100)</f>
        <v>0.98921778859159759</v>
      </c>
      <c r="G17" s="20">
        <f>IF(OR(3144504.53867="",44501.64637="",33041.68706=""),"-",(33041.68706-44501.64637)/3144504.53867*100)</f>
        <v>-0.3644440378148448</v>
      </c>
      <c r="H17" s="20">
        <f>IF(OR(4332145.11781="",40049.63478="",33041.68706=""),"-",(40049.63478-33041.68706)/4332145.11781*100)</f>
        <v>0.16176622734057175</v>
      </c>
    </row>
    <row r="18" spans="1:8" s="6" customFormat="1" x14ac:dyDescent="0.25">
      <c r="A18" s="59" t="s">
        <v>259</v>
      </c>
      <c r="B18" s="43">
        <v>37930.453170000001</v>
      </c>
      <c r="C18" s="20">
        <v>39630.467559999997</v>
      </c>
      <c r="D18" s="20">
        <f>IF(OR(37930.45317="",39630.46756=""),"-",39630.46756/37930.45317*100)</f>
        <v>104.48192480691101</v>
      </c>
      <c r="E18" s="20">
        <f>IF(37930.45317="","-",37930.45317/4332145.11781*100)</f>
        <v>0.87555823128045929</v>
      </c>
      <c r="F18" s="20">
        <f>IF(39630.46756="","-",39630.46756/4048616.5172*100)</f>
        <v>0.97886444398068606</v>
      </c>
      <c r="G18" s="20">
        <f>IF(OR(3144504.53867="",32473.89831="",37930.45317=""),"-",(37930.45317-32473.89831)/3144504.53867*100)</f>
        <v>0.17352669690557687</v>
      </c>
      <c r="H18" s="20">
        <f>IF(OR(4332145.11781="",39630.46756="",37930.45317=""),"-",(39630.46756-37930.45317)/4332145.11781*100)</f>
        <v>3.9241861566710251E-2</v>
      </c>
    </row>
    <row r="19" spans="1:8" s="4" customFormat="1" x14ac:dyDescent="0.25">
      <c r="A19" s="59" t="s">
        <v>41</v>
      </c>
      <c r="B19" s="43">
        <v>18901.595359999999</v>
      </c>
      <c r="C19" s="20">
        <v>27956.219450000001</v>
      </c>
      <c r="D19" s="20">
        <f>IF(OR(18901.59536="",27956.21945=""),"-",27956.21945/18901.59536*100)</f>
        <v>147.90402036201456</v>
      </c>
      <c r="E19" s="20">
        <f>IF(18901.59536="","-",18901.59536/4332145.11781*100)</f>
        <v>0.43631030000110427</v>
      </c>
      <c r="F19" s="20">
        <f>IF(27956.21945="","-",27956.21945/4048616.5172*100)</f>
        <v>0.69051290314189506</v>
      </c>
      <c r="G19" s="20">
        <f>IF(OR(3144504.53867="",13608.29694="",18901.59536=""),"-",(18901.59536-13608.29694)/3144504.53867*100)</f>
        <v>0.16833489520860584</v>
      </c>
      <c r="H19" s="20">
        <f>IF(OR(4332145.11781="",27956.21945="",18901.59536=""),"-",(27956.21945-18901.59536)/4332145.11781*100)</f>
        <v>0.20901017495409585</v>
      </c>
    </row>
    <row r="20" spans="1:8" s="4" customFormat="1" x14ac:dyDescent="0.25">
      <c r="A20" s="59" t="s">
        <v>5</v>
      </c>
      <c r="B20" s="43">
        <v>21281.172259999999</v>
      </c>
      <c r="C20" s="20">
        <v>22367.787629999999</v>
      </c>
      <c r="D20" s="20">
        <f>IF(OR(21281.17226="",22367.78763=""),"-",22367.78763/21281.17226*100)</f>
        <v>105.10599395900006</v>
      </c>
      <c r="E20" s="20">
        <f>IF(21281.17226="","-",21281.17226/4332145.11781*100)</f>
        <v>0.49123867463512227</v>
      </c>
      <c r="F20" s="20">
        <f>IF(22367.78763="","-",22367.78763/4048616.5172*100)</f>
        <v>0.55247978006742493</v>
      </c>
      <c r="G20" s="20">
        <f>IF(OR(3144504.53867="",22005.81349="",21281.17226=""),"-",(21281.17226-22005.81349)/3144504.53867*100)</f>
        <v>-2.3044687043336096E-2</v>
      </c>
      <c r="H20" s="20">
        <f>IF(OR(4332145.11781="",22367.78763="",21281.17226=""),"-",(22367.78763-21281.17226)/4332145.11781*100)</f>
        <v>2.5082617051141374E-2</v>
      </c>
    </row>
    <row r="21" spans="1:8" s="4" customFormat="1" x14ac:dyDescent="0.25">
      <c r="A21" s="59" t="s">
        <v>37</v>
      </c>
      <c r="B21" s="43">
        <v>16645.929530000001</v>
      </c>
      <c r="C21" s="20">
        <v>20095.62328</v>
      </c>
      <c r="D21" s="20">
        <f>IF(OR(16645.92953="",20095.62328=""),"-",20095.62328/16645.92953*100)</f>
        <v>120.72394782029332</v>
      </c>
      <c r="E21" s="20">
        <f>IF(16645.92953="","-",16645.92953/4332145.11781*100)</f>
        <v>0.38424219589428038</v>
      </c>
      <c r="F21" s="20">
        <f>IF(20095.62328="","-",20095.62328/4048616.5172*100)</f>
        <v>0.49635778529842128</v>
      </c>
      <c r="G21" s="20">
        <f>IF(OR(3144504.53867="",8435.73181="",16645.92953=""),"-",(16645.92953-8435.73181)/3144504.53867*100)</f>
        <v>0.26109670439440952</v>
      </c>
      <c r="H21" s="20">
        <f>IF(OR(4332145.11781="",20095.62328="",16645.92953=""),"-",(20095.62328-16645.92953)/4332145.11781*100)</f>
        <v>7.9630152180679925E-2</v>
      </c>
    </row>
    <row r="22" spans="1:8" s="4" customFormat="1" x14ac:dyDescent="0.25">
      <c r="A22" s="59" t="s">
        <v>35</v>
      </c>
      <c r="B22" s="43">
        <v>17851.267199999998</v>
      </c>
      <c r="C22" s="20">
        <v>14296.03894</v>
      </c>
      <c r="D22" s="20">
        <f>IF(OR(17851.2672="",14296.03894=""),"-",14296.03894/17851.2672*100)</f>
        <v>80.084168702600579</v>
      </c>
      <c r="E22" s="20">
        <f>IF(17851.2672="","-",17851.2672/4332145.11781*100)</f>
        <v>0.41206530978408751</v>
      </c>
      <c r="F22" s="20">
        <f>IF(14296.03894="","-",14296.03894/4048616.5172*100)</f>
        <v>0.35310923816235029</v>
      </c>
      <c r="G22" s="20">
        <f>IF(OR(3144504.53867="",20868.25949="",17851.2672=""),"-",(17851.2672-20868.25949)/3144504.53867*100)</f>
        <v>-9.5944917645947148E-2</v>
      </c>
      <c r="H22" s="20">
        <f>IF(OR(4332145.11781="",14296.03894="",17851.2672=""),"-",(14296.03894-17851.2672)/4332145.11781*100)</f>
        <v>-8.2066231931705202E-2</v>
      </c>
    </row>
    <row r="23" spans="1:8" s="4" customFormat="1" x14ac:dyDescent="0.25">
      <c r="A23" s="59" t="s">
        <v>38</v>
      </c>
      <c r="B23" s="43">
        <v>18851.020929999999</v>
      </c>
      <c r="C23" s="20">
        <v>13909.60405</v>
      </c>
      <c r="D23" s="20">
        <f>IF(OR(18851.02093="",13909.60405=""),"-",13909.60405/18851.02093*100)</f>
        <v>73.787006558694642</v>
      </c>
      <c r="E23" s="20">
        <f>IF(18851.02093="","-",18851.02093/4332145.11781*100)</f>
        <v>0.43514287765894666</v>
      </c>
      <c r="F23" s="20">
        <f>IF(13909.60405="","-",13909.60405/4048616.5172*100)</f>
        <v>0.34356437540841239</v>
      </c>
      <c r="G23" s="20">
        <f>IF(OR(3144504.53867="",16391.65379="",18851.02093=""),"-",(18851.02093-16391.65379)/3144504.53867*100)</f>
        <v>7.8211594537567833E-2</v>
      </c>
      <c r="H23" s="20">
        <f>IF(OR(4332145.11781="",13909.60405="",18851.02093=""),"-",(13909.60405-18851.02093)/4332145.11781*100)</f>
        <v>-0.11406397398104706</v>
      </c>
    </row>
    <row r="24" spans="1:8" s="4" customFormat="1" x14ac:dyDescent="0.25">
      <c r="A24" s="59" t="s">
        <v>39</v>
      </c>
      <c r="B24" s="43">
        <v>6866.4510600000003</v>
      </c>
      <c r="C24" s="20">
        <v>10905.54687</v>
      </c>
      <c r="D24" s="20">
        <f>IF(OR(6866.45106="",10905.54687=""),"-",10905.54687/6866.45106*100)</f>
        <v>158.82363064566866</v>
      </c>
      <c r="E24" s="20">
        <f>IF(6866.45106="","-",6866.45106/4332145.11781*100)</f>
        <v>0.15850002419750775</v>
      </c>
      <c r="F24" s="20">
        <f>IF(10905.54687="","-",10905.54687/4048616.5172*100)</f>
        <v>0.26936477741641518</v>
      </c>
      <c r="G24" s="20">
        <f>IF(OR(3144504.53867="",7213.99242="",6866.45106=""),"-",(6866.45106-7213.99242)/3144504.53867*100)</f>
        <v>-1.105234086089109E-2</v>
      </c>
      <c r="H24" s="20">
        <f>IF(OR(4332145.11781="",10905.54687="",6866.45106=""),"-",(10905.54687-6866.45106)/4332145.11781*100)</f>
        <v>9.323546880723739E-2</v>
      </c>
    </row>
    <row r="25" spans="1:8" s="2" customFormat="1" x14ac:dyDescent="0.25">
      <c r="A25" s="59" t="s">
        <v>260</v>
      </c>
      <c r="B25" s="43">
        <v>3799.1009199999999</v>
      </c>
      <c r="C25" s="20">
        <v>10050.889660000001</v>
      </c>
      <c r="D25" s="20" t="s">
        <v>366</v>
      </c>
      <c r="E25" s="20">
        <f>IF(3799.10092="","-",3799.10092/4332145.11781*100)</f>
        <v>8.7695606141664384E-2</v>
      </c>
      <c r="F25" s="20">
        <f>IF(10050.88966="","-",10050.88966/4048616.5172*100)</f>
        <v>0.24825491911373071</v>
      </c>
      <c r="G25" s="20">
        <f>IF(OR(3144504.53867="",2137.79264="",3799.10092=""),"-",(3799.10092-2137.79264)/3144504.53867*100)</f>
        <v>5.2832115825237981E-2</v>
      </c>
      <c r="H25" s="20">
        <f>IF(OR(4332145.11781="",10050.88966="",3799.10092=""),"-",(10050.88966-3799.10092)/4332145.11781*100)</f>
        <v>0.14431161860894506</v>
      </c>
    </row>
    <row r="26" spans="1:8" s="2" customFormat="1" x14ac:dyDescent="0.25">
      <c r="A26" s="59" t="s">
        <v>45</v>
      </c>
      <c r="B26" s="43">
        <v>22389.846389999999</v>
      </c>
      <c r="C26" s="20">
        <v>6949.69391</v>
      </c>
      <c r="D26" s="20">
        <f>IF(OR(22389.84639="",6949.69391=""),"-",6949.69391/22389.84639*100)</f>
        <v>31.03948901187616</v>
      </c>
      <c r="E26" s="20">
        <f>IF(22389.84639="","-",22389.84639/4332145.11781*100)</f>
        <v>0.51683047961511008</v>
      </c>
      <c r="F26" s="20">
        <f>IF(6949.69391="","-",6949.69391/4048616.5172*100)</f>
        <v>0.17165601830835706</v>
      </c>
      <c r="G26" s="20">
        <f>IF(OR(3144504.53867="",16304.17653="",22389.84639=""),"-",(22389.84639-16304.17653)/3144504.53867*100)</f>
        <v>0.19353350536342345</v>
      </c>
      <c r="H26" s="20">
        <f>IF(OR(4332145.11781="",6949.69391="",22389.84639=""),"-",(6949.69391-22389.84639)/4332145.11781*100)</f>
        <v>-0.35640893968495119</v>
      </c>
    </row>
    <row r="27" spans="1:8" s="4" customFormat="1" x14ac:dyDescent="0.25">
      <c r="A27" s="59" t="s">
        <v>40</v>
      </c>
      <c r="B27" s="43">
        <v>3971.1305900000002</v>
      </c>
      <c r="C27" s="20">
        <v>3417.5532199999998</v>
      </c>
      <c r="D27" s="20">
        <f>IF(OR(3971.13059="",3417.55322=""),"-",3417.55322/3971.13059*100)</f>
        <v>86.059955535232092</v>
      </c>
      <c r="E27" s="20">
        <f>IF(3971.13059="","-",3971.13059/4332145.11781*100)</f>
        <v>9.1666610466814166E-2</v>
      </c>
      <c r="F27" s="20">
        <f>IF(3417.55322="","-",3417.55322/4048616.5172*100)</f>
        <v>8.4412865616710964E-2</v>
      </c>
      <c r="G27" s="20">
        <f>IF(OR(3144504.53867="",5013.7721="",3971.13059=""),"-",(3971.13059-5013.7721)/3144504.53867*100)</f>
        <v>-3.3157576883034036E-2</v>
      </c>
      <c r="H27" s="20">
        <f>IF(OR(4332145.11781="",3417.55322="",3971.13059=""),"-",(3417.55322-3971.13059)/4332145.11781*100)</f>
        <v>-1.2778366258419493E-2</v>
      </c>
    </row>
    <row r="28" spans="1:8" s="4" customFormat="1" x14ac:dyDescent="0.25">
      <c r="A28" s="59" t="s">
        <v>42</v>
      </c>
      <c r="B28" s="43">
        <v>1450.1114700000001</v>
      </c>
      <c r="C28" s="20">
        <v>1954.52505</v>
      </c>
      <c r="D28" s="20">
        <f>IF(OR(1450.11147="",1954.52505=""),"-",1954.52505/1450.11147*100)</f>
        <v>134.78446936220703</v>
      </c>
      <c r="E28" s="20">
        <f>IF(1450.11147="","-",1450.11147/4332145.11781*100)</f>
        <v>3.3473289342003047E-2</v>
      </c>
      <c r="F28" s="20">
        <f>IF(1954.52505="","-",1954.52505/4048616.5172*100)</f>
        <v>4.8276369018810855E-2</v>
      </c>
      <c r="G28" s="20">
        <f>IF(OR(3144504.53867="",1421.12003="",1450.11147=""),"-",(1450.11147-1421.12003)/3144504.53867*100)</f>
        <v>9.2197163793130462E-4</v>
      </c>
      <c r="H28" s="20">
        <f>IF(OR(4332145.11781="",1954.52505="",1450.11147=""),"-",(1954.52505-1450.11147)/4332145.11781*100)</f>
        <v>1.1643506075691959E-2</v>
      </c>
    </row>
    <row r="29" spans="1:8" s="2" customFormat="1" x14ac:dyDescent="0.25">
      <c r="A29" s="59" t="s">
        <v>44</v>
      </c>
      <c r="B29" s="43">
        <v>1584.2275099999999</v>
      </c>
      <c r="C29" s="20">
        <v>957.93312000000003</v>
      </c>
      <c r="D29" s="20">
        <f>IF(OR(1584.22751="",957.93312=""),"-",957.93312/1584.22751*100)</f>
        <v>60.466890894982626</v>
      </c>
      <c r="E29" s="20">
        <f>IF(1584.22751="","-",1584.22751/4332145.11781*100)</f>
        <v>3.6569123769354797E-2</v>
      </c>
      <c r="F29" s="20">
        <f>IF(957.93312="","-",957.93312/4048616.5172*100)</f>
        <v>2.3660752158925168E-2</v>
      </c>
      <c r="G29" s="20">
        <f>IF(OR(3144504.53867="",1096.05058="",1584.22751=""),"-",(1584.22751-1096.05058)/3144504.53867*100)</f>
        <v>1.5524764680622125E-2</v>
      </c>
      <c r="H29" s="20">
        <f>IF(OR(4332145.11781="",957.93312="",1584.22751=""),"-",(957.93312-1584.22751)/4332145.11781*100)</f>
        <v>-1.445691159848787E-2</v>
      </c>
    </row>
    <row r="30" spans="1:8" s="2" customFormat="1" x14ac:dyDescent="0.25">
      <c r="A30" s="59" t="s">
        <v>47</v>
      </c>
      <c r="B30" s="43">
        <v>855.95254</v>
      </c>
      <c r="C30" s="20">
        <v>910.76642000000004</v>
      </c>
      <c r="D30" s="20">
        <f>IF(OR(855.95254="",910.76642=""),"-",910.76642/855.95254*100)</f>
        <v>106.40384570854829</v>
      </c>
      <c r="E30" s="20">
        <f>IF(855.95254="","-",855.95254/4332145.11781*100)</f>
        <v>1.9758168683709838E-2</v>
      </c>
      <c r="F30" s="20">
        <f>IF(910.76642="","-",910.76642/4048616.5172*100)</f>
        <v>2.2495744314897002E-2</v>
      </c>
      <c r="G30" s="20">
        <f>IF(OR(3144504.53867="",876.24882="",855.95254=""),"-",(855.95254-876.24882)/3144504.53867*100)</f>
        <v>-6.454523995880299E-4</v>
      </c>
      <c r="H30" s="20">
        <f>IF(OR(4332145.11781="",910.76642="",855.95254=""),"-",(910.76642-855.95254)/4332145.11781*100)</f>
        <v>1.2652826373394834E-3</v>
      </c>
    </row>
    <row r="31" spans="1:8" s="2" customFormat="1" x14ac:dyDescent="0.25">
      <c r="A31" s="59" t="s">
        <v>43</v>
      </c>
      <c r="B31" s="43">
        <v>446.31044000000003</v>
      </c>
      <c r="C31" s="20">
        <v>771.20164</v>
      </c>
      <c r="D31" s="20" t="s">
        <v>326</v>
      </c>
      <c r="E31" s="20">
        <f>IF(446.31044="","-",446.31044/4332145.11781*100)</f>
        <v>1.0302296618946606E-2</v>
      </c>
      <c r="F31" s="20">
        <f>IF(771.20164="","-",771.20164/4048616.5172*100)</f>
        <v>1.9048522791023897E-2</v>
      </c>
      <c r="G31" s="20">
        <f>IF(OR(3144504.53867="",1731.83628="",446.31044=""),"-",(446.31044-1731.83628)/3144504.53867*100)</f>
        <v>-4.0881665909241333E-2</v>
      </c>
      <c r="H31" s="20">
        <f>IF(OR(4332145.11781="",771.20164="",446.31044=""),"-",(771.20164-446.31044)/4332145.11781*100)</f>
        <v>7.4995456330474919E-3</v>
      </c>
    </row>
    <row r="32" spans="1:8" s="2" customFormat="1" x14ac:dyDescent="0.25">
      <c r="A32" s="59" t="s">
        <v>46</v>
      </c>
      <c r="B32" s="43">
        <v>171.60592</v>
      </c>
      <c r="C32" s="20">
        <v>600.50113999999996</v>
      </c>
      <c r="D32" s="20" t="s">
        <v>335</v>
      </c>
      <c r="E32" s="20">
        <f>IF(171.60592="","-",171.60592/4332145.11781*100)</f>
        <v>3.961222796865835E-3</v>
      </c>
      <c r="F32" s="20">
        <f>IF(600.50114="","-",600.50114/4048616.5172*100)</f>
        <v>1.483225535065749E-2</v>
      </c>
      <c r="G32" s="20">
        <f>IF(OR(3144504.53867="",663.93929="",171.60592=""),"-",(171.60592-663.93929)/3144504.53867*100)</f>
        <v>-1.5656945758718396E-2</v>
      </c>
      <c r="H32" s="20">
        <f>IF(OR(4332145.11781="",600.50114="",171.60592=""),"-",(600.50114-171.60592)/4332145.11781*100)</f>
        <v>9.9002966968201774E-3</v>
      </c>
    </row>
    <row r="33" spans="1:8" s="2" customFormat="1" x14ac:dyDescent="0.25">
      <c r="A33" s="59" t="s">
        <v>49</v>
      </c>
      <c r="B33" s="43">
        <v>13.191470000000001</v>
      </c>
      <c r="C33" s="20">
        <v>258.62983000000003</v>
      </c>
      <c r="D33" s="20" t="s">
        <v>367</v>
      </c>
      <c r="E33" s="20">
        <f>IF(13.19147="","-",13.19147/4332145.11781*100)</f>
        <v>3.0450203401008403E-4</v>
      </c>
      <c r="F33" s="20">
        <f>IF(258.62983="","-",258.62983/4048616.5172*100)</f>
        <v>6.3881039091068792E-3</v>
      </c>
      <c r="G33" s="20">
        <f>IF(OR(3144504.53867="",92.48141="",13.19147=""),"-",(13.19147-92.48141)/3144504.53867*100)</f>
        <v>-2.5215400081291177E-3</v>
      </c>
      <c r="H33" s="20">
        <f>IF(OR(4332145.11781="",258.62983="",13.19147=""),"-",(258.62983-13.19147)/4332145.11781*100)</f>
        <v>5.6655156585353455E-3</v>
      </c>
    </row>
    <row r="34" spans="1:8" s="5" customFormat="1" ht="16.5" customHeight="1" x14ac:dyDescent="0.2">
      <c r="A34" s="59" t="s">
        <v>48</v>
      </c>
      <c r="B34" s="43">
        <v>90.505989999999997</v>
      </c>
      <c r="C34" s="20">
        <v>9.4637100000000007</v>
      </c>
      <c r="D34" s="20">
        <f>IF(OR(90.50599="",9.46371=""),"-",9.46371/90.50599*100)</f>
        <v>10.456446031914574</v>
      </c>
      <c r="E34" s="20">
        <f>IF(90.50599="","-",90.50599/4332145.11781*100)</f>
        <v>2.0891726278493847E-3</v>
      </c>
      <c r="F34" s="20">
        <f>IF(9.46371="","-",9.46371/4048616.5172*100)</f>
        <v>2.3375170159472273E-4</v>
      </c>
      <c r="G34" s="20">
        <f>IF(OR(3144504.53867="",9.78503="",90.50599=""),"-",(90.50599-9.78503)/3144504.53867*100)</f>
        <v>2.5670486083681004E-3</v>
      </c>
      <c r="H34" s="20">
        <f>IF(OR(4332145.11781="",9.46371="",90.50599=""),"-",(9.46371-90.50599)/4332145.11781*100)</f>
        <v>-1.8707194195047821E-3</v>
      </c>
    </row>
    <row r="35" spans="1:8" s="5" customFormat="1" ht="15.75" customHeight="1" x14ac:dyDescent="0.2">
      <c r="A35" s="58" t="s">
        <v>111</v>
      </c>
      <c r="B35" s="44">
        <v>1043042.1371000001</v>
      </c>
      <c r="C35" s="19">
        <v>896899.54033999995</v>
      </c>
      <c r="D35" s="19">
        <f>IF(1043042.1371="","-",896899.54034/1043042.1371*100)</f>
        <v>85.988811807131356</v>
      </c>
      <c r="E35" s="19">
        <f>IF(1043042.1371="","-",1043042.1371/4332145.11781*100)</f>
        <v>24.076805110057858</v>
      </c>
      <c r="F35" s="19">
        <f>IF(896899.54034="","-",896899.54034/4048616.5172*100)</f>
        <v>22.153235223184105</v>
      </c>
      <c r="G35" s="19">
        <f>IF(3144504.53867="","-",(1043042.1371-466207.47347)/3144504.53867*100)</f>
        <v>18.344214693802861</v>
      </c>
      <c r="H35" s="19">
        <f>IF(4332145.11781="","-",(896899.54034-1043042.1371)/4332145.11781*100)</f>
        <v>-3.3734464748004243</v>
      </c>
    </row>
    <row r="36" spans="1:8" s="5" customFormat="1" ht="17.25" customHeight="1" x14ac:dyDescent="0.2">
      <c r="A36" s="59" t="s">
        <v>8</v>
      </c>
      <c r="B36" s="43">
        <v>720033.44961999997</v>
      </c>
      <c r="C36" s="20">
        <v>595302.73263999994</v>
      </c>
      <c r="D36" s="20">
        <f>IF(OR(720033.44962="",595302.73264=""),"-",595302.73264/720033.44962*100)</f>
        <v>82.677094092527639</v>
      </c>
      <c r="E36" s="20">
        <f>IF(720033.44962="","-",720033.44962/4332145.11781*100)</f>
        <v>16.620713989008607</v>
      </c>
      <c r="F36" s="20">
        <f>IF(595302.73264="","-",595302.73264/4048616.5172*100)</f>
        <v>14.703855751981862</v>
      </c>
      <c r="G36" s="20">
        <f>IF(OR(3144504.53867="",92766.58175="",720033.44962=""),"-",(720033.44962-92766.58175)/3144504.53867*100)</f>
        <v>19.94803506104363</v>
      </c>
      <c r="H36" s="20">
        <f>IF(OR(4332145.11781="",595302.73264="",720033.44962=""),"-",(595302.73264-720033.44962)/4332145.11781*100)</f>
        <v>-2.8791906454660574</v>
      </c>
    </row>
    <row r="37" spans="1:8" s="3" customFormat="1" ht="18" customHeight="1" x14ac:dyDescent="0.2">
      <c r="A37" s="59" t="s">
        <v>261</v>
      </c>
      <c r="B37" s="43">
        <v>190090.60558</v>
      </c>
      <c r="C37" s="20">
        <v>144096.97362999999</v>
      </c>
      <c r="D37" s="20">
        <f>IF(OR(190090.60558="",144096.97363=""),"-",144096.97363/190090.60558*100)</f>
        <v>75.804363498308973</v>
      </c>
      <c r="E37" s="20">
        <f>IF(190090.60558="","-",190090.60558/4332145.11781*100)</f>
        <v>4.3879094631090112</v>
      </c>
      <c r="F37" s="20">
        <f>IF(144096.97363="","-",144096.97363/4048616.5172*100)</f>
        <v>3.5591657796638301</v>
      </c>
      <c r="G37" s="20">
        <f>IF(OR(3144504.53867="",276067.08135="",190090.60558=""),"-",(190090.60558-276067.08135)/3144504.53867*100)</f>
        <v>-2.7341819581651676</v>
      </c>
      <c r="H37" s="20">
        <f>IF(OR(4332145.11781="",144096.97363="",190090.60558=""),"-",(144096.97363-190090.60558)/4332145.11781*100)</f>
        <v>-1.0616826237171588</v>
      </c>
    </row>
    <row r="38" spans="1:8" s="5" customFormat="1" ht="15.75" customHeight="1" x14ac:dyDescent="0.2">
      <c r="A38" s="59" t="s">
        <v>7</v>
      </c>
      <c r="B38" s="43">
        <v>81160.667700000005</v>
      </c>
      <c r="C38" s="20">
        <v>84063.657099999997</v>
      </c>
      <c r="D38" s="20">
        <f>IF(OR(81160.6677="",84063.6571=""),"-",84063.6571/81160.6677*100)</f>
        <v>103.57684267794656</v>
      </c>
      <c r="E38" s="20">
        <f>IF(81160.6677="","-",81160.6677/4332145.11781*100)</f>
        <v>1.8734521926871326</v>
      </c>
      <c r="F38" s="20">
        <f>IF(84063.6571="","-",84063.6571/4048616.5172*100)</f>
        <v>2.0763551386718628</v>
      </c>
      <c r="G38" s="20">
        <f>IF(OR(3144504.53867="",67811.3222="",81160.6677=""),"-",(81160.6677-67811.3222)/3144504.53867*100)</f>
        <v>0.42452937611742964</v>
      </c>
      <c r="H38" s="20">
        <f>IF(OR(4332145.11781="",84063.6571="",81160.6677=""),"-",(84063.6571-81160.6677)/4332145.11781*100)</f>
        <v>6.701043757895904E-2</v>
      </c>
    </row>
    <row r="39" spans="1:8" s="3" customFormat="1" ht="16.5" customHeight="1" x14ac:dyDescent="0.2">
      <c r="A39" s="59" t="s">
        <v>9</v>
      </c>
      <c r="B39" s="43">
        <v>28542.692940000001</v>
      </c>
      <c r="C39" s="20">
        <v>41113.159180000002</v>
      </c>
      <c r="D39" s="20">
        <f>IF(OR(28542.69294="",41113.15918=""),"-",41113.15918/28542.69294*100)</f>
        <v>144.04092587347856</v>
      </c>
      <c r="E39" s="20">
        <f>IF(28542.69294="","-",28542.69294/4332145.11781*100)</f>
        <v>0.65885819066072737</v>
      </c>
      <c r="F39" s="20">
        <f>IF(41113.15918="","-",41113.15918/4048616.5172*100)</f>
        <v>1.0154866237722515</v>
      </c>
      <c r="G39" s="20">
        <f>IF(OR(3144504.53867="",13978.1634="",28542.69294=""),"-",(28542.69294-13978.1634)/3144504.53867*100)</f>
        <v>0.46317406640348546</v>
      </c>
      <c r="H39" s="20">
        <f>IF(OR(4332145.11781="",41113.15918="",28542.69294=""),"-",(41113.15918-28542.69294)/4332145.11781*100)</f>
        <v>0.29016724736023308</v>
      </c>
    </row>
    <row r="40" spans="1:8" s="3" customFormat="1" ht="17.25" customHeight="1" x14ac:dyDescent="0.2">
      <c r="A40" s="59" t="s">
        <v>263</v>
      </c>
      <c r="B40" s="43">
        <v>4917.2065000000002</v>
      </c>
      <c r="C40" s="20">
        <v>9695.2877800000006</v>
      </c>
      <c r="D40" s="20" t="s">
        <v>334</v>
      </c>
      <c r="E40" s="20">
        <f>IF(4917.2065="","-",4917.2065/4332145.11781*100)</f>
        <v>0.11350511966426836</v>
      </c>
      <c r="F40" s="20">
        <f>IF(9695.28778="","-",9695.28778/4048616.5172*100)</f>
        <v>0.23947162540119277</v>
      </c>
      <c r="G40" s="20">
        <f>IF(OR(3144504.53867="",1740.4035="",4917.2065=""),"-",(4917.2065-1740.4035)/3144504.53867*100)</f>
        <v>0.10102713991768195</v>
      </c>
      <c r="H40" s="20">
        <f>IF(OR(4332145.11781="",9695.28778="",4917.2065=""),"-",(9695.28778-4917.2065)/4332145.11781*100)</f>
        <v>0.11029365706972051</v>
      </c>
    </row>
    <row r="41" spans="1:8" s="3" customFormat="1" ht="16.5" customHeight="1" x14ac:dyDescent="0.2">
      <c r="A41" s="59" t="s">
        <v>11</v>
      </c>
      <c r="B41" s="43">
        <v>8476.2692299999999</v>
      </c>
      <c r="C41" s="20">
        <v>8524.1773900000007</v>
      </c>
      <c r="D41" s="20">
        <f>IF(OR(8476.26923="",8524.17739=""),"-",8524.17739/8476.26923*100)</f>
        <v>100.56520337780729</v>
      </c>
      <c r="E41" s="20">
        <f>IF(8476.26923="","-",8476.26923/4332145.11781*100)</f>
        <v>0.19565986363552271</v>
      </c>
      <c r="F41" s="20">
        <f>IF(8524.17739="","-",8524.17739/4048616.5172*100)</f>
        <v>0.21054543826974437</v>
      </c>
      <c r="G41" s="20">
        <f>IF(OR(3144504.53867="",7510.65091="",8476.26923=""),"-",(8476.26923-7510.65091)/3144504.53867*100)</f>
        <v>3.0708122953081108E-2</v>
      </c>
      <c r="H41" s="20">
        <f>IF(OR(4332145.11781="",8524.17739="",8476.26923=""),"-",(8524.17739-8476.26923)/4332145.11781*100)</f>
        <v>1.1058761582811323E-3</v>
      </c>
    </row>
    <row r="42" spans="1:8" s="3" customFormat="1" ht="16.5" customHeight="1" x14ac:dyDescent="0.2">
      <c r="A42" s="59" t="s">
        <v>13</v>
      </c>
      <c r="B42" s="43">
        <v>3311.4225299999998</v>
      </c>
      <c r="C42" s="20">
        <v>6365.1297400000003</v>
      </c>
      <c r="D42" s="20" t="s">
        <v>327</v>
      </c>
      <c r="E42" s="20">
        <f>IF(3311.42253="","-",3311.42253/4332145.11781*100)</f>
        <v>7.6438402683841791E-2</v>
      </c>
      <c r="F42" s="20">
        <f>IF(6365.12974="","-",6365.12974/4048616.5172*100)</f>
        <v>0.15721740285746025</v>
      </c>
      <c r="G42" s="20">
        <f>IF(OR(3144504.53867="",1105.75692="",3311.42253=""),"-",(3311.42253-1105.75692)/3144504.53867*100)</f>
        <v>7.0143502191696905E-2</v>
      </c>
      <c r="H42" s="20">
        <f>IF(OR(4332145.11781="",6365.12974="",3311.42253=""),"-",(6365.12974-3311.42253)/4332145.11781*100)</f>
        <v>7.048949485662015E-2</v>
      </c>
    </row>
    <row r="43" spans="1:8" s="2" customFormat="1" ht="17.25" customHeight="1" x14ac:dyDescent="0.25">
      <c r="A43" s="59" t="s">
        <v>10</v>
      </c>
      <c r="B43" s="43">
        <v>4862.1579300000003</v>
      </c>
      <c r="C43" s="20">
        <v>5708.8255799999997</v>
      </c>
      <c r="D43" s="20">
        <f>IF(OR(4862.15793="",5708.82558=""),"-",5708.82558/4862.15793*100)</f>
        <v>117.41341318380417</v>
      </c>
      <c r="E43" s="20">
        <f>IF(4862.15793="","-",4862.15793/4332145.11781*100)</f>
        <v>0.11223441961837914</v>
      </c>
      <c r="F43" s="20">
        <f>IF(5708.82558="","-",5708.82558/4048616.5172*100)</f>
        <v>0.14100682432497189</v>
      </c>
      <c r="G43" s="20">
        <f>IF(OR(3144504.53867="",4333.59593="",4862.15793=""),"-",(4862.15793-4333.59593)/3144504.53867*100)</f>
        <v>1.6809070983995481E-2</v>
      </c>
      <c r="H43" s="20">
        <f>IF(OR(4332145.11781="",5708.82558="",4862.15793=""),"-",(5708.82558-4862.15793)/4332145.11781*100)</f>
        <v>1.9543843222592915E-2</v>
      </c>
    </row>
    <row r="44" spans="1:8" s="2" customFormat="1" x14ac:dyDescent="0.25">
      <c r="A44" s="59" t="s">
        <v>12</v>
      </c>
      <c r="B44" s="43">
        <v>1403.6804299999999</v>
      </c>
      <c r="C44" s="20">
        <v>1797.0574099999999</v>
      </c>
      <c r="D44" s="20">
        <f>IF(OR(1403.68043="",1797.05741=""),"-",1797.05741/1403.68043*100)</f>
        <v>128.02468222770619</v>
      </c>
      <c r="E44" s="20">
        <f>IF(1403.68043="","-",1403.68043/4332145.11781*100)</f>
        <v>3.2401509917783941E-2</v>
      </c>
      <c r="F44" s="20">
        <f>IF(1797.05741="","-",1797.05741/4048616.5172*100)</f>
        <v>4.4386950514217496E-2</v>
      </c>
      <c r="G44" s="20">
        <f>IF(OR(3144504.53867="",623.74607="",1403.68043=""),"-",(1403.68043-623.74607)/3144504.53867*100)</f>
        <v>2.4803092201287805E-2</v>
      </c>
      <c r="H44" s="20">
        <f>IF(OR(4332145.11781="",1797.05741="",1403.68043=""),"-",(1797.05741-1403.68043)/4332145.11781*100)</f>
        <v>9.0804201914376596E-3</v>
      </c>
    </row>
    <row r="45" spans="1:8" s="4" customFormat="1" x14ac:dyDescent="0.25">
      <c r="A45" s="59" t="s">
        <v>14</v>
      </c>
      <c r="B45" s="43">
        <v>243.98464000000001</v>
      </c>
      <c r="C45" s="20">
        <v>232.53989000000001</v>
      </c>
      <c r="D45" s="20">
        <f>IF(OR(243.98464="",232.53989=""),"-",232.53989/243.98464*100)</f>
        <v>95.309233400922295</v>
      </c>
      <c r="E45" s="20">
        <f>IF(243.98464="","-",243.98464/4332145.11781*100)</f>
        <v>5.6319590725838822E-3</v>
      </c>
      <c r="F45" s="20">
        <f>IF(232.53989="","-",232.53989/4048616.5172*100)</f>
        <v>5.7436877267107349E-3</v>
      </c>
      <c r="G45" s="20">
        <f>IF(OR(3144504.53867="",270.17144="",243.98464=""),"-",(243.98464-270.17144)/3144504.53867*100)</f>
        <v>-8.3277984426366816E-4</v>
      </c>
      <c r="H45" s="20">
        <f>IF(OR(4332145.11781="",232.53989="",243.98464=""),"-",(232.53989-243.98464)/4332145.11781*100)</f>
        <v>-2.6418205505049163E-4</v>
      </c>
    </row>
    <row r="46" spans="1:8" s="2" customFormat="1" x14ac:dyDescent="0.25">
      <c r="A46" s="58" t="s">
        <v>112</v>
      </c>
      <c r="B46" s="44">
        <v>751594.46837000002</v>
      </c>
      <c r="C46" s="44">
        <v>504937.88124999998</v>
      </c>
      <c r="D46" s="19">
        <f>IF(751594.46837="","-",504937.88125/751594.46837*100)</f>
        <v>67.18222425785946</v>
      </c>
      <c r="E46" s="19">
        <f>IF(751594.46837="","-",751594.46837/4332145.11781*100)</f>
        <v>17.349244956732857</v>
      </c>
      <c r="F46" s="19">
        <f>IF(504937.88125="","-",504937.88125/4048616.5172*100)</f>
        <v>12.471862402992222</v>
      </c>
      <c r="G46" s="19">
        <f>IF(3144504.53867="","-",(751594.46837-758765.09179)/3144504.53867*100)</f>
        <v>-0.2280366694281461</v>
      </c>
      <c r="H46" s="19">
        <f>IF(4332145.11781="","-",(504937.88125-751594.46837)/4332145.11781*100)</f>
        <v>-5.6936363028552162</v>
      </c>
    </row>
    <row r="47" spans="1:8" s="6" customFormat="1" x14ac:dyDescent="0.25">
      <c r="A47" s="72" t="s">
        <v>50</v>
      </c>
      <c r="B47" s="45">
        <v>304925.15987999999</v>
      </c>
      <c r="C47" s="45">
        <v>142318.20934999999</v>
      </c>
      <c r="D47" s="20">
        <f>IF(OR(304925.15988="",142318.20935=""),"-",142318.20935/304925.15988*100)</f>
        <v>46.673160524375156</v>
      </c>
      <c r="E47" s="20">
        <f>IF(304925.15988="","-",304925.15988/4332145.11781*100)</f>
        <v>7.0386644857858949</v>
      </c>
      <c r="F47" s="20">
        <f>IF(142318.20935="","-",142318.20935/4048616.5172*100)</f>
        <v>3.5152306657195194</v>
      </c>
      <c r="G47" s="20">
        <f>IF(OR(3144504.53867="",313959.59291="",304925.15988=""),"-",(304925.15988-313959.59291)/3144504.53867*100)</f>
        <v>-0.28730863380535043</v>
      </c>
      <c r="H47" s="20">
        <f>IF(OR(4332145.11781="",142318.20935="",304925.15988=""),"-",(142318.20935-304925.15988)/4332145.11781*100)</f>
        <v>-3.7534973115628589</v>
      </c>
    </row>
    <row r="48" spans="1:8" s="4" customFormat="1" x14ac:dyDescent="0.25">
      <c r="A48" s="72" t="s">
        <v>15</v>
      </c>
      <c r="B48" s="45">
        <v>51492.907099999997</v>
      </c>
      <c r="C48" s="45">
        <v>61636.227400000003</v>
      </c>
      <c r="D48" s="20">
        <f>IF(OR(51492.9071="",61636.2274=""),"-",61636.2274/51492.9071*100)</f>
        <v>119.69848056995798</v>
      </c>
      <c r="E48" s="20">
        <f>IF(51492.9071="","-",51492.9071/4332145.11781*100)</f>
        <v>1.1886237810526268</v>
      </c>
      <c r="F48" s="20">
        <f>IF(61636.2274="","-",61636.2274/4048616.5172*100)</f>
        <v>1.5224022116727238</v>
      </c>
      <c r="G48" s="20">
        <f>IF(OR(3144504.53867="",31732.32781="",51492.9071=""),"-",(51492.9071-31732.32781)/3144504.53867*100)</f>
        <v>0.62841630682962646</v>
      </c>
      <c r="H48" s="20">
        <f>IF(OR(4332145.11781="",61636.2274="",51492.9071=""),"-",(61636.2274-51492.9071)/4332145.11781*100)</f>
        <v>0.23414082456055146</v>
      </c>
    </row>
    <row r="49" spans="1:8" s="2" customFormat="1" ht="15.75" customHeight="1" x14ac:dyDescent="0.25">
      <c r="A49" s="72" t="s">
        <v>312</v>
      </c>
      <c r="B49" s="45">
        <v>62005.761980000003</v>
      </c>
      <c r="C49" s="45">
        <v>39725.849920000001</v>
      </c>
      <c r="D49" s="20">
        <f>IF(OR(62005.76198="",39725.84992=""),"-",39725.84992/62005.76198*100)</f>
        <v>64.06799731420702</v>
      </c>
      <c r="E49" s="20">
        <f>IF(62005.76198="","-",62005.76198/4332145.11781*100)</f>
        <v>1.4312946656631245</v>
      </c>
      <c r="F49" s="20">
        <f>IF(39725.84992="","-",39725.84992/4048616.5172*100)</f>
        <v>0.98122036876622154</v>
      </c>
      <c r="G49" s="20">
        <f>IF(OR(3144504.53867="",65377.83267="",62005.76198=""),"-",(62005.76198-65377.83267)/3144504.53867*100)</f>
        <v>-0.10723694777766965</v>
      </c>
      <c r="H49" s="20">
        <f>IF(OR(4332145.11781="",39725.84992="",62005.76198=""),"-",(39725.84992-62005.76198)/4332145.11781*100)</f>
        <v>-0.51429283770768552</v>
      </c>
    </row>
    <row r="50" spans="1:8" s="6" customFormat="1" x14ac:dyDescent="0.25">
      <c r="A50" s="59" t="s">
        <v>313</v>
      </c>
      <c r="B50" s="43">
        <v>64490.610650000002</v>
      </c>
      <c r="C50" s="43">
        <v>32230.868050000001</v>
      </c>
      <c r="D50" s="20">
        <f>IF(OR(64490.61065="",32230.86805=""),"-",32230.86805/64490.61065*100)</f>
        <v>49.977613369055604</v>
      </c>
      <c r="E50" s="20">
        <f>IF(64490.61065="","-",64490.61065/4332145.11781*100)</f>
        <v>1.4886530551543831</v>
      </c>
      <c r="F50" s="20">
        <f>IF(32230.86805="","-",32230.86805/4048616.5172*100)</f>
        <v>0.796095849361665</v>
      </c>
      <c r="G50" s="20">
        <f>IF(OR(3144504.53867="",118855.20765="",64490.61065=""),"-",(64490.61065-118855.20765)/3144504.53867*100)</f>
        <v>-1.728876404261577</v>
      </c>
      <c r="H50" s="20">
        <f>IF(OR(4332145.11781="",32230.86805="",64490.61065=""),"-",(32230.86805-64490.61065)/4332145.11781*100)</f>
        <v>-0.7446597868426913</v>
      </c>
    </row>
    <row r="51" spans="1:8" s="2" customFormat="1" x14ac:dyDescent="0.25">
      <c r="A51" s="59" t="s">
        <v>54</v>
      </c>
      <c r="B51" s="43">
        <v>18062.36995</v>
      </c>
      <c r="C51" s="43">
        <v>27964.102889999998</v>
      </c>
      <c r="D51" s="20">
        <f>IF(OR(18062.36995="",27964.10289=""),"-",27964.10289/18062.36995*100)</f>
        <v>154.81967741448014</v>
      </c>
      <c r="E51" s="20">
        <f>IF(18062.36995="","-",18062.36995/4332145.11781*100)</f>
        <v>0.41693824788424788</v>
      </c>
      <c r="F51" s="20">
        <f>IF(27964.10289="","-",27964.10289/4048616.5172*100)</f>
        <v>0.69070762249766771</v>
      </c>
      <c r="G51" s="20">
        <f>IF(OR(3144504.53867="",24831.19348="",18062.36995=""),"-",(18062.36995-24831.19348)/3144504.53867*100)</f>
        <v>-0.21525882525400786</v>
      </c>
      <c r="H51" s="20">
        <f>IF(OR(4332145.11781="",27964.10289="",18062.36995=""),"-",(27964.10289-18062.36995)/4332145.11781*100)</f>
        <v>0.22856420250773027</v>
      </c>
    </row>
    <row r="52" spans="1:8" s="2" customFormat="1" x14ac:dyDescent="0.25">
      <c r="A52" s="59" t="s">
        <v>56</v>
      </c>
      <c r="B52" s="43">
        <v>7900.6410299999998</v>
      </c>
      <c r="C52" s="43">
        <v>20242.963930000002</v>
      </c>
      <c r="D52" s="20" t="s">
        <v>366</v>
      </c>
      <c r="E52" s="20">
        <f>IF(7900.64103="","-",7900.64103/4332145.11781*100)</f>
        <v>0.18237249249844978</v>
      </c>
      <c r="F52" s="20">
        <f>IF(20242.96393="","-",20242.96393/4048616.5172*100)</f>
        <v>0.49999706922106613</v>
      </c>
      <c r="G52" s="20">
        <f>IF(OR(3144504.53867="",4413.89083="",7900.64103=""),"-",(7900.64103-4413.89083)/3144504.53867*100)</f>
        <v>0.11088392963410242</v>
      </c>
      <c r="H52" s="20">
        <f>IF(OR(4332145.11781="",20242.96393="",7900.64103=""),"-",(20242.96393-7900.64103)/4332145.11781*100)</f>
        <v>0.28490095701686313</v>
      </c>
    </row>
    <row r="53" spans="1:8" s="2" customFormat="1" x14ac:dyDescent="0.25">
      <c r="A53" s="72" t="s">
        <v>58</v>
      </c>
      <c r="B53" s="45">
        <v>17138.370340000001</v>
      </c>
      <c r="C53" s="45">
        <v>17525.063289999998</v>
      </c>
      <c r="D53" s="20">
        <f>IF(OR(17138.37034="",17525.06329=""),"-",17525.06329/17138.37034*100)</f>
        <v>102.25629941662235</v>
      </c>
      <c r="E53" s="20">
        <f>IF(17138.37034="","-",17138.37034/4332145.11781*100)</f>
        <v>0.39560933149589061</v>
      </c>
      <c r="F53" s="20">
        <f>IF(17525.06329="","-",17525.06329/4048616.5172*100)</f>
        <v>0.43286547924574076</v>
      </c>
      <c r="G53" s="20">
        <f>IF(OR(3144504.53867="",24041.98596="",17138.37034=""),"-",(17138.37034-24041.98596)/3144504.53867*100)</f>
        <v>-0.2195454175722053</v>
      </c>
      <c r="H53" s="20">
        <f>IF(OR(4332145.11781="",17525.06329="",17138.37034=""),"-",(17525.06329-17138.37034)/4332145.11781*100)</f>
        <v>8.9261310386453355E-3</v>
      </c>
    </row>
    <row r="54" spans="1:8" s="4" customFormat="1" x14ac:dyDescent="0.25">
      <c r="A54" s="59" t="s">
        <v>52</v>
      </c>
      <c r="B54" s="43">
        <v>17502.556400000001</v>
      </c>
      <c r="C54" s="43">
        <v>15921.67338</v>
      </c>
      <c r="D54" s="20">
        <f>IF(OR(17502.5564="",15921.67338=""),"-",15921.67338/17502.5564*100)</f>
        <v>90.967702180922544</v>
      </c>
      <c r="E54" s="20">
        <f>IF(17502.5564="","-",17502.5564/4332145.11781*100)</f>
        <v>0.40401593030770755</v>
      </c>
      <c r="F54" s="20">
        <f>IF(15921.67338="","-",15921.67338/4048616.5172*100)</f>
        <v>0.39326207637495231</v>
      </c>
      <c r="G54" s="20">
        <f>IF(OR(3144504.53867="",19485.08255="",17502.5564=""),"-",(17502.5564-19485.08255)/3144504.53867*100)</f>
        <v>-6.3047329893138826E-2</v>
      </c>
      <c r="H54" s="20">
        <f>IF(OR(4332145.11781="",15921.67338="",17502.5564=""),"-",(15921.67338-17502.5564)/4332145.11781*100)</f>
        <v>-3.6491922061908544E-2</v>
      </c>
    </row>
    <row r="55" spans="1:8" s="6" customFormat="1" x14ac:dyDescent="0.25">
      <c r="A55" s="59" t="s">
        <v>31</v>
      </c>
      <c r="B55" s="43">
        <v>7802.3379299999997</v>
      </c>
      <c r="C55" s="43">
        <v>10804.501109999999</v>
      </c>
      <c r="D55" s="20">
        <f>IF(OR(7802.33793="",10804.50111=""),"-",10804.50111/7802.33793*100)</f>
        <v>138.47773842833283</v>
      </c>
      <c r="E55" s="20">
        <f>IF(7802.33793="","-",7802.33793/4332145.11781*100)</f>
        <v>0.18010333721101807</v>
      </c>
      <c r="F55" s="20">
        <f>IF(10804.50111="","-",10804.50111/4048616.5172*100)</f>
        <v>0.26686896780909075</v>
      </c>
      <c r="G55" s="20">
        <f>IF(OR(3144504.53867="",4781.52343="",7802.33793=""),"-",(7802.33793-4781.52343)/3144504.53867*100)</f>
        <v>9.6066469704562216E-2</v>
      </c>
      <c r="H55" s="20">
        <f>IF(OR(4332145.11781="",10804.50111="",7802.33793=""),"-",(10804.50111-7802.33793)/4332145.11781*100)</f>
        <v>6.9299690992753793E-2</v>
      </c>
    </row>
    <row r="56" spans="1:8" s="2" customFormat="1" x14ac:dyDescent="0.25">
      <c r="A56" s="59" t="s">
        <v>66</v>
      </c>
      <c r="B56" s="43">
        <v>6850.9077100000004</v>
      </c>
      <c r="C56" s="43">
        <v>10172.88507</v>
      </c>
      <c r="D56" s="20">
        <f>IF(OR(6850.90771="",10172.88507=""),"-",10172.88507/6850.90771*100)</f>
        <v>148.48959438106343</v>
      </c>
      <c r="E56" s="20">
        <f>IF(6850.90771="","-",6850.90771/4332145.11781*100)</f>
        <v>0.15814123312340223</v>
      </c>
      <c r="F56" s="20">
        <f>IF(10172.88507="","-",10172.88507/4048616.5172*100)</f>
        <v>0.25126818079168212</v>
      </c>
      <c r="G56" s="20">
        <f>IF(OR(3144504.53867="",14403.81776="",6850.90771=""),"-",(6850.90771-14403.81776)/3144504.53867*100)</f>
        <v>-0.24019396242291888</v>
      </c>
      <c r="H56" s="20">
        <f>IF(OR(4332145.11781="",10172.88507="",6850.90771=""),"-",(10172.88507-6850.90771)/4332145.11781*100)</f>
        <v>7.6682042490749627E-2</v>
      </c>
    </row>
    <row r="57" spans="1:8" s="2" customFormat="1" x14ac:dyDescent="0.25">
      <c r="A57" s="59" t="s">
        <v>60</v>
      </c>
      <c r="B57" s="43">
        <v>13279.07584</v>
      </c>
      <c r="C57" s="43">
        <v>10111.13679</v>
      </c>
      <c r="D57" s="20">
        <f>IF(OR(13279.07584="",10111.13679=""),"-",10111.13679/13279.07584*100)</f>
        <v>76.143377083084729</v>
      </c>
      <c r="E57" s="20">
        <f>IF(13279.07584="","-",13279.07584/4332145.11781*100)</f>
        <v>0.30652426174294184</v>
      </c>
      <c r="F57" s="20">
        <f>IF(10111.13679="","-",10111.13679/4048616.5172*100)</f>
        <v>0.24974301090370507</v>
      </c>
      <c r="G57" s="20">
        <f>IF(OR(3144504.53867="",7826.44705="",13279.07584=""),"-",(13279.07584-7826.44705)/3144504.53867*100)</f>
        <v>0.17340184194188646</v>
      </c>
      <c r="H57" s="20">
        <f>IF(OR(4332145.11781="",10111.13679="",13279.07584=""),"-",(10111.13679-13279.07584)/4332145.11781*100)</f>
        <v>-7.3126337272872016E-2</v>
      </c>
    </row>
    <row r="58" spans="1:8" s="2" customFormat="1" x14ac:dyDescent="0.25">
      <c r="A58" s="59" t="s">
        <v>55</v>
      </c>
      <c r="B58" s="43">
        <v>8005.0866599999999</v>
      </c>
      <c r="C58" s="43">
        <v>9181.5755700000009</v>
      </c>
      <c r="D58" s="20">
        <f>IF(OR(8005.08666="",9181.57557=""),"-",9181.57557/8005.08666*100)</f>
        <v>114.69676669309163</v>
      </c>
      <c r="E58" s="20">
        <f>IF(8005.08666="","-",8005.08666/4332145.11781*100)</f>
        <v>0.18478343735739763</v>
      </c>
      <c r="F58" s="20">
        <f>IF(9181.57557="","-",9181.57557/4048616.5172*100)</f>
        <v>0.22678303887249679</v>
      </c>
      <c r="G58" s="20">
        <f>IF(OR(3144504.53867="",12715.77551="",8005.08666=""),"-",(8005.08666-12715.77551)/3144504.53867*100)</f>
        <v>-0.14980702975841254</v>
      </c>
      <c r="H58" s="20">
        <f>IF(OR(4332145.11781="",9181.57557="",8005.08666=""),"-",(9181.57557-8005.08666)/4332145.11781*100)</f>
        <v>2.715719067589184E-2</v>
      </c>
    </row>
    <row r="59" spans="1:8" s="2" customFormat="1" x14ac:dyDescent="0.25">
      <c r="A59" s="59" t="s">
        <v>399</v>
      </c>
      <c r="B59" s="43">
        <v>332.95823999999999</v>
      </c>
      <c r="C59" s="43">
        <v>9150.3574200000003</v>
      </c>
      <c r="D59" s="20" t="s">
        <v>368</v>
      </c>
      <c r="E59" s="20">
        <f>IF(332.95824="","-",332.95824/4332145.11781*100)</f>
        <v>7.6857591550007478E-3</v>
      </c>
      <c r="F59" s="20">
        <f>IF(9150.35742="","-",9150.35742/4048616.5172*100)</f>
        <v>0.22601195695186102</v>
      </c>
      <c r="G59" s="20">
        <f>IF(OR(3144504.53867="",7601.65231="",332.95824=""),"-",(332.95824-7601.65231)/3144504.53867*100)</f>
        <v>-0.23115546441775428</v>
      </c>
      <c r="H59" s="20">
        <f>IF(OR(4332145.11781="",9150.35742="",332.95824=""),"-",(9150.35742-332.95824)/4332145.11781*100)</f>
        <v>0.20353425243652504</v>
      </c>
    </row>
    <row r="60" spans="1:8" s="2" customFormat="1" x14ac:dyDescent="0.25">
      <c r="A60" s="59" t="s">
        <v>53</v>
      </c>
      <c r="B60" s="43">
        <v>9773.3308699999998</v>
      </c>
      <c r="C60" s="43">
        <v>7879.6185100000002</v>
      </c>
      <c r="D60" s="20">
        <f>IF(OR(9773.33087="",7879.61851=""),"-",7879.61851/9773.33087*100)</f>
        <v>80.623674925271416</v>
      </c>
      <c r="E60" s="20">
        <f>IF(9773.33087="","-",9773.33087/4332145.11781*100)</f>
        <v>0.2256002650931658</v>
      </c>
      <c r="F60" s="20">
        <f>IF(7879.61851="","-",7879.61851/4048616.5172*100)</f>
        <v>0.19462496575125124</v>
      </c>
      <c r="G60" s="20">
        <f>IF(OR(3144504.53867="",12399.98227="",9773.33087=""),"-",(9773.33087-12399.98227)/3144504.53867*100)</f>
        <v>-8.3531487002113505E-2</v>
      </c>
      <c r="H60" s="20">
        <f>IF(OR(4332145.11781="",7879.61851="",9773.33087=""),"-",(7879.61851-9773.33087)/4332145.11781*100)</f>
        <v>-4.3713040733901247E-2</v>
      </c>
    </row>
    <row r="61" spans="1:8" s="2" customFormat="1" x14ac:dyDescent="0.25">
      <c r="A61" s="59" t="s">
        <v>355</v>
      </c>
      <c r="B61" s="43">
        <v>377.78733999999997</v>
      </c>
      <c r="C61" s="43">
        <v>7689.3672900000001</v>
      </c>
      <c r="D61" s="20" t="s">
        <v>369</v>
      </c>
      <c r="E61" s="20">
        <f>IF(377.78734="","-",377.78734/4332145.11781*100)</f>
        <v>8.7205605935698725E-3</v>
      </c>
      <c r="F61" s="20">
        <f>IF(7689.36729="","-",7689.36729/4048616.5172*100)</f>
        <v>0.18992579952516528</v>
      </c>
      <c r="G61" s="20">
        <f>IF(OR(3144504.53867="",4043.86263="",377.78734=""),"-",(377.78734-4043.86263)/3144504.53867*100)</f>
        <v>-0.11658673870289923</v>
      </c>
      <c r="H61" s="20">
        <f>IF(OR(4332145.11781="",7689.36729="",377.78734=""),"-",(7689.36729-377.78734)/4332145.11781*100)</f>
        <v>0.16877504679935965</v>
      </c>
    </row>
    <row r="62" spans="1:8" s="2" customFormat="1" x14ac:dyDescent="0.25">
      <c r="A62" s="59" t="s">
        <v>51</v>
      </c>
      <c r="B62" s="45">
        <v>17455.01038</v>
      </c>
      <c r="C62" s="43">
        <v>5148.3572299999996</v>
      </c>
      <c r="D62" s="20">
        <f>IF(OR(17455.01038="",5148.35723=""),"-",5148.35723/17455.01038*100)</f>
        <v>29.495010990649433</v>
      </c>
      <c r="E62" s="20">
        <f>IF(17455.01038="","-",17455.01038/4332145.11781*100)</f>
        <v>0.40291841351851843</v>
      </c>
      <c r="F62" s="20">
        <f>IF(5148.35723="","-",5148.35723/4048616.5172*100)</f>
        <v>0.12716337070028488</v>
      </c>
      <c r="G62" s="20">
        <f>IF(OR(3144504.53867="",5703.52855="",17455.01038=""),"-",(17455.01038-5703.52855)/3144504.53867*100)</f>
        <v>0.3737148948422383</v>
      </c>
      <c r="H62" s="20">
        <f>IF(OR(4332145.11781="",5148.35723="",17455.01038=""),"-",(5148.35723-17455.01038)/4332145.11781*100)</f>
        <v>-0.28407758316788101</v>
      </c>
    </row>
    <row r="63" spans="1:8" s="2" customFormat="1" x14ac:dyDescent="0.25">
      <c r="A63" s="59" t="s">
        <v>103</v>
      </c>
      <c r="B63" s="43">
        <v>3118.7493800000002</v>
      </c>
      <c r="C63" s="43">
        <v>4407.7516999999998</v>
      </c>
      <c r="D63" s="20">
        <f>IF(OR(3118.74938="",4407.7517=""),"-",4407.7517/3118.74938*100)</f>
        <v>141.33074392787532</v>
      </c>
      <c r="E63" s="20">
        <f>IF(3118.74938="","-",3118.74938/4332145.11781*100)</f>
        <v>7.1990879695567556E-2</v>
      </c>
      <c r="F63" s="20">
        <f>IF(4407.7517="","-",4407.7517/4048616.5172*100)</f>
        <v>0.10887056556910893</v>
      </c>
      <c r="G63" s="20">
        <f>IF(OR(3144504.53867="",3682.87261="",3118.74938=""),"-",(3118.74938-3682.87261)/3144504.53867*100)</f>
        <v>-1.7939971879913433E-2</v>
      </c>
      <c r="H63" s="20">
        <f>IF(OR(4332145.11781="",4407.7517="",3118.74938=""),"-",(4407.7517-3118.74938)/4332145.11781*100)</f>
        <v>2.9754366138399824E-2</v>
      </c>
    </row>
    <row r="64" spans="1:8" s="2" customFormat="1" x14ac:dyDescent="0.25">
      <c r="A64" s="59" t="s">
        <v>67</v>
      </c>
      <c r="B64" s="43">
        <v>2873.5498299999999</v>
      </c>
      <c r="C64" s="43">
        <v>3933.7177999999999</v>
      </c>
      <c r="D64" s="20">
        <f>IF(OR(2873.54983="",3933.7178=""),"-",3933.7178/2873.54983*100)</f>
        <v>136.89401725112941</v>
      </c>
      <c r="E64" s="20">
        <f>IF(2873.54983="","-",2873.54983/4332145.11781*100)</f>
        <v>6.6330876548582607E-2</v>
      </c>
      <c r="F64" s="20">
        <f>IF(3933.7178="","-",3933.7178/4048616.5172*100)</f>
        <v>9.7162025182877448E-2</v>
      </c>
      <c r="G64" s="20">
        <f>IF(OR(3144504.53867="",3205.37665="",2873.54983=""),"-",(2873.54983-3205.37665)/3144504.53867*100)</f>
        <v>-1.0552594722612475E-2</v>
      </c>
      <c r="H64" s="20">
        <f>IF(OR(4332145.11781="",3933.7178="",2873.54983=""),"-",(3933.7178-2873.54983)/4332145.11781*100)</f>
        <v>2.4472125036659426E-2</v>
      </c>
    </row>
    <row r="65" spans="1:8" x14ac:dyDescent="0.25">
      <c r="A65" s="72" t="s">
        <v>275</v>
      </c>
      <c r="B65" s="43" t="s">
        <v>272</v>
      </c>
      <c r="C65" s="45">
        <v>3906.7886899999999</v>
      </c>
      <c r="D65" s="20" t="str">
        <f>IF(OR(""="",3906.78869=""),"-",3906.78869/""*100)</f>
        <v>-</v>
      </c>
      <c r="E65" s="20" t="str">
        <f>IF(""="","-",""/4332145.11781*100)</f>
        <v>-</v>
      </c>
      <c r="F65" s="20">
        <f>IF(3906.78869="","-",3906.78869/4048616.5172*100)</f>
        <v>9.6496881673098361E-2</v>
      </c>
      <c r="G65" s="20" t="str">
        <f>IF(OR(3144504.53867="",""="",""=""),"-",(""-"")/3144504.53867*100)</f>
        <v>-</v>
      </c>
      <c r="H65" s="20" t="str">
        <f>IF(OR(4332145.11781="",3906.78869="",""=""),"-",(3906.78869-"")/4332145.11781*100)</f>
        <v>-</v>
      </c>
    </row>
    <row r="66" spans="1:8" x14ac:dyDescent="0.25">
      <c r="A66" s="59" t="s">
        <v>32</v>
      </c>
      <c r="B66" s="43">
        <v>1029.7716700000001</v>
      </c>
      <c r="C66" s="43">
        <v>3268.9934400000002</v>
      </c>
      <c r="D66" s="20" t="s">
        <v>333</v>
      </c>
      <c r="E66" s="20">
        <f>IF(1029.77167="","-",1029.77167/4332145.11781*100)</f>
        <v>2.37704795660348E-2</v>
      </c>
      <c r="F66" s="20">
        <f>IF(3268.99344="","-",3268.99344/4048616.5172*100)</f>
        <v>8.0743469432388165E-2</v>
      </c>
      <c r="G66" s="20">
        <f>IF(OR(3144504.53867="",1225.19286="",1029.77167=""),"-",(1029.77167-1225.19286)/3144504.53867*100)</f>
        <v>-6.214689392137286E-3</v>
      </c>
      <c r="H66" s="20">
        <f>IF(OR(4332145.11781="",3268.99344="",1029.77167=""),"-",(3268.99344-1029.77167)/4332145.11781*100)</f>
        <v>5.1688521716280342E-2</v>
      </c>
    </row>
    <row r="67" spans="1:8" x14ac:dyDescent="0.25">
      <c r="A67" s="72" t="s">
        <v>63</v>
      </c>
      <c r="B67" s="45">
        <v>1791.41687</v>
      </c>
      <c r="C67" s="45">
        <v>3266.5495999999998</v>
      </c>
      <c r="D67" s="20" t="s">
        <v>329</v>
      </c>
      <c r="E67" s="20">
        <f>IF(1791.41687="","-",1791.41687/4332145.11781*100)</f>
        <v>4.1351728099671851E-2</v>
      </c>
      <c r="F67" s="20">
        <f>IF(3266.5496="","-",3266.5496/4048616.5172*100)</f>
        <v>8.06831070841732E-2</v>
      </c>
      <c r="G67" s="20">
        <f>IF(OR(3144504.53867="",744.26758="",1791.41687=""),"-",(1791.41687-744.26758)/3144504.53867*100)</f>
        <v>3.330093110448816E-2</v>
      </c>
      <c r="H67" s="20">
        <f>IF(OR(4332145.11781="",3266.5496="",1791.41687=""),"-",(3266.5496-1791.41687)/4332145.11781*100)</f>
        <v>3.4050861406639904E-2</v>
      </c>
    </row>
    <row r="68" spans="1:8" x14ac:dyDescent="0.25">
      <c r="A68" s="59" t="s">
        <v>316</v>
      </c>
      <c r="B68" s="43">
        <v>2060.6628599999999</v>
      </c>
      <c r="C68" s="43">
        <v>3266.1812199999999</v>
      </c>
      <c r="D68" s="20">
        <f>IF(OR(2060.66286="",3266.18122=""),"-",3266.18122/2060.66286*100)</f>
        <v>158.50148432335021</v>
      </c>
      <c r="E68" s="20">
        <f>IF(2060.66286="","-",2060.66286/4332145.11781*100)</f>
        <v>4.7566801295006317E-2</v>
      </c>
      <c r="F68" s="20">
        <f>IF(3266.18122="","-",3266.18122/4048616.5172*100)</f>
        <v>8.0674008173509892E-2</v>
      </c>
      <c r="G68" s="20">
        <f>IF(OR(3144504.53867="",1524.62242="",2060.66286=""),"-",(2060.66286-1524.62242)/3144504.53867*100)</f>
        <v>1.7046896686201754E-2</v>
      </c>
      <c r="H68" s="20">
        <f>IF(OR(4332145.11781="",3266.18122="",2060.66286=""),"-",(3266.18122-2060.66286)/4332145.11781*100)</f>
        <v>2.7827284802717265E-2</v>
      </c>
    </row>
    <row r="69" spans="1:8" x14ac:dyDescent="0.25">
      <c r="A69" s="59" t="s">
        <v>89</v>
      </c>
      <c r="B69" s="43">
        <v>1858.35247</v>
      </c>
      <c r="C69" s="43">
        <v>2634.0549000000001</v>
      </c>
      <c r="D69" s="20">
        <f>IF(OR(1858.35247="",2634.0549=""),"-",2634.0549/1858.35247*100)</f>
        <v>141.74140495532583</v>
      </c>
      <c r="E69" s="20">
        <f>IF(1858.35247="","-",1858.35247/4332145.11781*100)</f>
        <v>4.2896819461565969E-2</v>
      </c>
      <c r="F69" s="20">
        <f>IF(2634.0549="","-",2634.0549/4048616.5172*100)</f>
        <v>6.5060617344457644E-2</v>
      </c>
      <c r="G69" s="20">
        <f>IF(OR(3144504.53867="",855.68193="",1858.35247=""),"-",(1858.35247-855.68193)/3144504.53867*100)</f>
        <v>3.1886439585935206E-2</v>
      </c>
      <c r="H69" s="20">
        <f>IF(OR(4332145.11781="",2634.0549="",1858.35247=""),"-",(2634.0549-1858.35247)/4332145.11781*100)</f>
        <v>1.7905735124407275E-2</v>
      </c>
    </row>
    <row r="70" spans="1:8" x14ac:dyDescent="0.25">
      <c r="A70" s="59" t="s">
        <v>75</v>
      </c>
      <c r="B70" s="43">
        <v>1899.66192</v>
      </c>
      <c r="C70" s="43">
        <v>2389.8167400000002</v>
      </c>
      <c r="D70" s="20">
        <f>IF(OR(1899.66192="",2389.81674=""),"-",2389.81674/1899.66192*100)</f>
        <v>125.8022132696117</v>
      </c>
      <c r="E70" s="20">
        <f>IF(1899.66192="","-",1899.66192/4332145.11781*100)</f>
        <v>4.3850375930165594E-2</v>
      </c>
      <c r="F70" s="20">
        <f>IF(2389.81674="","-",2389.81674/4048616.5172*100)</f>
        <v>5.9027984741137789E-2</v>
      </c>
      <c r="G70" s="20">
        <f>IF(OR(3144504.53867="",117.84536="",1899.66192=""),"-",(1899.66192-117.84536)/3144504.53867*100)</f>
        <v>5.6664461382957242E-2</v>
      </c>
      <c r="H70" s="20">
        <f>IF(OR(4332145.11781="",2389.81674="",1899.66192=""),"-",(2389.81674-1899.66192)/4332145.11781*100)</f>
        <v>1.1314367517027798E-2</v>
      </c>
    </row>
    <row r="71" spans="1:8" x14ac:dyDescent="0.25">
      <c r="A71" s="72" t="s">
        <v>84</v>
      </c>
      <c r="B71" s="45">
        <v>1778.0430899999999</v>
      </c>
      <c r="C71" s="45">
        <v>2154.9557799999998</v>
      </c>
      <c r="D71" s="20">
        <f>IF(OR(1778.04309="",2154.95578=""),"-",2154.95578/1778.04309*100)</f>
        <v>121.19817523657426</v>
      </c>
      <c r="E71" s="20">
        <f>IF(1778.04309="","-",1778.04309/4332145.11781*100)</f>
        <v>4.1043017757882543E-2</v>
      </c>
      <c r="F71" s="20">
        <f>IF(2154.95578="","-",2154.95578/4048616.5172*100)</f>
        <v>5.3226967060104644E-2</v>
      </c>
      <c r="G71" s="20">
        <f>IF(OR(3144504.53867="",1223.4233="",1778.04309=""),"-",(1778.04309-1223.4233)/3144504.53867*100)</f>
        <v>1.763774811514764E-2</v>
      </c>
      <c r="H71" s="20">
        <f>IF(OR(4332145.11781="",2154.95578="",1778.04309=""),"-",(2154.95578-1778.04309)/4332145.11781*100)</f>
        <v>8.7003708266942363E-3</v>
      </c>
    </row>
    <row r="72" spans="1:8" x14ac:dyDescent="0.25">
      <c r="A72" s="72" t="s">
        <v>76</v>
      </c>
      <c r="B72" s="43">
        <v>875.49329</v>
      </c>
      <c r="C72" s="45">
        <v>1869.23092</v>
      </c>
      <c r="D72" s="20" t="s">
        <v>330</v>
      </c>
      <c r="E72" s="20">
        <f>IF(875.49329="","-",875.49329/4332145.11781*100)</f>
        <v>2.0209232751708515E-2</v>
      </c>
      <c r="F72" s="20">
        <f>IF(1869.23092="","-",1869.23092/4048616.5172*100)</f>
        <v>4.6169621451150659E-2</v>
      </c>
      <c r="G72" s="20">
        <f>IF(OR(3144504.53867="",343.24987="",875.49329=""),"-",(875.49329-343.24987)/3144504.53867*100)</f>
        <v>1.6926145707683339E-2</v>
      </c>
      <c r="H72" s="20">
        <f>IF(OR(4332145.11781="",1869.23092="",875.49329=""),"-",(1869.23092-875.49329)/4332145.11781*100)</f>
        <v>2.2938696718967658E-2</v>
      </c>
    </row>
    <row r="73" spans="1:8" x14ac:dyDescent="0.25">
      <c r="A73" s="72" t="s">
        <v>68</v>
      </c>
      <c r="B73" s="45">
        <v>2305.5220399999998</v>
      </c>
      <c r="C73" s="45">
        <v>1863.1045099999999</v>
      </c>
      <c r="D73" s="20">
        <f>IF(OR(2305.52204="",1863.10451=""),"-",1863.10451/2305.52204*100)</f>
        <v>80.810526972884631</v>
      </c>
      <c r="E73" s="20">
        <f>IF(2305.52204="","-",2305.52204/4332145.11781*100)</f>
        <v>5.3218947595308055E-2</v>
      </c>
      <c r="F73" s="20">
        <f>IF(1863.10451="","-",1863.10451/4048616.5172*100)</f>
        <v>4.6018300377051076E-2</v>
      </c>
      <c r="G73" s="20">
        <f>IF(OR(3144504.53867="",2255.20855="",2305.52204=""),"-",(2305.52204-2255.20855)/3144504.53867*100)</f>
        <v>1.6000450748683162E-3</v>
      </c>
      <c r="H73" s="20">
        <f>IF(OR(4332145.11781="",1863.10451="",2305.52204=""),"-",(1863.10451-2305.52204)/4332145.11781*100)</f>
        <v>-1.02124355941163E-2</v>
      </c>
    </row>
    <row r="74" spans="1:8" x14ac:dyDescent="0.25">
      <c r="A74" s="59" t="s">
        <v>285</v>
      </c>
      <c r="B74" s="43">
        <v>84.655280000000005</v>
      </c>
      <c r="C74" s="43">
        <v>1782.94677</v>
      </c>
      <c r="D74" s="20" t="s">
        <v>342</v>
      </c>
      <c r="E74" s="20">
        <f>IF(84.65528="","-",84.65528/4332145.11781*100)</f>
        <v>1.9541192111033256E-3</v>
      </c>
      <c r="F74" s="20">
        <f>IF(1782.94677="","-",1782.94677/4048616.5172*100)</f>
        <v>4.4038420591957568E-2</v>
      </c>
      <c r="G74" s="20">
        <f>IF(OR(3144504.53867="",2147.14052="",84.65528=""),"-",(84.65528-2147.14052)/3144504.53867*100)</f>
        <v>-6.5590149883273788E-2</v>
      </c>
      <c r="H74" s="20">
        <f>IF(OR(4332145.11781="",1782.94677="",84.65528=""),"-",(1782.94677-84.65528)/4332145.11781*100)</f>
        <v>3.9202091430827368E-2</v>
      </c>
    </row>
    <row r="75" spans="1:8" x14ac:dyDescent="0.25">
      <c r="A75" s="72" t="s">
        <v>80</v>
      </c>
      <c r="B75" s="45">
        <v>1663.7288000000001</v>
      </c>
      <c r="C75" s="45">
        <v>1554.8898200000001</v>
      </c>
      <c r="D75" s="20">
        <f>IF(OR(1663.7288="",1554.88982=""),"-",1554.88982/1663.7288*100)</f>
        <v>93.458129714410191</v>
      </c>
      <c r="E75" s="20">
        <f>IF(1663.7288="","-",1663.7288/4332145.11781*100)</f>
        <v>3.8404272127454807E-2</v>
      </c>
      <c r="F75" s="20">
        <f>IF(1554.88982="","-",1554.88982/4048616.5172*100)</f>
        <v>3.8405460566449327E-2</v>
      </c>
      <c r="G75" s="20">
        <f>IF(OR(3144504.53867="",2590.68159="",1663.7288=""),"-",(1663.7288-2590.68159)/3144504.53867*100)</f>
        <v>-2.9478500622297212E-2</v>
      </c>
      <c r="H75" s="20">
        <f>IF(OR(4332145.11781="",1554.88982="",1663.7288=""),"-",(1554.88982-1663.7288)/4332145.11781*100)</f>
        <v>-2.5123576667030172E-3</v>
      </c>
    </row>
    <row r="76" spans="1:8" x14ac:dyDescent="0.25">
      <c r="A76" s="72" t="s">
        <v>402</v>
      </c>
      <c r="B76" s="45">
        <v>35.35</v>
      </c>
      <c r="C76" s="45">
        <v>1253.4743599999999</v>
      </c>
      <c r="D76" s="20" t="s">
        <v>370</v>
      </c>
      <c r="E76" s="20">
        <f>IF(35.35="","-",35.35/4332145.11781*100)</f>
        <v>8.1599297896720155E-4</v>
      </c>
      <c r="F76" s="20">
        <f>IF(1253.47436="","-",1253.47436/4048616.5172*100)</f>
        <v>3.0960560346350006E-2</v>
      </c>
      <c r="G76" s="20" t="str">
        <f>IF(OR(3144504.53867="",""="",35.35=""),"-",(35.35-"")/3144504.53867*100)</f>
        <v>-</v>
      </c>
      <c r="H76" s="20">
        <f>IF(OR(4332145.11781="",1253.47436="",35.35=""),"-",(1253.47436-35.35)/4332145.11781*100)</f>
        <v>2.8118272284834957E-2</v>
      </c>
    </row>
    <row r="77" spans="1:8" x14ac:dyDescent="0.25">
      <c r="A77" s="59" t="s">
        <v>115</v>
      </c>
      <c r="B77" s="43">
        <v>1402.9917499999999</v>
      </c>
      <c r="C77" s="43">
        <v>1247.9812300000001</v>
      </c>
      <c r="D77" s="20">
        <f>IF(OR(1402.99175="",1247.98123=""),"-",1247.98123/1402.99175*100)</f>
        <v>88.951430398646337</v>
      </c>
      <c r="E77" s="20">
        <f>IF(1402.99175="","-",1402.99175/4332145.11781*100)</f>
        <v>3.2385612943391998E-2</v>
      </c>
      <c r="F77" s="20">
        <f>IF(1247.98123="","-",1247.98123/4048616.5172*100)</f>
        <v>3.0824881158739548E-2</v>
      </c>
      <c r="G77" s="20">
        <f>IF(OR(3144504.53867="",1177.91975="",1402.99175=""),"-",(1402.99175-1177.91975)/3144504.53867*100)</f>
        <v>7.1576299932833405E-3</v>
      </c>
      <c r="H77" s="20">
        <f>IF(OR(4332145.11781="",1247.98123="",1402.99175=""),"-",(1247.98123-1402.99175)/4332145.11781*100)</f>
        <v>-3.5781469868756671E-3</v>
      </c>
    </row>
    <row r="78" spans="1:8" x14ac:dyDescent="0.25">
      <c r="A78" s="59" t="s">
        <v>104</v>
      </c>
      <c r="B78" s="43">
        <v>606.86806000000001</v>
      </c>
      <c r="C78" s="43">
        <v>1171.3857800000001</v>
      </c>
      <c r="D78" s="20" t="s">
        <v>327</v>
      </c>
      <c r="E78" s="20">
        <f>IF(606.86806="","-",606.86806/4332145.11781*100)</f>
        <v>1.4008488716250251E-2</v>
      </c>
      <c r="F78" s="20">
        <f>IF(1171.38578="","-",1171.38578/4048616.5172*100)</f>
        <v>2.8932989208128899E-2</v>
      </c>
      <c r="G78" s="20">
        <f>IF(OR(3144504.53867="",606.0642="",606.86806=""),"-",(606.86806-606.0642)/3144504.53867*100)</f>
        <v>2.5563963737829004E-5</v>
      </c>
      <c r="H78" s="20">
        <f>IF(OR(4332145.11781="",1171.38578="",606.86806=""),"-",(1171.38578-606.86806)/4332145.11781*100)</f>
        <v>1.3030905120864855E-2</v>
      </c>
    </row>
    <row r="79" spans="1:8" x14ac:dyDescent="0.25">
      <c r="A79" s="59" t="s">
        <v>59</v>
      </c>
      <c r="B79" s="43">
        <v>3715.29819</v>
      </c>
      <c r="C79" s="43">
        <v>1170.7924700000001</v>
      </c>
      <c r="D79" s="20">
        <f>IF(OR(3715.29819="",1170.79247=""),"-",1170.79247/3715.29819*100)</f>
        <v>31.512745683543642</v>
      </c>
      <c r="E79" s="20">
        <f>IF(3715.29819="","-",3715.29819/4332145.11781*100)</f>
        <v>8.5761166557554502E-2</v>
      </c>
      <c r="F79" s="20">
        <f>IF(1170.79247="","-",1170.79247/4048616.5172*100)</f>
        <v>2.8918334572465593E-2</v>
      </c>
      <c r="G79" s="20">
        <f>IF(OR(3144504.53867="",1146.97081="",3715.29819=""),"-",(3715.29819-1146.97081)/3144504.53867*100)</f>
        <v>8.1676694958319238E-2</v>
      </c>
      <c r="H79" s="20">
        <f>IF(OR(4332145.11781="",1170.79247="",3715.29819=""),"-",(1170.79247-3715.29819)/4332145.11781*100)</f>
        <v>-5.8735468245032084E-2</v>
      </c>
    </row>
    <row r="80" spans="1:8" x14ac:dyDescent="0.25">
      <c r="A80" s="72" t="s">
        <v>69</v>
      </c>
      <c r="B80" s="45">
        <v>2166.4338400000001</v>
      </c>
      <c r="C80" s="45">
        <v>1103.0977800000001</v>
      </c>
      <c r="D80" s="20">
        <f>IF(OR(2166.43384="",1103.09778=""),"-",1103.09778/2166.43384*100)</f>
        <v>50.917676765979614</v>
      </c>
      <c r="E80" s="20">
        <f>IF(2166.43384="","-",2166.43384/4332145.11781*100)</f>
        <v>5.0008339542770966E-2</v>
      </c>
      <c r="F80" s="20">
        <f>IF(1103.09778="","-",1103.09778/4048616.5172*100)</f>
        <v>2.7246289573577501E-2</v>
      </c>
      <c r="G80" s="20">
        <f>IF(OR(3144504.53867="",924.00727="",2166.43384=""),"-",(2166.43384-924.00727)/3144504.53867*100)</f>
        <v>3.9511043940979547E-2</v>
      </c>
      <c r="H80" s="20">
        <f>IF(OR(4332145.11781="",1103.09778="",2166.43384=""),"-",(1103.09778-2166.43384)/4332145.11781*100)</f>
        <v>-2.4545254858349283E-2</v>
      </c>
    </row>
    <row r="81" spans="1:8" x14ac:dyDescent="0.25">
      <c r="A81" s="59" t="s">
        <v>62</v>
      </c>
      <c r="B81" s="43">
        <v>1482.5551399999999</v>
      </c>
      <c r="C81" s="43">
        <v>1097.63715</v>
      </c>
      <c r="D81" s="20">
        <f>IF(OR(1482.55514="",1097.63715=""),"-",1097.63715/1482.55514*100)</f>
        <v>74.036851674872622</v>
      </c>
      <c r="E81" s="20">
        <f>IF(1482.55514="","-",1482.55514/4332145.11781*100)</f>
        <v>3.4222194771477699E-2</v>
      </c>
      <c r="F81" s="20">
        <f>IF(1097.63715="","-",1097.63715/4048616.5172*100)</f>
        <v>2.7111413129320517E-2</v>
      </c>
      <c r="G81" s="20">
        <f>IF(OR(3144504.53867="",3354.56876="",1482.55514=""),"-",(1482.55514-3354.56876)/3144504.53867*100)</f>
        <v>-5.9532864302742822E-2</v>
      </c>
      <c r="H81" s="20">
        <f>IF(OR(4332145.11781="",1097.63715="",1482.55514=""),"-",(1097.63715-1482.55514)/4332145.11781*100)</f>
        <v>-8.8851591886327415E-3</v>
      </c>
    </row>
    <row r="82" spans="1:8" x14ac:dyDescent="0.25">
      <c r="A82" s="59" t="s">
        <v>82</v>
      </c>
      <c r="B82" s="43">
        <v>1310.7449300000001</v>
      </c>
      <c r="C82" s="43">
        <v>1074.3203000000001</v>
      </c>
      <c r="D82" s="20">
        <f>IF(OR(1310.74493="",1074.3203=""),"-",1074.3203/1310.74493*100)</f>
        <v>81.962575281523314</v>
      </c>
      <c r="E82" s="20">
        <f>IF(1310.74493="","-",1310.74493/4332145.11781*100)</f>
        <v>3.0256256296940766E-2</v>
      </c>
      <c r="F82" s="20">
        <f>IF(1074.3203="","-",1074.3203/4048616.5172*100)</f>
        <v>2.6535491702805031E-2</v>
      </c>
      <c r="G82" s="20">
        <f>IF(OR(3144504.53867="",916.07704="",1310.74493=""),"-",(1310.74493-916.07704)/3144504.53867*100)</f>
        <v>1.2551035787880555E-2</v>
      </c>
      <c r="H82" s="20">
        <f>IF(OR(4332145.11781="",1074.3203="",1310.74493=""),"-",(1074.3203-1310.74493)/4332145.11781*100)</f>
        <v>-5.4574494521900541E-3</v>
      </c>
    </row>
    <row r="83" spans="1:8" x14ac:dyDescent="0.25">
      <c r="A83" s="59" t="s">
        <v>77</v>
      </c>
      <c r="B83" s="43">
        <v>848.98045999999999</v>
      </c>
      <c r="C83" s="43">
        <v>928.25773000000004</v>
      </c>
      <c r="D83" s="20">
        <f>IF(OR(848.98046="",928.25773=""),"-",928.25773/848.98046*100)</f>
        <v>109.33793811932964</v>
      </c>
      <c r="E83" s="20">
        <f>IF(848.98046="","-",848.98046/4332145.11781*100)</f>
        <v>1.9597230400009762E-2</v>
      </c>
      <c r="F83" s="20">
        <f>IF(928.25773="","-",928.25773/4048616.5172*100)</f>
        <v>2.2927776094782564E-2</v>
      </c>
      <c r="G83" s="20">
        <f>IF(OR(3144504.53867="",901.67113="",848.98046=""),"-",(848.98046-901.67113)/3144504.53867*100)</f>
        <v>-1.6756429940561004E-3</v>
      </c>
      <c r="H83" s="20">
        <f>IF(OR(4332145.11781="",928.25773="",848.98046=""),"-",(928.25773-848.98046)/4332145.11781*100)</f>
        <v>1.8299772478553662E-3</v>
      </c>
    </row>
    <row r="84" spans="1:8" x14ac:dyDescent="0.25">
      <c r="A84" s="59" t="s">
        <v>30</v>
      </c>
      <c r="B84" s="45">
        <v>2566.0471899999998</v>
      </c>
      <c r="C84" s="43">
        <v>765.30192</v>
      </c>
      <c r="D84" s="20">
        <f>IF(OR(2566.04719="",765.30192=""),"-",765.30192/2566.04719*100)</f>
        <v>29.824156117721284</v>
      </c>
      <c r="E84" s="20">
        <f>IF(2566.04719="","-",2566.04719/4332145.11781*100)</f>
        <v>5.9232715438147565E-2</v>
      </c>
      <c r="F84" s="20">
        <f>IF(765.30192="","-",765.30192/4048616.5172*100)</f>
        <v>1.8902800913564378E-2</v>
      </c>
      <c r="G84" s="20">
        <f>IF(OR(3144504.53867="",1770.24885="",2566.04719=""),"-",(2566.04719-1770.24885)/3144504.53867*100)</f>
        <v>2.5307590757575778E-2</v>
      </c>
      <c r="H84" s="20">
        <f>IF(OR(4332145.11781="",765.30192="",2566.04719=""),"-",(765.30192-2566.04719)/4332145.11781*100)</f>
        <v>-4.1567057913108843E-2</v>
      </c>
    </row>
    <row r="85" spans="1:8" x14ac:dyDescent="0.25">
      <c r="A85" s="72" t="s">
        <v>264</v>
      </c>
      <c r="B85" s="43">
        <v>344.6062</v>
      </c>
      <c r="C85" s="45">
        <v>689.19691</v>
      </c>
      <c r="D85" s="20" t="s">
        <v>334</v>
      </c>
      <c r="E85" s="20">
        <f>IF(344.6062="","-",344.6062/4332145.11781*100)</f>
        <v>7.9546319578095402E-3</v>
      </c>
      <c r="F85" s="20">
        <f>IF(689.19691="","-",689.19691/4048616.5172*100)</f>
        <v>1.7023022730654782E-2</v>
      </c>
      <c r="G85" s="20">
        <f>IF(OR(3144504.53867="",1046.61781="",344.6062=""),"-",(344.6062-1046.61781)/3144504.53867*100)</f>
        <v>-2.2325030902862773E-2</v>
      </c>
      <c r="H85" s="20">
        <f>IF(OR(4332145.11781="",689.19691="",344.6062=""),"-",(689.19691-344.6062)/4332145.11781*100)</f>
        <v>7.9542743982269608E-3</v>
      </c>
    </row>
    <row r="86" spans="1:8" x14ac:dyDescent="0.25">
      <c r="A86" s="59" t="s">
        <v>265</v>
      </c>
      <c r="B86" s="43">
        <v>1086.3481400000001</v>
      </c>
      <c r="C86" s="43">
        <v>681.81916999999999</v>
      </c>
      <c r="D86" s="20">
        <f>IF(OR(1086.34814="",681.81917=""),"-",681.81917/1086.34814*100)</f>
        <v>62.762492509997756</v>
      </c>
      <c r="E86" s="20">
        <f>IF(1086.34814="","-",1086.34814/4332145.11781*100)</f>
        <v>2.5076448513552438E-2</v>
      </c>
      <c r="F86" s="20">
        <f>IF(681.81917="","-",681.81917/4048616.5172*100)</f>
        <v>1.6840794061462314E-2</v>
      </c>
      <c r="G86" s="20">
        <f>IF(OR(3144504.53867="",1061.8601="",1086.34814=""),"-",(1086.34814-1061.8601)/3144504.53867*100)</f>
        <v>7.7875670710138073E-4</v>
      </c>
      <c r="H86" s="20">
        <f>IF(OR(4332145.11781="",681.81917="",1086.34814=""),"-",(681.81917-1086.34814)/4332145.11781*100)</f>
        <v>-9.3378443934606439E-3</v>
      </c>
    </row>
    <row r="87" spans="1:8" x14ac:dyDescent="0.25">
      <c r="A87" s="59" t="s">
        <v>113</v>
      </c>
      <c r="B87" s="43">
        <v>488.18279000000001</v>
      </c>
      <c r="C87" s="43">
        <v>677.54165</v>
      </c>
      <c r="D87" s="20">
        <f>IF(OR(488.18279="",677.54165=""),"-",677.54165/488.18279*100)</f>
        <v>138.7885160802166</v>
      </c>
      <c r="E87" s="20">
        <f>IF(488.18279="","-",488.18279/4332145.11781*100)</f>
        <v>1.1268846650427716E-2</v>
      </c>
      <c r="F87" s="20">
        <f>IF(677.54165="","-",677.54165/4048616.5172*100)</f>
        <v>1.6735140192249767E-2</v>
      </c>
      <c r="G87" s="20">
        <f>IF(OR(3144504.53867="",332.148="",488.18279=""),"-",(488.18279-332.148)/3144504.53867*100)</f>
        <v>4.9621423051275501E-3</v>
      </c>
      <c r="H87" s="20">
        <f>IF(OR(4332145.11781="",677.54165="",488.18279=""),"-",(677.54165-488.18279)/4332145.11781*100)</f>
        <v>4.3710183950561032E-3</v>
      </c>
    </row>
    <row r="88" spans="1:8" x14ac:dyDescent="0.25">
      <c r="A88" s="72" t="s">
        <v>314</v>
      </c>
      <c r="B88" s="43" t="s">
        <v>272</v>
      </c>
      <c r="C88" s="45">
        <v>669.94482000000005</v>
      </c>
      <c r="D88" s="20" t="str">
        <f>IF(OR(""="",669.94482=""),"-",669.94482/""*100)</f>
        <v>-</v>
      </c>
      <c r="E88" s="20" t="str">
        <f>IF(""="","-",""/4332145.11781*100)</f>
        <v>-</v>
      </c>
      <c r="F88" s="20">
        <f>IF(669.94482="","-",669.94482/4048616.5172*100)</f>
        <v>1.6547500044862978E-2</v>
      </c>
      <c r="G88" s="20" t="str">
        <f>IF(OR(3144504.53867="",""="",""=""),"-",(""-"")/3144504.53867*100)</f>
        <v>-</v>
      </c>
      <c r="H88" s="20" t="str">
        <f>IF(OR(4332145.11781="",669.94482="",""=""),"-",(669.94482-"")/4332145.11781*100)</f>
        <v>-</v>
      </c>
    </row>
    <row r="89" spans="1:8" x14ac:dyDescent="0.25">
      <c r="A89" s="72" t="s">
        <v>73</v>
      </c>
      <c r="B89" s="45">
        <v>219.56353999999999</v>
      </c>
      <c r="C89" s="45">
        <v>643.04205000000002</v>
      </c>
      <c r="D89" s="20" t="s">
        <v>331</v>
      </c>
      <c r="E89" s="20">
        <f>IF(219.56354="","-",219.56354/4332145.11781*100)</f>
        <v>5.0682406528199239E-3</v>
      </c>
      <c r="F89" s="20">
        <f>IF(643.04205="","-",643.04205/4048616.5172*100)</f>
        <v>1.5883007127697146E-2</v>
      </c>
      <c r="G89" s="20">
        <f>IF(OR(3144504.53867="",54.84126="",219.56354=""),"-",(219.56354-54.84126)/3144504.53867*100)</f>
        <v>5.2384176258709085E-3</v>
      </c>
      <c r="H89" s="20">
        <f>IF(OR(4332145.11781="",643.04205="",219.56354=""),"-",(643.04205-219.56354)/4332145.11781*100)</f>
        <v>9.775261411697083E-3</v>
      </c>
    </row>
    <row r="90" spans="1:8" x14ac:dyDescent="0.25">
      <c r="A90" s="59" t="s">
        <v>74</v>
      </c>
      <c r="B90" s="43">
        <v>493.91417999999999</v>
      </c>
      <c r="C90" s="43">
        <v>564.67742999999996</v>
      </c>
      <c r="D90" s="20">
        <f>IF(OR(493.91418="",564.67743=""),"-",564.67743/493.91418*100)</f>
        <v>114.32703349395636</v>
      </c>
      <c r="E90" s="20">
        <f>IF(493.91418="","-",493.91418/4332145.11781*100)</f>
        <v>1.1401145773475037E-2</v>
      </c>
      <c r="F90" s="20">
        <f>IF(564.67743="","-",564.67743/4048616.5172*100)</f>
        <v>1.3947417039896078E-2</v>
      </c>
      <c r="G90" s="20">
        <f>IF(OR(3144504.53867="",523.68822="",493.91418=""),"-",(493.91418-523.68822)/3144504.53867*100)</f>
        <v>-9.4685950151603994E-4</v>
      </c>
      <c r="H90" s="20">
        <f>IF(OR(4332145.11781="",564.67743="",493.91418=""),"-",(564.67743-493.91418)/4332145.11781*100)</f>
        <v>1.6334459736605602E-3</v>
      </c>
    </row>
    <row r="91" spans="1:8" x14ac:dyDescent="0.25">
      <c r="A91" s="59" t="s">
        <v>108</v>
      </c>
      <c r="B91" s="43">
        <v>781.90606000000002</v>
      </c>
      <c r="C91" s="43">
        <v>557.70389999999998</v>
      </c>
      <c r="D91" s="20">
        <f>IF(OR(781.90606="",557.7039=""),"-",557.7039/781.90606*100)</f>
        <v>71.326202536401865</v>
      </c>
      <c r="E91" s="20">
        <f>IF(781.90606="","-",781.90606/4332145.11781*100)</f>
        <v>1.8048935082656505E-2</v>
      </c>
      <c r="F91" s="20">
        <f>IF(557.7039="","-",557.7039/4048616.5172*100)</f>
        <v>1.3775172275039396E-2</v>
      </c>
      <c r="G91" s="20">
        <f>IF(OR(3144504.53867="",723.62304="",781.90606=""),"-",(781.90606-723.62304)/3144504.53867*100)</f>
        <v>1.8534881817868663E-3</v>
      </c>
      <c r="H91" s="20">
        <f>IF(OR(4332145.11781="",557.7039="",781.90606=""),"-",(557.7039-781.90606)/4332145.11781*100)</f>
        <v>-5.1753150899372337E-3</v>
      </c>
    </row>
    <row r="92" spans="1:8" x14ac:dyDescent="0.25">
      <c r="A92" s="72" t="s">
        <v>287</v>
      </c>
      <c r="B92" s="45">
        <v>151.56137000000001</v>
      </c>
      <c r="C92" s="45">
        <v>550.47392000000002</v>
      </c>
      <c r="D92" s="20" t="s">
        <v>328</v>
      </c>
      <c r="E92" s="20">
        <f>IF(151.56137="","-",151.56137/4332145.11781*100)</f>
        <v>3.4985293862135856E-3</v>
      </c>
      <c r="F92" s="20">
        <f>IF(550.47392="","-",550.47392/4048616.5172*100)</f>
        <v>1.3596593247628812E-2</v>
      </c>
      <c r="G92" s="20">
        <f>IF(OR(3144504.53867="",98.65042="",151.56137=""),"-",(151.56137-98.65042)/3144504.53867*100)</f>
        <v>1.6826482312020843E-3</v>
      </c>
      <c r="H92" s="20">
        <f>IF(OR(4332145.11781="",550.47392="",151.56137=""),"-",(550.47392-151.56137)/4332145.11781*100)</f>
        <v>9.2081991519633033E-3</v>
      </c>
    </row>
    <row r="93" spans="1:8" x14ac:dyDescent="0.25">
      <c r="A93" s="72" t="s">
        <v>85</v>
      </c>
      <c r="B93" s="45">
        <v>159.41247999999999</v>
      </c>
      <c r="C93" s="45">
        <v>541.99924999999996</v>
      </c>
      <c r="D93" s="20" t="s">
        <v>337</v>
      </c>
      <c r="E93" s="20">
        <f>IF(159.41248="","-",159.41248/4332145.11781*100)</f>
        <v>3.6797585414356272E-3</v>
      </c>
      <c r="F93" s="20">
        <f>IF(541.99925="","-",541.99925/4048616.5172*100)</f>
        <v>1.3387270631767405E-2</v>
      </c>
      <c r="G93" s="20">
        <f>IF(OR(3144504.53867="",30.11273="",159.41248=""),"-",(159.41248-30.11273)/3144504.53867*100)</f>
        <v>4.1119275997193701E-3</v>
      </c>
      <c r="H93" s="20">
        <f>IF(OR(4332145.11781="",541.99925="",159.41248=""),"-",(541.99925-159.41248)/4332145.11781*100)</f>
        <v>8.8313470485357724E-3</v>
      </c>
    </row>
    <row r="94" spans="1:8" x14ac:dyDescent="0.25">
      <c r="A94" s="72" t="s">
        <v>354</v>
      </c>
      <c r="B94" s="45">
        <v>1765.4454499999999</v>
      </c>
      <c r="C94" s="45">
        <v>464.29158999999999</v>
      </c>
      <c r="D94" s="20">
        <f>IF(OR(1765.44545="",464.29159=""),"-",464.29159/1765.44545*100)</f>
        <v>26.298835231640833</v>
      </c>
      <c r="E94" s="20">
        <f>IF(1765.44545="","-",1765.44545/4332145.11781*100)</f>
        <v>4.0752223251756481E-2</v>
      </c>
      <c r="F94" s="20">
        <f>IF(464.29159="","-",464.29159/4048616.5172*100)</f>
        <v>1.1467907321612701E-2</v>
      </c>
      <c r="G94" s="20">
        <f>IF(OR(3144504.53867="",475.66826="",1765.44545=""),"-",(1765.44545-475.66826)/3144504.53867*100)</f>
        <v>4.1016865268877122E-2</v>
      </c>
      <c r="H94" s="20">
        <f>IF(OR(4332145.11781="",464.29159="",1765.44545=""),"-",(464.29159-1765.44545)/4332145.11781*100)</f>
        <v>-3.003486320554662E-2</v>
      </c>
    </row>
    <row r="95" spans="1:8" x14ac:dyDescent="0.25">
      <c r="A95" s="59" t="s">
        <v>61</v>
      </c>
      <c r="B95" s="43">
        <v>418.64307000000002</v>
      </c>
      <c r="C95" s="43">
        <v>458.65328</v>
      </c>
      <c r="D95" s="20">
        <f>IF(OR(418.64307="",458.65328=""),"-",458.65328/418.64307*100)</f>
        <v>109.55711747479779</v>
      </c>
      <c r="E95" s="20">
        <f>IF(418.64307="","-",418.64307/4332145.11781*100)</f>
        <v>9.6636437288055085E-3</v>
      </c>
      <c r="F95" s="20">
        <f>IF(458.65328="","-",458.65328/4048616.5172*100)</f>
        <v>1.1328642217692723E-2</v>
      </c>
      <c r="G95" s="20">
        <f>IF(OR(3144504.53867="",200.91996="",418.64307=""),"-",(418.64307-200.91996)/3144504.53867*100)</f>
        <v>6.9239241770052643E-3</v>
      </c>
      <c r="H95" s="20">
        <f>IF(OR(4332145.11781="",458.65328="",418.64307=""),"-",(458.65328-418.64307)/4332145.11781*100)</f>
        <v>9.2356578350787251E-4</v>
      </c>
    </row>
    <row r="96" spans="1:8" x14ac:dyDescent="0.25">
      <c r="A96" s="59" t="s">
        <v>270</v>
      </c>
      <c r="B96" s="43">
        <v>297.56828000000002</v>
      </c>
      <c r="C96" s="43">
        <v>450.97350999999998</v>
      </c>
      <c r="D96" s="20">
        <f>IF(OR(297.56828="",450.97351=""),"-",450.97351/297.56828*100)</f>
        <v>151.55295114116328</v>
      </c>
      <c r="E96" s="20">
        <f>IF(297.56828="","-",297.56828/4332145.11781*100)</f>
        <v>6.8688437692601516E-3</v>
      </c>
      <c r="F96" s="20">
        <f>IF(450.97351="","-",450.97351/4048616.5172*100)</f>
        <v>1.1138953469267835E-2</v>
      </c>
      <c r="G96" s="20">
        <f>IF(OR(3144504.53867="",139.09809="",297.56828=""),"-",(297.56828-139.09809)/3144504.53867*100)</f>
        <v>5.0395917083658134E-3</v>
      </c>
      <c r="H96" s="20">
        <f>IF(OR(4332145.11781="",450.97351="",297.56828=""),"-",(450.97351-297.56828)/4332145.11781*100)</f>
        <v>3.5410916723295242E-3</v>
      </c>
    </row>
    <row r="97" spans="1:8" x14ac:dyDescent="0.25">
      <c r="A97" s="68" t="s">
        <v>276</v>
      </c>
      <c r="B97" s="45">
        <v>20.290500000000002</v>
      </c>
      <c r="C97" s="45">
        <v>440.99383999999998</v>
      </c>
      <c r="D97" s="20" t="s">
        <v>371</v>
      </c>
      <c r="E97" s="20">
        <f>IF(20.2905="","-",20.2905/4332145.11781*100)</f>
        <v>4.6837073662613874E-4</v>
      </c>
      <c r="F97" s="20">
        <f>IF(440.99384="","-",440.99384/4048616.5172*100)</f>
        <v>1.0892457661191107E-2</v>
      </c>
      <c r="G97" s="20">
        <f>IF(OR(3144504.53867="",662.95097="",20.2905=""),"-",(20.2905-662.95097)/3144504.53867*100)</f>
        <v>-2.0437574889677842E-2</v>
      </c>
      <c r="H97" s="20">
        <f>IF(OR(4332145.11781="",440.99384="",20.2905=""),"-",(440.99384-20.2905)/4332145.11781*100)</f>
        <v>9.7112014616139008E-3</v>
      </c>
    </row>
    <row r="98" spans="1:8" x14ac:dyDescent="0.25">
      <c r="A98" s="72" t="s">
        <v>88</v>
      </c>
      <c r="B98" s="43">
        <v>193.4367</v>
      </c>
      <c r="C98" s="45">
        <v>386.72460000000001</v>
      </c>
      <c r="D98" s="20" t="s">
        <v>334</v>
      </c>
      <c r="E98" s="20">
        <f>IF(193.4367="","-",193.4367/4332145.11781*100)</f>
        <v>4.4651482057874083E-3</v>
      </c>
      <c r="F98" s="20">
        <f>IF(386.7246="","-",386.7246/4048616.5172*100)</f>
        <v>9.5520185316898456E-3</v>
      </c>
      <c r="G98" s="20">
        <f>IF(OR(3144504.53867="",871.08141="",193.4367=""),"-",(193.4367-871.08141)/3144504.53867*100)</f>
        <v>-2.1550126630970508E-2</v>
      </c>
      <c r="H98" s="20">
        <f>IF(OR(4332145.11781="",386.7246="",193.4367=""),"-",(386.7246-193.4367)/4332145.11781*100)</f>
        <v>4.4617134178023916E-3</v>
      </c>
    </row>
    <row r="99" spans="1:8" x14ac:dyDescent="0.25">
      <c r="A99" s="59" t="s">
        <v>33</v>
      </c>
      <c r="B99" s="43">
        <v>1159.73395</v>
      </c>
      <c r="C99" s="43">
        <v>366.33744000000002</v>
      </c>
      <c r="D99" s="20">
        <f>IF(OR(1159.73395="",366.33744=""),"-",366.33744/1159.73395*100)</f>
        <v>31.588058623273035</v>
      </c>
      <c r="E99" s="20">
        <f>IF(1159.73395="","-",1159.73395/4332145.11781*100)</f>
        <v>2.6770431702118801E-2</v>
      </c>
      <c r="F99" s="20">
        <f>IF(366.33744="","-",366.33744/4048616.5172*100)</f>
        <v>9.0484598490290433E-3</v>
      </c>
      <c r="G99" s="20">
        <f>IF(OR(3144504.53867="",774.44808="",1159.73395=""),"-",(1159.73395-774.44808)/3144504.53867*100)</f>
        <v>1.2252673362747333E-2</v>
      </c>
      <c r="H99" s="20">
        <f>IF(OR(4332145.11781="",366.33744="",1159.73395=""),"-",(366.33744-1159.73395)/4332145.11781*100)</f>
        <v>-1.8314172042350245E-2</v>
      </c>
    </row>
    <row r="100" spans="1:8" x14ac:dyDescent="0.25">
      <c r="A100" s="72" t="s">
        <v>90</v>
      </c>
      <c r="B100" s="45">
        <v>648.55845999999997</v>
      </c>
      <c r="C100" s="45">
        <v>354.57594</v>
      </c>
      <c r="D100" s="20">
        <f>IF(OR(648.55846="",354.57594=""),"-",354.57594/648.55846*100)</f>
        <v>54.671392305945723</v>
      </c>
      <c r="E100" s="20">
        <f>IF(648.55846="","-",648.55846/4332145.11781*100)</f>
        <v>1.4970838749923072E-2</v>
      </c>
      <c r="F100" s="20">
        <f>IF(354.57594="","-",354.57594/4048616.5172*100)</f>
        <v>8.7579532043509691E-3</v>
      </c>
      <c r="G100" s="20">
        <f>IF(OR(3144504.53867="",866.88505="",648.55846=""),"-",(648.55846-866.88505)/3144504.53867*100)</f>
        <v>-6.9431157536933765E-3</v>
      </c>
      <c r="H100" s="20">
        <f>IF(OR(4332145.11781="",354.57594="",648.55846=""),"-",(354.57594-648.55846)/4332145.11781*100)</f>
        <v>-6.7860727654620902E-3</v>
      </c>
    </row>
    <row r="101" spans="1:8" x14ac:dyDescent="0.25">
      <c r="A101" s="72" t="s">
        <v>280</v>
      </c>
      <c r="B101" s="45">
        <v>159.32383999999999</v>
      </c>
      <c r="C101" s="45">
        <v>322.13168000000002</v>
      </c>
      <c r="D101" s="20" t="s">
        <v>334</v>
      </c>
      <c r="E101" s="20">
        <f>IF(159.32384="","-",159.32384/4332145.11781*100)</f>
        <v>3.6777124419262739E-3</v>
      </c>
      <c r="F101" s="20">
        <f>IF(322.13168="","-",322.13168/4048616.5172*100)</f>
        <v>7.9565866174646852E-3</v>
      </c>
      <c r="G101" s="20">
        <f>IF(OR(3144504.53867="",192.04276="",159.32384=""),"-",(159.32384-192.04276)/3144504.53867*100)</f>
        <v>-1.0405111392791564E-3</v>
      </c>
      <c r="H101" s="20">
        <f>IF(OR(4332145.11781="",322.13168="",159.32384=""),"-",(322.13168-159.32384)/4332145.11781*100)</f>
        <v>3.7581344939410341E-3</v>
      </c>
    </row>
    <row r="102" spans="1:8" x14ac:dyDescent="0.25">
      <c r="A102" s="59" t="s">
        <v>81</v>
      </c>
      <c r="B102" s="43">
        <v>54.904240000000001</v>
      </c>
      <c r="C102" s="43">
        <v>319.54660999999999</v>
      </c>
      <c r="D102" s="20" t="s">
        <v>344</v>
      </c>
      <c r="E102" s="20">
        <f>IF(54.90424="","-",54.90424/4332145.11781*100)</f>
        <v>1.2673684400432868E-3</v>
      </c>
      <c r="F102" s="20">
        <f>IF(319.54661="","-",319.54661/4048616.5172*100)</f>
        <v>7.8927359171324183E-3</v>
      </c>
      <c r="G102" s="20">
        <f>IF(OR(3144504.53867="",61.88784="",54.90424=""),"-",(54.90424-61.88784)/3144504.53867*100)</f>
        <v>-2.2208904182258803E-4</v>
      </c>
      <c r="H102" s="20">
        <f>IF(OR(4332145.11781="",319.54661="",54.90424=""),"-",(319.54661-54.90424)/4332145.11781*100)</f>
        <v>6.1088066720577181E-3</v>
      </c>
    </row>
    <row r="103" spans="1:8" x14ac:dyDescent="0.25">
      <c r="A103" s="59" t="s">
        <v>177</v>
      </c>
      <c r="B103" s="43">
        <v>532.67962999999997</v>
      </c>
      <c r="C103" s="43">
        <v>319.48129999999998</v>
      </c>
      <c r="D103" s="20">
        <f>IF(OR(532.67963="",319.4813=""),"-",319.4813/532.67963*100)</f>
        <v>59.976256272461548</v>
      </c>
      <c r="E103" s="20">
        <f>IF(532.67963="","-",532.67963/4332145.11781*100)</f>
        <v>1.2295978447492126E-2</v>
      </c>
      <c r="F103" s="20">
        <f>IF(319.4813="","-",319.4813/4048616.5172*100)</f>
        <v>7.8911227734888411E-3</v>
      </c>
      <c r="G103" s="20">
        <f>IF(OR(3144504.53867="",810.46847="",532.67963=""),"-",(532.67963-810.46847)/3144504.53867*100)</f>
        <v>-8.8341052329183028E-3</v>
      </c>
      <c r="H103" s="20">
        <f>IF(OR(4332145.11781="",319.4813="",532.67963=""),"-",(319.4813-532.67963)/4332145.11781*100)</f>
        <v>-4.921310902617609E-3</v>
      </c>
    </row>
    <row r="104" spans="1:8" x14ac:dyDescent="0.25">
      <c r="A104" s="72" t="s">
        <v>271</v>
      </c>
      <c r="B104" s="45">
        <v>263.53181999999998</v>
      </c>
      <c r="C104" s="45">
        <v>281.59609999999998</v>
      </c>
      <c r="D104" s="20">
        <f>IF(OR(263.53182="",281.5961=""),"-",281.5961/263.53182*100)</f>
        <v>106.85468646632501</v>
      </c>
      <c r="E104" s="20">
        <f>IF(263.53182="","-",263.53182/4332145.11781*100)</f>
        <v>6.0831715658966994E-3</v>
      </c>
      <c r="F104" s="20">
        <f>IF(281.5961="","-",281.5961/4048616.5172*100)</f>
        <v>6.9553660813188164E-3</v>
      </c>
      <c r="G104" s="20" t="str">
        <f>IF(OR(3144504.53867="",""="",263.53182=""),"-",(263.53182-"")/3144504.53867*100)</f>
        <v>-</v>
      </c>
      <c r="H104" s="20">
        <f>IF(OR(4332145.11781="",281.5961="",263.53182=""),"-",(281.5961-263.53182)/4332145.11781*100)</f>
        <v>4.1698233805085254E-4</v>
      </c>
    </row>
    <row r="105" spans="1:8" x14ac:dyDescent="0.25">
      <c r="A105" s="59" t="s">
        <v>86</v>
      </c>
      <c r="B105" s="43">
        <v>228.36518000000001</v>
      </c>
      <c r="C105" s="43">
        <v>269.91185999999999</v>
      </c>
      <c r="D105" s="20">
        <f>IF(OR(228.36518="",269.91186=""),"-",269.91186/228.36518*100)</f>
        <v>118.19308880627074</v>
      </c>
      <c r="E105" s="20">
        <f>IF(228.36518="","-",228.36518/4332145.11781*100)</f>
        <v>5.2714111321239378E-3</v>
      </c>
      <c r="F105" s="20">
        <f>IF(269.91186="","-",269.91186/4048616.5172*100)</f>
        <v>6.6667677428404477E-3</v>
      </c>
      <c r="G105" s="20">
        <f>IF(OR(3144504.53867="",130.35845="",228.36518=""),"-",(228.36518-130.35845)/3144504.53867*100)</f>
        <v>3.1167622369358363E-3</v>
      </c>
      <c r="H105" s="20">
        <f>IF(OR(4332145.11781="",269.91186="",228.36518=""),"-",(269.91186-228.36518)/4332145.11781*100)</f>
        <v>9.5903250861094868E-4</v>
      </c>
    </row>
    <row r="106" spans="1:8" x14ac:dyDescent="0.25">
      <c r="A106" s="59" t="s">
        <v>101</v>
      </c>
      <c r="B106" s="43">
        <v>401.06101000000001</v>
      </c>
      <c r="C106" s="43">
        <v>233.11973</v>
      </c>
      <c r="D106" s="20">
        <f>IF(OR(401.06101="",233.11973=""),"-",233.11973/401.06101*100)</f>
        <v>58.125752488380755</v>
      </c>
      <c r="E106" s="20">
        <f>IF(401.06101="","-",401.06101/4332145.11781*100)</f>
        <v>9.257792596817388E-3</v>
      </c>
      <c r="F106" s="20">
        <f>IF(233.11973="","-",233.11973/4048616.5172*100)</f>
        <v>5.758009656128763E-3</v>
      </c>
      <c r="G106" s="20">
        <f>IF(OR(3144504.53867="",650.25851="",401.06101=""),"-",(401.06101-650.25851)/3144504.53867*100)</f>
        <v>-7.9248573800882668E-3</v>
      </c>
      <c r="H106" s="20">
        <f>IF(OR(4332145.11781="",233.11973="",401.06101=""),"-",(233.11973-401.06101)/4332145.11781*100)</f>
        <v>-3.8766309861036751E-3</v>
      </c>
    </row>
    <row r="107" spans="1:8" x14ac:dyDescent="0.25">
      <c r="A107" s="72" t="s">
        <v>294</v>
      </c>
      <c r="B107" s="45">
        <v>176.90536</v>
      </c>
      <c r="C107" s="45">
        <v>215.64302000000001</v>
      </c>
      <c r="D107" s="20">
        <f>IF(OR(176.90536="",215.64302=""),"-",215.64302/176.90536*100)</f>
        <v>121.89739191622007</v>
      </c>
      <c r="E107" s="20">
        <f>IF(176.90536="","-",176.90536/4332145.11781*100)</f>
        <v>4.0835511089579975E-3</v>
      </c>
      <c r="F107" s="20">
        <f>IF(215.64302="","-",215.64302/4048616.5172*100)</f>
        <v>5.3263384932573828E-3</v>
      </c>
      <c r="G107" s="20">
        <f>IF(OR(3144504.53867="",211.45377="",176.90536=""),"-",(176.90536-211.45377)/3144504.53867*100)</f>
        <v>-1.0986916881542358E-3</v>
      </c>
      <c r="H107" s="20">
        <f>IF(OR(4332145.11781="",215.64302="",176.90536=""),"-",(215.64302-176.90536)/4332145.11781*100)</f>
        <v>8.9419119042768351E-4</v>
      </c>
    </row>
    <row r="108" spans="1:8" s="18" customFormat="1" ht="15" customHeight="1" x14ac:dyDescent="0.2">
      <c r="A108" s="59" t="s">
        <v>341</v>
      </c>
      <c r="B108" s="43">
        <v>36.9</v>
      </c>
      <c r="C108" s="43">
        <v>215.15779000000001</v>
      </c>
      <c r="D108" s="20" t="s">
        <v>344</v>
      </c>
      <c r="E108" s="20">
        <f>IF(36.9="","-",36.9/4332145.11781*100)</f>
        <v>8.5177202047778601E-4</v>
      </c>
      <c r="F108" s="20">
        <f>IF(215.15779="","-",215.15779/4048616.5172*100)</f>
        <v>5.314353411490844E-3</v>
      </c>
      <c r="G108" s="20">
        <f>IF(OR(3144504.53867="",26.508="",36.9=""),"-",(36.9-26.508)/3144504.53867*100)</f>
        <v>3.304813166018008E-4</v>
      </c>
      <c r="H108" s="20">
        <f>IF(OR(4332145.11781="",215.15779="",36.9=""),"-",(215.15779-36.9)/4332145.11781*100)</f>
        <v>4.1147695922548752E-3</v>
      </c>
    </row>
    <row r="109" spans="1:8" s="18" customFormat="1" ht="14.25" customHeight="1" x14ac:dyDescent="0.2">
      <c r="A109" s="59" t="s">
        <v>72</v>
      </c>
      <c r="B109" s="43">
        <v>1093.49514</v>
      </c>
      <c r="C109" s="43">
        <v>195.95788999999999</v>
      </c>
      <c r="D109" s="20">
        <f>IF(OR(1093.49514="",195.95789=""),"-",195.95789/1093.49514*100)</f>
        <v>17.920325644977261</v>
      </c>
      <c r="E109" s="20">
        <f>IF(1093.49514="","-",1093.49514/4332145.11781*100)</f>
        <v>2.5241424519795108E-2</v>
      </c>
      <c r="F109" s="20">
        <f>IF(195.95789="","-",195.95789/4048616.5172*100)</f>
        <v>4.840119808025763E-3</v>
      </c>
      <c r="G109" s="20">
        <f>IF(OR(3144504.53867="",656.69443="",1093.49514=""),"-",(1093.49514-656.69443)/3144504.53867*100)</f>
        <v>1.3890923184507447E-2</v>
      </c>
      <c r="H109" s="20">
        <f>IF(OR(4332145.11781="",195.95789="",1093.49514=""),"-",(195.95789-1093.49514)/4332145.11781*100)</f>
        <v>-2.0718079048416688E-2</v>
      </c>
    </row>
    <row r="110" spans="1:8" x14ac:dyDescent="0.25">
      <c r="A110" s="59" t="s">
        <v>279</v>
      </c>
      <c r="B110" s="43">
        <v>133.77535</v>
      </c>
      <c r="C110" s="43">
        <v>176.58892</v>
      </c>
      <c r="D110" s="20">
        <f>IF(OR(133.77535="",176.58892=""),"-",176.58892/133.77535*100)</f>
        <v>132.00407997437495</v>
      </c>
      <c r="E110" s="20">
        <f>IF(133.77535="","-",133.77535/4332145.11781*100)</f>
        <v>3.0879701940277238E-3</v>
      </c>
      <c r="F110" s="20">
        <f>IF(176.58892="","-",176.58892/4048616.5172*100)</f>
        <v>4.3617102101368658E-3</v>
      </c>
      <c r="G110" s="20">
        <f>IF(OR(3144504.53867="",79.48126="",133.77535=""),"-",(133.77535-79.48126)/3144504.53867*100)</f>
        <v>1.7266341750285478E-3</v>
      </c>
      <c r="H110" s="20">
        <f>IF(OR(4332145.11781="",176.58892="",133.77535=""),"-",(176.58892-133.77535)/4332145.11781*100)</f>
        <v>9.8827645048149386E-4</v>
      </c>
    </row>
    <row r="111" spans="1:8" x14ac:dyDescent="0.25">
      <c r="A111" s="59" t="s">
        <v>274</v>
      </c>
      <c r="B111" s="43">
        <v>102.60799</v>
      </c>
      <c r="C111" s="43">
        <v>175.10164</v>
      </c>
      <c r="D111" s="20" t="s">
        <v>326</v>
      </c>
      <c r="E111" s="20">
        <f>IF(102.60799="","-",102.60799/4332145.11781*100)</f>
        <v>2.3685261506629935E-3</v>
      </c>
      <c r="F111" s="20">
        <f>IF(175.10164="","-",175.10164/4048616.5172*100)</f>
        <v>4.3249746982976615E-3</v>
      </c>
      <c r="G111" s="20" t="str">
        <f>IF(OR(3144504.53867="",""="",102.60799=""),"-",(102.60799-"")/3144504.53867*100)</f>
        <v>-</v>
      </c>
      <c r="H111" s="20">
        <f>IF(OR(4332145.11781="",175.10164="",102.60799=""),"-",(175.10164-102.60799)/4332145.11781*100)</f>
        <v>1.6733892339379258E-3</v>
      </c>
    </row>
    <row r="112" spans="1:8" x14ac:dyDescent="0.25">
      <c r="A112" s="72" t="s">
        <v>286</v>
      </c>
      <c r="B112" s="43">
        <v>45.38449</v>
      </c>
      <c r="C112" s="45">
        <v>164.60524000000001</v>
      </c>
      <c r="D112" s="20" t="s">
        <v>328</v>
      </c>
      <c r="E112" s="20">
        <f>IF(45.38449="","-",45.38449/4332145.11781*100)</f>
        <v>1.0476216462236823E-3</v>
      </c>
      <c r="F112" s="20">
        <f>IF(164.60524="","-",164.60524/4048616.5172*100)</f>
        <v>4.0657157648964007E-3</v>
      </c>
      <c r="G112" s="20" t="str">
        <f>IF(OR(3144504.53867="",""="",45.38449=""),"-",(45.38449-"")/3144504.53867*100)</f>
        <v>-</v>
      </c>
      <c r="H112" s="20">
        <f>IF(OR(4332145.11781="",164.60524="",45.38449=""),"-",(164.60524-45.38449)/4332145.11781*100)</f>
        <v>2.7520026859180762E-3</v>
      </c>
    </row>
    <row r="113" spans="1:8" s="18" customFormat="1" ht="14.25" customHeight="1" x14ac:dyDescent="0.2">
      <c r="A113" s="59" t="s">
        <v>295</v>
      </c>
      <c r="B113" s="43" t="s">
        <v>272</v>
      </c>
      <c r="C113" s="43">
        <v>163.33998</v>
      </c>
      <c r="D113" s="20" t="str">
        <f>IF(OR(""="",163.33998=""),"-",163.33998/""*100)</f>
        <v>-</v>
      </c>
      <c r="E113" s="20" t="str">
        <f>IF(""="","-",""/4332145.11781*100)</f>
        <v>-</v>
      </c>
      <c r="F113" s="20">
        <f>IF(163.33998="","-",163.33998/4048616.5172*100)</f>
        <v>4.0344641016523087E-3</v>
      </c>
      <c r="G113" s="20" t="str">
        <f>IF(OR(3144504.53867="",""="",""=""),"-",(""-"")/3144504.53867*100)</f>
        <v>-</v>
      </c>
      <c r="H113" s="20" t="str">
        <f>IF(OR(4332145.11781="",163.33998="",""=""),"-",(163.33998-"")/4332145.11781*100)</f>
        <v>-</v>
      </c>
    </row>
    <row r="114" spans="1:8" s="18" customFormat="1" ht="15" customHeight="1" x14ac:dyDescent="0.2">
      <c r="A114" s="72" t="s">
        <v>296</v>
      </c>
      <c r="B114" s="45">
        <v>23.586680000000001</v>
      </c>
      <c r="C114" s="45">
        <v>149.77191999999999</v>
      </c>
      <c r="D114" s="20" t="s">
        <v>347</v>
      </c>
      <c r="E114" s="20">
        <f>IF(23.58668="","-",23.58668/4332145.11781*100)</f>
        <v>5.4445729213991841E-4</v>
      </c>
      <c r="F114" s="20">
        <f>IF(149.77192="","-",149.77192/4048616.5172*100)</f>
        <v>3.699335794430375E-3</v>
      </c>
      <c r="G114" s="20">
        <f>IF(OR(3144504.53867="",60.504="",23.58668=""),"-",(23.58668-60.504)/3144504.53867*100)</f>
        <v>-1.1740266088346798E-3</v>
      </c>
      <c r="H114" s="20">
        <f>IF(OR(4332145.11781="",149.77192="",23.58668=""),"-",(149.77192-23.58668)/4332145.11781*100)</f>
        <v>2.9127657677310119E-3</v>
      </c>
    </row>
    <row r="115" spans="1:8" x14ac:dyDescent="0.25">
      <c r="A115" s="72" t="s">
        <v>315</v>
      </c>
      <c r="B115" s="43" t="s">
        <v>272</v>
      </c>
      <c r="C115" s="45">
        <v>115.36005</v>
      </c>
      <c r="D115" s="20" t="str">
        <f>IF(OR(""="",115.36005=""),"-",115.36005/""*100)</f>
        <v>-</v>
      </c>
      <c r="E115" s="20" t="str">
        <f>IF(""="","-",""/4332145.11781*100)</f>
        <v>-</v>
      </c>
      <c r="F115" s="20">
        <f>IF(115.36005="","-",115.36005/4048616.5172*100)</f>
        <v>2.8493696429362577E-3</v>
      </c>
      <c r="G115" s="20" t="str">
        <f>IF(OR(3144504.53867="",""="",""=""),"-",(""-"")/3144504.53867*100)</f>
        <v>-</v>
      </c>
      <c r="H115" s="20" t="str">
        <f>IF(OR(4332145.11781="",115.36005="",""=""),"-",(115.36005-"")/4332145.11781*100)</f>
        <v>-</v>
      </c>
    </row>
    <row r="116" spans="1:8" s="18" customFormat="1" ht="14.25" customHeight="1" x14ac:dyDescent="0.2">
      <c r="A116" s="59" t="s">
        <v>278</v>
      </c>
      <c r="B116" s="43">
        <v>1.15343</v>
      </c>
      <c r="C116" s="43">
        <v>110.6832</v>
      </c>
      <c r="D116" s="20" t="s">
        <v>372</v>
      </c>
      <c r="E116" s="20">
        <f>IF(1.15343="","-",1.15343/4332145.11781*100)</f>
        <v>2.6624916031969995E-5</v>
      </c>
      <c r="F116" s="20">
        <f>IF(110.6832="","-",110.6832/4048616.5172*100)</f>
        <v>2.7338524043899288E-3</v>
      </c>
      <c r="G116" s="20" t="str">
        <f>IF(OR(3144504.53867="",""="",1.15343=""),"-",(1.15343-"")/3144504.53867*100)</f>
        <v>-</v>
      </c>
      <c r="H116" s="20">
        <f>IF(OR(4332145.11781="",110.6832="",1.15343=""),"-",(110.6832-1.15343)/4332145.11781*100)</f>
        <v>2.5283033467579188E-3</v>
      </c>
    </row>
    <row r="117" spans="1:8" s="18" customFormat="1" ht="15" customHeight="1" x14ac:dyDescent="0.2">
      <c r="A117" s="72" t="s">
        <v>269</v>
      </c>
      <c r="B117" s="43">
        <v>62.633279999999999</v>
      </c>
      <c r="C117" s="45">
        <v>65.484999999999999</v>
      </c>
      <c r="D117" s="20">
        <f>IF(OR(62.63328="",65.485=""),"-",65.485/62.63328*100)</f>
        <v>104.55304272744459</v>
      </c>
      <c r="E117" s="20">
        <f>IF(62.63328="","-",62.63328/4332145.11781*100)</f>
        <v>1.4457798226219759E-3</v>
      </c>
      <c r="F117" s="20">
        <f>IF(65.485="","-",65.485/4048616.5172*100)</f>
        <v>1.6174661077875819E-3</v>
      </c>
      <c r="G117" s="20">
        <f>IF(OR(3144504.53867="",11.3325="",62.63328=""),"-",(62.63328-11.3325)/3144504.53867*100)</f>
        <v>1.6314423900211058E-3</v>
      </c>
      <c r="H117" s="20">
        <f>IF(OR(4332145.11781="",65.485="",62.63328=""),"-",(65.485-62.63328)/4332145.11781*100)</f>
        <v>6.5826973068751013E-5</v>
      </c>
    </row>
    <row r="118" spans="1:8" s="18" customFormat="1" ht="14.25" customHeight="1" x14ac:dyDescent="0.2">
      <c r="A118" s="73" t="s">
        <v>365</v>
      </c>
      <c r="B118" s="61">
        <v>4083.0096600000002</v>
      </c>
      <c r="C118" s="61">
        <v>62.251170000000002</v>
      </c>
      <c r="D118" s="46">
        <f>IF(OR(4083.00966="",62.25117=""),"-",62.25117/4083.00966*100)</f>
        <v>1.5246393024698355</v>
      </c>
      <c r="E118" s="46">
        <f>IF(4083.00966="","-",4083.00966/4332145.11781*100)</f>
        <v>9.4249143298875834E-2</v>
      </c>
      <c r="F118" s="46">
        <f>IF(62.25117="","-",62.25117/4048616.5172*100)</f>
        <v>1.5375911681319858E-3</v>
      </c>
      <c r="G118" s="46">
        <f>IF(OR(3144504.53867="",5200.00517="",4083.00966=""),"-",(4083.00966-5200.00517)/3144504.53867*100)</f>
        <v>-3.5522146534170518E-2</v>
      </c>
      <c r="H118" s="46">
        <f>IF(OR(4332145.11781="",62.25117="",4083.00966=""),"-",(62.25117-4083.00966)/4332145.11781*100)</f>
        <v>-9.2812183817900074E-2</v>
      </c>
    </row>
    <row r="119" spans="1:8" s="18" customFormat="1" ht="14.25" customHeight="1" x14ac:dyDescent="0.2">
      <c r="A119" s="9" t="s">
        <v>253</v>
      </c>
      <c r="B119" s="9"/>
      <c r="C119" s="9"/>
      <c r="D119" s="11"/>
      <c r="E119" s="10"/>
      <c r="F119" s="10"/>
      <c r="G119" s="17"/>
      <c r="H119" s="17"/>
    </row>
    <row r="120" spans="1:8" s="18" customFormat="1" ht="15" customHeight="1" x14ac:dyDescent="0.2">
      <c r="A120" s="42" t="s">
        <v>297</v>
      </c>
      <c r="B120" s="42"/>
      <c r="C120" s="42"/>
      <c r="D120" s="42"/>
      <c r="E120" s="42"/>
      <c r="F120" s="42"/>
      <c r="G120" s="17"/>
      <c r="H120" s="17"/>
    </row>
    <row r="121" spans="1:8" x14ac:dyDescent="0.25">
      <c r="A121"/>
      <c r="B121"/>
      <c r="C121"/>
      <c r="D121"/>
      <c r="E121"/>
      <c r="F121"/>
      <c r="G121"/>
      <c r="H121"/>
    </row>
  </sheetData>
  <mergeCells count="7">
    <mergeCell ref="A1:H1"/>
    <mergeCell ref="A3:A4"/>
    <mergeCell ref="E3:F3"/>
    <mergeCell ref="G3:H3"/>
    <mergeCell ref="A2:H2"/>
    <mergeCell ref="D3:D4"/>
    <mergeCell ref="B3:C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137"/>
  <sheetViews>
    <sheetView zoomScaleNormal="100" workbookViewId="0">
      <selection sqref="A1:H1"/>
    </sheetView>
  </sheetViews>
  <sheetFormatPr defaultRowHeight="15.75" x14ac:dyDescent="0.25"/>
  <cols>
    <col min="1" max="1" width="34.5" customWidth="1"/>
    <col min="2" max="3" width="12.375" customWidth="1"/>
    <col min="4" max="4" width="10.875" customWidth="1"/>
    <col min="5" max="6" width="10.5" customWidth="1"/>
    <col min="7" max="8" width="11.25" customWidth="1"/>
    <col min="10" max="10" width="10.25" bestFit="1" customWidth="1"/>
  </cols>
  <sheetData>
    <row r="1" spans="1:15" x14ac:dyDescent="0.25">
      <c r="A1" s="85" t="s">
        <v>301</v>
      </c>
      <c r="B1" s="85"/>
      <c r="C1" s="85"/>
      <c r="D1" s="85"/>
      <c r="E1" s="85"/>
      <c r="F1" s="85"/>
      <c r="G1" s="85"/>
      <c r="H1" s="85"/>
    </row>
    <row r="2" spans="1:15" x14ac:dyDescent="0.25">
      <c r="A2" s="86"/>
      <c r="B2" s="86"/>
      <c r="C2" s="86"/>
      <c r="D2" s="86"/>
      <c r="E2" s="86"/>
      <c r="F2" s="86"/>
      <c r="G2" s="86"/>
      <c r="H2" s="86"/>
    </row>
    <row r="3" spans="1:15" ht="48.75" customHeight="1" x14ac:dyDescent="0.25">
      <c r="A3" s="75"/>
      <c r="B3" s="77" t="s">
        <v>339</v>
      </c>
      <c r="C3" s="84"/>
      <c r="D3" s="82" t="s">
        <v>356</v>
      </c>
      <c r="E3" s="77" t="s">
        <v>91</v>
      </c>
      <c r="F3" s="78"/>
      <c r="G3" s="79" t="s">
        <v>307</v>
      </c>
      <c r="H3" s="80"/>
    </row>
    <row r="4" spans="1:15" s="16" customFormat="1" ht="21" customHeight="1" x14ac:dyDescent="0.2">
      <c r="A4" s="76"/>
      <c r="B4" s="13">
        <v>2022</v>
      </c>
      <c r="C4" s="13">
        <v>2023</v>
      </c>
      <c r="D4" s="83"/>
      <c r="E4" s="13">
        <v>2022</v>
      </c>
      <c r="F4" s="13">
        <v>2023</v>
      </c>
      <c r="G4" s="13" t="s">
        <v>358</v>
      </c>
      <c r="H4" s="12" t="s">
        <v>359</v>
      </c>
      <c r="J4" s="21"/>
      <c r="K4" s="21"/>
      <c r="L4" s="21"/>
      <c r="M4" s="21"/>
      <c r="N4" s="21"/>
      <c r="O4" s="21"/>
    </row>
    <row r="5" spans="1:15" s="16" customFormat="1" ht="14.25" customHeight="1" x14ac:dyDescent="0.2">
      <c r="A5" s="62" t="s">
        <v>99</v>
      </c>
      <c r="B5" s="52">
        <v>9218978.7700999994</v>
      </c>
      <c r="C5" s="53">
        <v>8673668.2763899993</v>
      </c>
      <c r="D5" s="54">
        <f>IF(9218978.7701="","-",8673668.27639/9218978.7701*100)</f>
        <v>94.084914313084099</v>
      </c>
      <c r="E5" s="53">
        <v>100</v>
      </c>
      <c r="F5" s="53">
        <v>100</v>
      </c>
      <c r="G5" s="54">
        <f>IF(7176761.18511="","-",(9218978.7701-7176761.18511)/7176761.18511*100)</f>
        <v>28.455978014526867</v>
      </c>
      <c r="H5" s="54">
        <f>IF(9218978.7701="","-",(8673668.27639-9218978.7701)/9218978.7701*100)</f>
        <v>-5.9150856869158952</v>
      </c>
      <c r="J5" s="21"/>
      <c r="K5" s="21"/>
      <c r="L5" s="21"/>
      <c r="M5" s="21"/>
      <c r="N5" s="21"/>
      <c r="O5" s="21"/>
    </row>
    <row r="6" spans="1:15" s="1" customFormat="1" ht="15" x14ac:dyDescent="0.25">
      <c r="A6" s="63" t="s">
        <v>102</v>
      </c>
      <c r="B6" s="43"/>
      <c r="C6" s="60"/>
      <c r="D6" s="60"/>
      <c r="E6" s="60"/>
      <c r="F6" s="60"/>
      <c r="G6" s="60"/>
      <c r="H6" s="60"/>
    </row>
    <row r="7" spans="1:15" ht="16.5" customHeight="1" x14ac:dyDescent="0.25">
      <c r="A7" s="58" t="s">
        <v>109</v>
      </c>
      <c r="B7" s="44">
        <v>4364825.9331900002</v>
      </c>
      <c r="C7" s="19">
        <v>4187969.5337</v>
      </c>
      <c r="D7" s="19">
        <f>IF(4364825.93319="","-",4187969.5337/4364825.93319*100)</f>
        <v>95.948145419839321</v>
      </c>
      <c r="E7" s="19">
        <f>IF(4364825.93319="","-",4364825.93319/9218978.7701*100)</f>
        <v>47.346089431797814</v>
      </c>
      <c r="F7" s="19">
        <f>IF(4187969.5337="","-",4187969.5337/8673668.27639*100)</f>
        <v>48.283718033116237</v>
      </c>
      <c r="G7" s="19">
        <f>IF(7176761.18511="","-",(4364825.93319-3148990.55968)/7176761.18511*100)</f>
        <v>16.941282315936014</v>
      </c>
      <c r="H7" s="19">
        <f>IF(9218978.7701="","-",(4187969.5337-4364825.93319)/9218978.7701*100)</f>
        <v>-1.9183946931692719</v>
      </c>
    </row>
    <row r="8" spans="1:15" x14ac:dyDescent="0.25">
      <c r="A8" s="59" t="s">
        <v>0</v>
      </c>
      <c r="B8" s="43">
        <v>1647484.95563</v>
      </c>
      <c r="C8" s="45">
        <v>1300058.0404399999</v>
      </c>
      <c r="D8" s="20">
        <f>IF(OR(1647484.95563="",1300058.04044=""),"-",1300058.04044/1647484.95563*100)</f>
        <v>78.91167904127272</v>
      </c>
      <c r="E8" s="20">
        <f>IF(1647484.95563="","-",1647484.95563/9218978.7701*100)</f>
        <v>17.870579775856559</v>
      </c>
      <c r="F8" s="20">
        <f>IF(1300058.04044="","-",1300058.04044/8673668.27639*100)</f>
        <v>14.988560768213826</v>
      </c>
      <c r="G8" s="20">
        <f>IF(OR(7176761.18511="",829938.5716="",1647484.95563=""),"-",(1647484.95563-829938.5716)/7176761.18511*100)</f>
        <v>11.39157849819785</v>
      </c>
      <c r="H8" s="20">
        <f>IF(OR(9218978.7701="",1300058.04044="",1647484.95563=""),"-",(1300058.04044-1647484.95563)/9218978.7701*100)</f>
        <v>-3.7686052203180367</v>
      </c>
    </row>
    <row r="9" spans="1:15" s="2" customFormat="1" x14ac:dyDescent="0.25">
      <c r="A9" s="59" t="s">
        <v>2</v>
      </c>
      <c r="B9" s="43">
        <v>578097.04223999998</v>
      </c>
      <c r="C9" s="45">
        <v>617876.38041999994</v>
      </c>
      <c r="D9" s="20">
        <f>IF(OR(578097.04224="",617876.38042=""),"-",617876.38042/578097.04224*100)</f>
        <v>106.88108315272878</v>
      </c>
      <c r="E9" s="20">
        <f>IF(578097.04224="","-",578097.04224/9218978.7701*100)</f>
        <v>6.2707275573184704</v>
      </c>
      <c r="F9" s="20">
        <f>IF(617876.38042="","-",617876.38042/8673668.27639*100)</f>
        <v>7.1235878607656593</v>
      </c>
      <c r="G9" s="20">
        <f>IF(OR(7176761.18511="",546645.73378="",578097.04224=""),"-",(578097.04224-546645.73378)/7176761.18511*100)</f>
        <v>0.43823819197514385</v>
      </c>
      <c r="H9" s="20">
        <f>IF(OR(9218978.7701="",617876.38042="",578097.04224=""),"-",(617876.38042-578097.04224)/9218978.7701*100)</f>
        <v>0.4314939775001615</v>
      </c>
    </row>
    <row r="10" spans="1:15" s="2" customFormat="1" x14ac:dyDescent="0.25">
      <c r="A10" s="59" t="s">
        <v>1</v>
      </c>
      <c r="B10" s="43">
        <v>438304.65354999999</v>
      </c>
      <c r="C10" s="20">
        <v>470277.01072000002</v>
      </c>
      <c r="D10" s="20">
        <f>IF(OR(438304.65355="",470277.01072=""),"-",470277.01072/438304.65355*100)</f>
        <v>107.29455115546767</v>
      </c>
      <c r="E10" s="20">
        <f>IF(438304.65355="","-",438304.65355/9218978.7701*100)</f>
        <v>4.7543731738656083</v>
      </c>
      <c r="F10" s="20">
        <f>IF(470277.01072="","-",470277.01072/8673668.27639*100)</f>
        <v>5.4218929723207072</v>
      </c>
      <c r="G10" s="20">
        <f>IF(OR(7176761.18511="",444448.00283="",438304.65355=""),"-",(438304.65355-444448.00283)/7176761.18511*100)</f>
        <v>-8.5600581119320937E-2</v>
      </c>
      <c r="H10" s="20">
        <f>IF(OR(9218978.7701="",470277.01072="",438304.65355=""),"-",(470277.01072-438304.65355)/9218978.7701*100)</f>
        <v>0.34681018328945806</v>
      </c>
    </row>
    <row r="11" spans="1:15" s="2" customFormat="1" x14ac:dyDescent="0.25">
      <c r="A11" s="59" t="s">
        <v>3</v>
      </c>
      <c r="B11" s="43">
        <v>302837.26766999997</v>
      </c>
      <c r="C11" s="20">
        <v>317001.53340999997</v>
      </c>
      <c r="D11" s="20">
        <f>IF(OR(302837.26767="",317001.53341=""),"-",317001.53341/302837.26767*100)</f>
        <v>104.67718714046606</v>
      </c>
      <c r="E11" s="20">
        <f>IF(302837.26767="","-",302837.26767/9218978.7701*100)</f>
        <v>3.2849329109227901</v>
      </c>
      <c r="F11" s="20">
        <f>IF(317001.53341="","-",317001.53341/8673668.27639*100)</f>
        <v>3.654757402619238</v>
      </c>
      <c r="G11" s="20">
        <f>IF(OR(7176761.18511="",261620.91597="",302837.26767=""),"-",(302837.26767-261620.91597)/7176761.18511*100)</f>
        <v>0.57430295695938272</v>
      </c>
      <c r="H11" s="20">
        <f>IF(OR(9218978.7701="",317001.53341="",302837.26767=""),"-",(317001.53341-302837.26767)/9218978.7701*100)</f>
        <v>0.15364245968261797</v>
      </c>
    </row>
    <row r="12" spans="1:15" s="2" customFormat="1" x14ac:dyDescent="0.25">
      <c r="A12" s="59" t="s">
        <v>259</v>
      </c>
      <c r="B12" s="43">
        <v>177616.01034000001</v>
      </c>
      <c r="C12" s="20">
        <v>216901.68734999999</v>
      </c>
      <c r="D12" s="20">
        <f>IF(OR(177616.01034="",216901.68735=""),"-",216901.68735/177616.01034*100)</f>
        <v>122.11831970259759</v>
      </c>
      <c r="E12" s="20">
        <f>IF(177616.01034="","-",177616.01034/9218978.7701*100)</f>
        <v>1.9266343352049329</v>
      </c>
      <c r="F12" s="20">
        <f>IF(216901.68735="","-",216901.68735/8673668.27639*100)</f>
        <v>2.5006915233363634</v>
      </c>
      <c r="G12" s="20">
        <f>IF(OR(7176761.18511="",170653.82083="",177616.01034=""),"-",(177616.01034-170653.82083)/7176761.18511*100)</f>
        <v>9.7010187888720803E-2</v>
      </c>
      <c r="H12" s="20">
        <f>IF(OR(9218978.7701="",216901.68735="",177616.01034=""),"-",(216901.68735-177616.01034)/9218978.7701*100)</f>
        <v>0.42613914176064266</v>
      </c>
    </row>
    <row r="13" spans="1:15" s="2" customFormat="1" x14ac:dyDescent="0.25">
      <c r="A13" s="72" t="s">
        <v>36</v>
      </c>
      <c r="B13" s="45">
        <v>178622.2303</v>
      </c>
      <c r="C13" s="45">
        <v>181359.98452999999</v>
      </c>
      <c r="D13" s="20">
        <f>IF(OR(178622.2303="",181359.98453=""),"-",181359.98453/178622.2303*100)</f>
        <v>101.53270632966674</v>
      </c>
      <c r="E13" s="20">
        <f>IF(178622.2303="","-",178622.2303/9218978.7701*100)</f>
        <v>1.9375489927292939</v>
      </c>
      <c r="F13" s="20">
        <f>IF(181359.98453="","-",181359.98453/8673668.27639*100)</f>
        <v>2.0909259929119912</v>
      </c>
      <c r="G13" s="20">
        <f>IF(OR(7176761.18511="",121597.85518="",178622.2303=""),"-",(178622.2303-121597.85518)/7176761.18511*100)</f>
        <v>0.79456977387392291</v>
      </c>
      <c r="H13" s="20">
        <f>IF(OR(9218978.7701="",181359.98453="",178622.2303=""),"-",(181359.98453-178622.2303)/9218978.7701*100)</f>
        <v>2.9696936051955943E-2</v>
      </c>
    </row>
    <row r="14" spans="1:15" s="2" customFormat="1" x14ac:dyDescent="0.25">
      <c r="A14" s="59" t="s">
        <v>262</v>
      </c>
      <c r="B14" s="43">
        <v>138269.03771999999</v>
      </c>
      <c r="C14" s="20">
        <v>165515.52882000001</v>
      </c>
      <c r="D14" s="20">
        <f>IF(OR(138269.03772="",165515.52882=""),"-",165515.52882/138269.03772*100)</f>
        <v>119.7054174595293</v>
      </c>
      <c r="E14" s="20">
        <f>IF(138269.03772="","-",138269.03772/9218978.7701*100)</f>
        <v>1.4998303084117002</v>
      </c>
      <c r="F14" s="20">
        <f>IF(165515.52882="","-",165515.52882/8673668.27639*100)</f>
        <v>1.9082529276631264</v>
      </c>
      <c r="G14" s="20">
        <f>IF(OR(7176761.18511="",114945.04229="",138269.03772=""),"-",(138269.03772-114945.04229)/7176761.18511*100)</f>
        <v>0.32499333373934058</v>
      </c>
      <c r="H14" s="20">
        <f>IF(OR(9218978.7701="",165515.52882="",138269.03772=""),"-",(165515.52882-138269.03772)/9218978.7701*100)</f>
        <v>0.29554782345707115</v>
      </c>
    </row>
    <row r="15" spans="1:15" s="2" customFormat="1" x14ac:dyDescent="0.25">
      <c r="A15" s="59" t="s">
        <v>4</v>
      </c>
      <c r="B15" s="43">
        <v>147522.73538999999</v>
      </c>
      <c r="C15" s="20">
        <v>146953.67189999999</v>
      </c>
      <c r="D15" s="20">
        <f>IF(OR(147522.73539="",146953.6719=""),"-",146953.6719/147522.73539*100)</f>
        <v>99.614253702322159</v>
      </c>
      <c r="E15" s="20">
        <f>IF(147522.73539="","-",147522.73539/9218978.7701*100)</f>
        <v>1.6002069108615573</v>
      </c>
      <c r="F15" s="20">
        <f>IF(146953.6719="","-",146953.6719/8673668.27639*100)</f>
        <v>1.6942505433371546</v>
      </c>
      <c r="G15" s="20">
        <f>IF(OR(7176761.18511="",77215.40492="",147522.73539=""),"-",(147522.73539-77215.40492)/7176761.18511*100)</f>
        <v>0.97965264074650094</v>
      </c>
      <c r="H15" s="20">
        <f>IF(OR(9218978.7701="",146953.6719="",147522.73539=""),"-",(146953.6719-147522.73539)/9218978.7701*100)</f>
        <v>-6.1727389138333776E-3</v>
      </c>
    </row>
    <row r="16" spans="1:15" s="2" customFormat="1" x14ac:dyDescent="0.25">
      <c r="A16" s="59" t="s">
        <v>6</v>
      </c>
      <c r="B16" s="43">
        <v>165862.38703000001</v>
      </c>
      <c r="C16" s="45">
        <v>135085.99705000001</v>
      </c>
      <c r="D16" s="20">
        <f>IF(OR(165862.38703="",135085.99705=""),"-",135085.99705/165862.38703*100)</f>
        <v>81.444623744361408</v>
      </c>
      <c r="E16" s="20">
        <f>IF(165862.38703="","-",165862.38703/9218978.7701*100)</f>
        <v>1.7991405682367234</v>
      </c>
      <c r="F16" s="20">
        <f>IF(135085.99705="","-",135085.99705/8673668.27639*100)</f>
        <v>1.5574263707745013</v>
      </c>
      <c r="G16" s="20">
        <f>IF(OR(7176761.18511="",41903.51165="",165862.38703=""),"-",(165862.38703-41903.51165)/7176761.18511*100)</f>
        <v>1.7272258639061857</v>
      </c>
      <c r="H16" s="20">
        <f>IF(OR(9218978.7701="",135085.99705="",165862.38703=""),"-",(135085.99705-165862.38703)/9218978.7701*100)</f>
        <v>-0.33383730180415822</v>
      </c>
    </row>
    <row r="17" spans="1:8" s="2" customFormat="1" x14ac:dyDescent="0.25">
      <c r="A17" s="72" t="s">
        <v>34</v>
      </c>
      <c r="B17" s="45">
        <v>105527.09586</v>
      </c>
      <c r="C17" s="45">
        <v>120633.79151</v>
      </c>
      <c r="D17" s="20">
        <f>IF(OR(105527.09586="",120633.79151=""),"-",120633.79151/105527.09586*100)</f>
        <v>114.31546611501717</v>
      </c>
      <c r="E17" s="20">
        <f>IF(105527.09586="","-",105527.09586/9218978.7701*100)</f>
        <v>1.1446722949645682</v>
      </c>
      <c r="F17" s="20">
        <f>IF(120633.79151="","-",120633.79151/8673668.27639*100)</f>
        <v>1.3908047629440592</v>
      </c>
      <c r="G17" s="20">
        <f>IF(OR(7176761.18511="",100689.06983="",105527.09586=""),"-",(105527.09586-100689.06983)/7176761.18511*100)</f>
        <v>6.7412387081204714E-2</v>
      </c>
      <c r="H17" s="20">
        <f>IF(OR(9218978.7701="",120633.79151="",105527.09586=""),"-",(120633.79151-105527.09586)/9218978.7701*100)</f>
        <v>0.16386517451364224</v>
      </c>
    </row>
    <row r="18" spans="1:8" s="2" customFormat="1" x14ac:dyDescent="0.25">
      <c r="A18" s="59" t="s">
        <v>5</v>
      </c>
      <c r="B18" s="43">
        <v>82667.011259999999</v>
      </c>
      <c r="C18" s="45">
        <v>86444.140320000006</v>
      </c>
      <c r="D18" s="20">
        <f>IF(OR(82667.01126="",86444.14032=""),"-",86444.14032/82667.01126*100)</f>
        <v>104.56908868777217</v>
      </c>
      <c r="E18" s="20">
        <f>IF(82667.01126="","-",82667.01126/9218978.7701*100)</f>
        <v>0.8967046494142572</v>
      </c>
      <c r="F18" s="20">
        <f>IF(86444.14032="","-",86444.14032/8673668.27639*100)</f>
        <v>0.99662723504545025</v>
      </c>
      <c r="G18" s="20">
        <f>IF(OR(7176761.18511="",97723.13742="",82667.01126=""),"-",(82667.01126-97723.13742)/7176761.18511*100)</f>
        <v>-0.20978998425136017</v>
      </c>
      <c r="H18" s="20">
        <f>IF(OR(9218978.7701="",86444.14032="",82667.01126=""),"-",(86444.14032-82667.01126)/9218978.7701*100)</f>
        <v>4.0971230699113931E-2</v>
      </c>
    </row>
    <row r="19" spans="1:8" s="2" customFormat="1" ht="15.75" customHeight="1" x14ac:dyDescent="0.25">
      <c r="A19" s="59" t="s">
        <v>266</v>
      </c>
      <c r="B19" s="43">
        <v>87986.480309999999</v>
      </c>
      <c r="C19" s="20">
        <v>84353.693580000006</v>
      </c>
      <c r="D19" s="20">
        <f>IF(OR(87986.48031="",84353.69358=""),"-",84353.69358/87986.48031*100)</f>
        <v>95.871198941927545</v>
      </c>
      <c r="E19" s="20">
        <f>IF(87986.48031="","-",87986.48031/9218978.7701*100)</f>
        <v>0.95440593263287876</v>
      </c>
      <c r="F19" s="20">
        <f>IF(84353.69358="","-",84353.69358/8673668.27639*100)</f>
        <v>0.97252616646192758</v>
      </c>
      <c r="G19" s="20">
        <f>IF(OR(7176761.18511="",76824.65901="",87986.48031=""),"-",(87986.48031-76824.65901)/7176761.18511*100)</f>
        <v>0.15552727772463723</v>
      </c>
      <c r="H19" s="20">
        <f>IF(OR(9218978.7701="",84353.69358="",87986.48031=""),"-",(84353.69358-87986.48031)/9218978.7701*100)</f>
        <v>-3.9405522244852581E-2</v>
      </c>
    </row>
    <row r="20" spans="1:8" s="2" customFormat="1" x14ac:dyDescent="0.25">
      <c r="A20" s="59" t="s">
        <v>38</v>
      </c>
      <c r="B20" s="43">
        <v>63115.013079999997</v>
      </c>
      <c r="C20" s="20">
        <v>82520.108319999999</v>
      </c>
      <c r="D20" s="20">
        <f>IF(OR(63115.01308="",82520.10832=""),"-",82520.10832/63115.01308*100)</f>
        <v>130.74560915546911</v>
      </c>
      <c r="E20" s="20">
        <f>IF(63115.01308="","-",63115.01308/9218978.7701*100)</f>
        <v>0.68462044065771699</v>
      </c>
      <c r="F20" s="20">
        <f>IF(82520.10832="","-",82520.10832/8673668.27639*100)</f>
        <v>0.95138649174101286</v>
      </c>
      <c r="G20" s="20">
        <f>IF(OR(7176761.18511="",39586.26418="",63115.01308=""),"-",(63115.01308-39586.26418)/7176761.18511*100)</f>
        <v>0.32784634033547499</v>
      </c>
      <c r="H20" s="20">
        <f>IF(OR(9218978.7701="",82520.10832="",63115.01308=""),"-",(82520.10832-63115.01308)/9218978.7701*100)</f>
        <v>0.21049072488307199</v>
      </c>
    </row>
    <row r="21" spans="1:8" s="2" customFormat="1" x14ac:dyDescent="0.25">
      <c r="A21" s="59" t="s">
        <v>35</v>
      </c>
      <c r="B21" s="43">
        <v>52747.366560000002</v>
      </c>
      <c r="C21" s="20">
        <v>52614.468540000002</v>
      </c>
      <c r="D21" s="20">
        <f>IF(OR(52747.36656="",52614.46854=""),"-",52614.46854/52747.36656*100)</f>
        <v>99.748048047386732</v>
      </c>
      <c r="E21" s="20">
        <f>IF(52747.36656="","-",52747.36656/9218978.7701*100)</f>
        <v>0.57216062511257793</v>
      </c>
      <c r="F21" s="20">
        <f>IF(52614.46854="","-",52614.46854/8673668.27639*100)</f>
        <v>0.60659996282332185</v>
      </c>
      <c r="G21" s="20">
        <f>IF(OR(7176761.18511="",52342.43611="",52747.36656=""),"-",(52747.36656-52342.43611)/7176761.18511*100)</f>
        <v>5.642245012139043E-3</v>
      </c>
      <c r="H21" s="20">
        <f>IF(OR(9218978.7701="",52614.46854="",52747.36656=""),"-",(52614.46854-52747.36656)/9218978.7701*100)</f>
        <v>-1.441569867055448E-3</v>
      </c>
    </row>
    <row r="22" spans="1:8" s="2" customFormat="1" x14ac:dyDescent="0.25">
      <c r="A22" s="59" t="s">
        <v>44</v>
      </c>
      <c r="B22" s="43">
        <v>35269.246229999997</v>
      </c>
      <c r="C22" s="20">
        <v>47617.922550000003</v>
      </c>
      <c r="D22" s="20">
        <f>IF(OR(35269.24623="",47617.92255=""),"-",47617.92255/35269.24623*100)</f>
        <v>135.01258926678233</v>
      </c>
      <c r="E22" s="20">
        <f>IF(35269.24623="","-",35269.24623/9218978.7701*100)</f>
        <v>0.3825721602092097</v>
      </c>
      <c r="F22" s="20">
        <f>IF(47617.92255="","-",47617.92255/8673668.27639*100)</f>
        <v>0.54899404764668602</v>
      </c>
      <c r="G22" s="20">
        <f>IF(OR(7176761.18511="",26117.47425="",35269.24623=""),"-",(35269.24623-26117.47425)/7176761.18511*100)</f>
        <v>0.12751952787543849</v>
      </c>
      <c r="H22" s="20">
        <f>IF(OR(9218978.7701="",47617.92255="",35269.24623=""),"-",(47617.92255-35269.24623)/9218978.7701*100)</f>
        <v>0.13394841910310701</v>
      </c>
    </row>
    <row r="23" spans="1:8" s="2" customFormat="1" x14ac:dyDescent="0.25">
      <c r="A23" s="59" t="s">
        <v>46</v>
      </c>
      <c r="B23" s="43">
        <v>29382.413809999998</v>
      </c>
      <c r="C23" s="20">
        <v>31415.618419999999</v>
      </c>
      <c r="D23" s="20">
        <f>IF(OR(29382.41381="",31415.61842=""),"-",31415.61842/29382.41381*100)</f>
        <v>106.91980115434907</v>
      </c>
      <c r="E23" s="20">
        <f>IF(29382.41381="","-",29382.41381/9218978.7701*100)</f>
        <v>0.3187165795987757</v>
      </c>
      <c r="F23" s="20">
        <f>IF(31415.61842="","-",31415.61842/8673668.27639*100)</f>
        <v>0.36219529521914401</v>
      </c>
      <c r="G23" s="20">
        <f>IF(OR(7176761.18511="",30607.98157="",29382.41381=""),"-",(29382.41381-30607.98157)/7176761.18511*100)</f>
        <v>-1.7076892046272222E-2</v>
      </c>
      <c r="H23" s="20">
        <f>IF(OR(9218978.7701="",31415.61842="",29382.41381=""),"-",(31415.61842-29382.41381)/9218978.7701*100)</f>
        <v>2.2054553554177958E-2</v>
      </c>
    </row>
    <row r="24" spans="1:8" s="2" customFormat="1" x14ac:dyDescent="0.25">
      <c r="A24" s="59" t="s">
        <v>45</v>
      </c>
      <c r="B24" s="43">
        <v>26888.340789999998</v>
      </c>
      <c r="C24" s="20">
        <v>28693.931250000001</v>
      </c>
      <c r="D24" s="20">
        <f>IF(OR(26888.34079="",28693.93125=""),"-",28693.93125/26888.34079*100)</f>
        <v>106.71514272339004</v>
      </c>
      <c r="E24" s="20">
        <f>IF(26888.34079="","-",26888.34079/9218978.7701*100)</f>
        <v>0.29166289955246677</v>
      </c>
      <c r="F24" s="20">
        <f>IF(28693.93125="","-",28693.93125/8673668.27639*100)</f>
        <v>0.33081656267747517</v>
      </c>
      <c r="G24" s="20">
        <f>IF(OR(7176761.18511="",27060.0913="",26888.34079=""),"-",(26888.34079-27060.0913)/7176761.18511*100)</f>
        <v>-2.3931479057202206E-3</v>
      </c>
      <c r="H24" s="20">
        <f>IF(OR(9218978.7701="",28693.93125="",26888.34079=""),"-",(28693.93125-26888.34079)/9218978.7701*100)</f>
        <v>1.9585579976125898E-2</v>
      </c>
    </row>
    <row r="25" spans="1:8" s="2" customFormat="1" x14ac:dyDescent="0.25">
      <c r="A25" s="59" t="s">
        <v>39</v>
      </c>
      <c r="B25" s="43">
        <v>19059.662810000002</v>
      </c>
      <c r="C25" s="20">
        <v>20516.894990000001</v>
      </c>
      <c r="D25" s="20">
        <f>IF(OR(19059.66281="",20516.89499=""),"-",20516.89499/19059.66281*100)</f>
        <v>107.64563462914694</v>
      </c>
      <c r="E25" s="20">
        <f>IF(19059.66281="","-",19059.66281/9218978.7701*100)</f>
        <v>0.20674375421946284</v>
      </c>
      <c r="F25" s="20">
        <f>IF(20516.89499="","-",20516.89499/8673668.27639*100)</f>
        <v>0.23654230639471932</v>
      </c>
      <c r="G25" s="20">
        <f>IF(OR(7176761.18511="",15987.79942="",19059.66281=""),"-",(19059.66281-15987.79942)/7176761.18511*100)</f>
        <v>4.280292057611388E-2</v>
      </c>
      <c r="H25" s="20">
        <f>IF(OR(9218978.7701="",20516.89499="",19059.66281=""),"-",(20516.89499-19059.66281)/9218978.7701*100)</f>
        <v>1.5806872066201669E-2</v>
      </c>
    </row>
    <row r="26" spans="1:8" s="2" customFormat="1" x14ac:dyDescent="0.25">
      <c r="A26" s="59" t="s">
        <v>42</v>
      </c>
      <c r="B26" s="43">
        <v>20774.682570000001</v>
      </c>
      <c r="C26" s="20">
        <v>19219.328010000001</v>
      </c>
      <c r="D26" s="20">
        <f>IF(OR(20774.68257="",19219.32801=""),"-",19219.32801/20774.68257*100)</f>
        <v>92.51322105760579</v>
      </c>
      <c r="E26" s="20">
        <f>IF(20774.68257="","-",20774.68257/9218978.7701*100)</f>
        <v>0.22534689674499225</v>
      </c>
      <c r="F26" s="20">
        <f>IF(19219.32801="","-",19219.32801/8673668.27639*100)</f>
        <v>0.22158246542948412</v>
      </c>
      <c r="G26" s="20">
        <f>IF(OR(7176761.18511="",17189.08875="",20774.68257=""),"-",(20774.68257-17189.08875)/7176761.18511*100)</f>
        <v>4.9961169495777849E-2</v>
      </c>
      <c r="H26" s="20">
        <f>IF(OR(9218978.7701="",19219.32801="",20774.68257=""),"-",(19219.32801-20774.68257)/9218978.7701*100)</f>
        <v>-1.6871224012842894E-2</v>
      </c>
    </row>
    <row r="27" spans="1:8" s="2" customFormat="1" x14ac:dyDescent="0.25">
      <c r="A27" s="59" t="s">
        <v>43</v>
      </c>
      <c r="B27" s="43">
        <v>20481.40597</v>
      </c>
      <c r="C27" s="20">
        <v>19185.757799999999</v>
      </c>
      <c r="D27" s="20">
        <f>IF(OR(20481.40597="",19185.7578=""),"-",19185.7578/20481.40597*100)</f>
        <v>93.674027203514285</v>
      </c>
      <c r="E27" s="20">
        <f>IF(20481.40597="","-",20481.40597/9218978.7701*100)</f>
        <v>0.22216567019795658</v>
      </c>
      <c r="F27" s="20">
        <f>IF(19185.7578="","-",19185.7578/8673668.27639*100)</f>
        <v>0.22119542953036656</v>
      </c>
      <c r="G27" s="20">
        <f>IF(OR(7176761.18511="",15208.58912="",20481.40597=""),"-",(20481.40597-15208.58912)/7176761.18511*100)</f>
        <v>7.3470702368357843E-2</v>
      </c>
      <c r="H27" s="20">
        <f>IF(OR(9218978.7701="",19185.7578="",20481.40597=""),"-",(19185.7578-20481.40597)/9218978.7701*100)</f>
        <v>-1.4054139859852896E-2</v>
      </c>
    </row>
    <row r="28" spans="1:8" s="2" customFormat="1" x14ac:dyDescent="0.25">
      <c r="A28" s="59" t="s">
        <v>37</v>
      </c>
      <c r="B28" s="43">
        <v>17600.007420000002</v>
      </c>
      <c r="C28" s="20">
        <v>17746.8086</v>
      </c>
      <c r="D28" s="20">
        <f>IF(OR(17600.00742="",17746.8086=""),"-",17746.8086/17600.00742*100)</f>
        <v>100.83409726198853</v>
      </c>
      <c r="E28" s="20">
        <f>IF(17600.00742="","-",17600.00742/9218978.7701*100)</f>
        <v>0.19091059713774666</v>
      </c>
      <c r="F28" s="20">
        <f>IF(17746.8086="","-",17746.8086/8673668.27639*100)</f>
        <v>0.20460557211194455</v>
      </c>
      <c r="G28" s="20">
        <f>IF(OR(7176761.18511="",15337.54398="",17600.00742=""),"-",(17600.00742-15337.54398)/7176761.18511*100)</f>
        <v>3.1524853365527225E-2</v>
      </c>
      <c r="H28" s="20">
        <f>IF(OR(9218978.7701="",17746.8086="",17600.00742=""),"-",(17746.8086-17600.00742)/9218978.7701*100)</f>
        <v>1.5923800635719025E-3</v>
      </c>
    </row>
    <row r="29" spans="1:8" s="2" customFormat="1" x14ac:dyDescent="0.25">
      <c r="A29" s="59" t="s">
        <v>47</v>
      </c>
      <c r="B29" s="43">
        <v>8920.4155200000005</v>
      </c>
      <c r="C29" s="20">
        <v>9149.2101700000003</v>
      </c>
      <c r="D29" s="20">
        <f>IF(OR(8920.41552="",9149.21017=""),"-",9149.21017/8920.41552*100)</f>
        <v>102.56484296596982</v>
      </c>
      <c r="E29" s="20">
        <f>IF(8920.41552="","-",8920.41552/9218978.7701*100)</f>
        <v>9.6761428163081017E-2</v>
      </c>
      <c r="F29" s="20">
        <f>IF(9149.21017="","-",9149.21017/8673668.27639*100)</f>
        <v>0.10548259258316856</v>
      </c>
      <c r="G29" s="20">
        <f>IF(OR(7176761.18511="",7942.59346="",8920.41552=""),"-",(8920.41552-7942.59346)/7176761.18511*100)</f>
        <v>1.3624837650007621E-2</v>
      </c>
      <c r="H29" s="20">
        <f>IF(OR(9218978.7701="",9149.21017="",8920.41552=""),"-",(9149.21017-8920.41552)/9218978.7701*100)</f>
        <v>2.4817786840127202E-3</v>
      </c>
    </row>
    <row r="30" spans="1:8" s="2" customFormat="1" x14ac:dyDescent="0.25">
      <c r="A30" s="59" t="s">
        <v>260</v>
      </c>
      <c r="B30" s="43">
        <v>10220.578170000001</v>
      </c>
      <c r="C30" s="20">
        <v>6931.8068800000001</v>
      </c>
      <c r="D30" s="20">
        <f>IF(OR(10220.57817="",6931.80688=""),"-",6931.80688/10220.57817*100)</f>
        <v>67.822062164219034</v>
      </c>
      <c r="E30" s="20">
        <f>IF(10220.57817="","-",10220.57817/9218978.7701*100)</f>
        <v>0.11086453743823013</v>
      </c>
      <c r="F30" s="20">
        <f>IF(6931.80688="","-",6931.80688/8673668.27639*100)</f>
        <v>7.9917823222137738E-2</v>
      </c>
      <c r="G30" s="20">
        <f>IF(OR(7176761.18511="",7814.2736="",10220.57817=""),"-",(10220.57817-7814.2736)/7176761.18511*100)</f>
        <v>3.3529115821667378E-2</v>
      </c>
      <c r="H30" s="20">
        <f>IF(OR(9218978.7701="",6931.80688="",10220.57817=""),"-",(6931.80688-10220.57817)/9218978.7701*100)</f>
        <v>-3.5673921938799813E-2</v>
      </c>
    </row>
    <row r="31" spans="1:8" s="2" customFormat="1" x14ac:dyDescent="0.25">
      <c r="A31" s="59" t="s">
        <v>40</v>
      </c>
      <c r="B31" s="43">
        <v>5764.3485000000001</v>
      </c>
      <c r="C31" s="20">
        <v>6631.1792299999997</v>
      </c>
      <c r="D31" s="20">
        <f>IF(OR(5764.3485="",6631.17923=""),"-",6631.17923/5764.3485*100)</f>
        <v>115.03779186841324</v>
      </c>
      <c r="E31" s="20">
        <f>IF(5764.3485="","-",5764.3485/9218978.7701*100)</f>
        <v>6.2526974448575218E-2</v>
      </c>
      <c r="F31" s="20">
        <f>IF(6631.17923="","-",6631.17923/8673668.27639*100)</f>
        <v>7.6451842734754805E-2</v>
      </c>
      <c r="G31" s="20">
        <f>IF(OR(7176761.18511="",5851.0648="",5764.3485=""),"-",(5764.3485-5851.0648)/7176761.18511*100)</f>
        <v>-1.2082929578305444E-3</v>
      </c>
      <c r="H31" s="20">
        <f>IF(OR(9218978.7701="",6631.17923="",5764.3485=""),"-",(6631.17923-5764.3485)/9218978.7701*100)</f>
        <v>9.402676279192659E-3</v>
      </c>
    </row>
    <row r="32" spans="1:8" s="2" customFormat="1" x14ac:dyDescent="0.25">
      <c r="A32" s="59" t="s">
        <v>48</v>
      </c>
      <c r="B32" s="43">
        <v>2896.5873900000001</v>
      </c>
      <c r="C32" s="20">
        <v>2119.7885700000002</v>
      </c>
      <c r="D32" s="20">
        <f>IF(OR(2896.58739="",2119.78857=""),"-",2119.78857/2896.58739*100)</f>
        <v>73.182275712385817</v>
      </c>
      <c r="E32" s="20">
        <f>IF(2896.58739="","-",2896.58739/9218978.7701*100)</f>
        <v>3.1419829269967829E-2</v>
      </c>
      <c r="F32" s="20">
        <f>IF(2119.78857="","-",2119.78857/8673668.27639*100)</f>
        <v>2.443935486638487E-2</v>
      </c>
      <c r="G32" s="20">
        <f>IF(OR(7176761.18511="",2480.93027="",2896.58739=""),"-",(2896.58739-2480.93027)/7176761.18511*100)</f>
        <v>5.7917089516979579E-3</v>
      </c>
      <c r="H32" s="20">
        <f>IF(OR(9218978.7701="",2119.78857="",2896.58739=""),"-",(2119.78857-2896.58739)/9218978.7701*100)</f>
        <v>-8.4260831852590746E-3</v>
      </c>
    </row>
    <row r="33" spans="1:8" s="2" customFormat="1" x14ac:dyDescent="0.25">
      <c r="A33" s="59" t="s">
        <v>41</v>
      </c>
      <c r="B33" s="43">
        <v>720.93204000000003</v>
      </c>
      <c r="C33" s="20">
        <v>1020.16667</v>
      </c>
      <c r="D33" s="20">
        <f>IF(OR(720.93204="",1020.16667=""),"-",1020.16667/720.93204*100)</f>
        <v>141.50663493884943</v>
      </c>
      <c r="E33" s="20">
        <f>IF(720.93204="","-",720.93204/9218978.7701*100)</f>
        <v>7.8200856947214775E-3</v>
      </c>
      <c r="F33" s="20">
        <f>IF(1020.16667="","-",1020.16667/8673668.27639*100)</f>
        <v>1.1761651904268994E-2</v>
      </c>
      <c r="G33" s="20">
        <f>IF(OR(7176761.18511="",1129.70087="",720.93204=""),"-",(720.93204-1129.70087)/7176761.18511*100)</f>
        <v>-5.6957284693838475E-3</v>
      </c>
      <c r="H33" s="20">
        <f>IF(OR(9218978.7701="",1020.16667="",720.93204=""),"-",(1020.16667-720.93204)/9218978.7701*100)</f>
        <v>3.2458544212132304E-3</v>
      </c>
    </row>
    <row r="34" spans="1:8" s="2" customFormat="1" x14ac:dyDescent="0.25">
      <c r="A34" s="59" t="s">
        <v>49</v>
      </c>
      <c r="B34" s="43">
        <v>47.311079999999997</v>
      </c>
      <c r="C34" s="20">
        <v>84.442830000000001</v>
      </c>
      <c r="D34" s="20" t="s">
        <v>329</v>
      </c>
      <c r="E34" s="20">
        <f>IF(47.31108="","-",47.31108/9218978.7701*100)</f>
        <v>5.1319220034918049E-4</v>
      </c>
      <c r="F34" s="20">
        <f>IF(84.44283="","-",84.44283/8673668.27639*100)</f>
        <v>9.7355383338622791E-4</v>
      </c>
      <c r="G34" s="20">
        <f>IF(OR(7176761.18511="",86.1618="",47.31108=""),"-",(47.31108-86.1618)/7176761.18511*100)</f>
        <v>-5.4134057129566482E-4</v>
      </c>
      <c r="H34" s="20">
        <f>IF(OR(9218978.7701="",84.44283="",47.31108=""),"-",(84.44283-47.31108)/9218978.7701*100)</f>
        <v>4.0277508958399774E-4</v>
      </c>
    </row>
    <row r="35" spans="1:8" s="2" customFormat="1" ht="24" x14ac:dyDescent="0.25">
      <c r="A35" s="59" t="s">
        <v>401</v>
      </c>
      <c r="B35" s="43">
        <v>140.71395000000001</v>
      </c>
      <c r="C35" s="20">
        <v>40.640819999999998</v>
      </c>
      <c r="D35" s="20">
        <f>IF(OR(140.71395="",40.64082=""),"-",40.64082/140.71395*100)</f>
        <v>28.881869921212498</v>
      </c>
      <c r="E35" s="20">
        <f>IF(140.71395="","-",140.71395/9218978.7701*100)</f>
        <v>1.526350732647079E-3</v>
      </c>
      <c r="F35" s="20">
        <f>IF(40.64082="","-",40.64082/8673668.27639*100)</f>
        <v>4.6855400396883518E-4</v>
      </c>
      <c r="G35" s="20">
        <f>IF(OR(7176761.18511="",42.84089="",140.71395=""),"-",(140.71395-42.84089)/7176761.18511*100)</f>
        <v>1.3637497120994125E-3</v>
      </c>
      <c r="H35" s="20">
        <f>IF(OR(9218978.7701="",40.64082="",140.71395=""),"-",(40.64082-140.71395)/9218978.7701*100)</f>
        <v>-1.0855120995024758E-3</v>
      </c>
    </row>
    <row r="36" spans="1:8" s="2" customFormat="1" ht="13.5" customHeight="1" x14ac:dyDescent="0.25">
      <c r="A36" s="58" t="s">
        <v>173</v>
      </c>
      <c r="B36" s="44">
        <v>2185551.4602899998</v>
      </c>
      <c r="C36" s="19">
        <v>1609661.19997</v>
      </c>
      <c r="D36" s="19">
        <f>IF(2185551.46029="","-",1609661.19997/2185551.46029*100)</f>
        <v>73.650116650944227</v>
      </c>
      <c r="E36" s="19">
        <f>IF(2185551.46029="","-",2185551.46029/9218978.7701*100)</f>
        <v>23.707088548445512</v>
      </c>
      <c r="F36" s="19">
        <f>IF(1609661.19997="","-",1609661.19997/8673668.27639*100)</f>
        <v>18.55802122789903</v>
      </c>
      <c r="G36" s="19">
        <f>IF(7176761.18511="","-",(2185551.46029-1905602.03706)/7176761.18511*100)</f>
        <v>3.9007766318158317</v>
      </c>
      <c r="H36" s="19">
        <f>IF(9218978.7701="","-",(1609661.19997-2185551.46029)/9218978.7701*100)</f>
        <v>-6.246790177972751</v>
      </c>
    </row>
    <row r="37" spans="1:8" s="2" customFormat="1" x14ac:dyDescent="0.25">
      <c r="A37" s="59" t="s">
        <v>8</v>
      </c>
      <c r="B37" s="43">
        <v>853786.24381999997</v>
      </c>
      <c r="C37" s="20">
        <v>1076248.3559000001</v>
      </c>
      <c r="D37" s="20">
        <f>IF(OR(853786.24382="",1076248.3559=""),"-",1076248.3559/853786.24382*100)</f>
        <v>126.05594944756464</v>
      </c>
      <c r="E37" s="20">
        <f>IF(853786.24382="","-",853786.24382/9218978.7701*100)</f>
        <v>9.2611802794154698</v>
      </c>
      <c r="F37" s="20">
        <f>IF(1076248.3559="","-",1076248.3559/8673668.27639*100)</f>
        <v>12.408225927080728</v>
      </c>
      <c r="G37" s="20">
        <f>IF(OR(7176761.18511="",667196.27678="",853786.24382=""),"-",(853786.24382-667196.27678)/7176761.18511*100)</f>
        <v>2.5999188523526175</v>
      </c>
      <c r="H37" s="20">
        <f>IF(OR(9218978.7701="",1076248.3559="",853786.24382=""),"-",(1076248.3559-853786.24382)/9218978.7701*100)</f>
        <v>2.4130884518523197</v>
      </c>
    </row>
    <row r="38" spans="1:8" s="2" customFormat="1" x14ac:dyDescent="0.25">
      <c r="A38" s="59" t="s">
        <v>261</v>
      </c>
      <c r="B38" s="43">
        <v>1145272.23022</v>
      </c>
      <c r="C38" s="20">
        <v>321643.04317999998</v>
      </c>
      <c r="D38" s="20">
        <f>IF(OR(1145272.23022="",321643.04318=""),"-",321643.04318/1145272.23022*100)</f>
        <v>28.084418245102672</v>
      </c>
      <c r="E38" s="20">
        <f>IF(1145272.23022="","-",1145272.23022/9218978.7701*100)</f>
        <v>12.422983703297726</v>
      </c>
      <c r="F38" s="20">
        <f>IF(321643.04318="","-",321643.04318/8673668.27639*100)</f>
        <v>3.708270052885497</v>
      </c>
      <c r="G38" s="20">
        <f>IF(OR(7176761.18511="",1053924.29245="",1145272.23022=""),"-",(1145272.23022-1053924.29245)/7176761.18511*100)</f>
        <v>1.2728295593773453</v>
      </c>
      <c r="H38" s="20">
        <f>IF(OR(9218978.7701="",321643.04318="",1145272.23022=""),"-",(321643.04318-1145272.23022)/9218978.7701*100)</f>
        <v>-8.9340610015426467</v>
      </c>
    </row>
    <row r="39" spans="1:8" s="2" customFormat="1" x14ac:dyDescent="0.25">
      <c r="A39" s="59" t="s">
        <v>7</v>
      </c>
      <c r="B39" s="43">
        <v>95263.557750000007</v>
      </c>
      <c r="C39" s="20">
        <v>87576.284790000005</v>
      </c>
      <c r="D39" s="20">
        <f>IF(OR(95263.55775="",87576.28479=""),"-",87576.28479/95263.55775*100)</f>
        <v>91.93052081870205</v>
      </c>
      <c r="E39" s="20">
        <f>IF(95263.55775="","-",95263.55775/9218978.7701*100)</f>
        <v>1.0333417629615247</v>
      </c>
      <c r="F39" s="20">
        <f>IF(87576.28479="","-",87576.28479/8673668.27639*100)</f>
        <v>1.0096798955107085</v>
      </c>
      <c r="G39" s="20">
        <f>IF(OR(7176761.18511="",145292.87812="",95263.55775=""),"-",(95263.55775-145292.87812)/7176761.18511*100)</f>
        <v>-0.69710164626626325</v>
      </c>
      <c r="H39" s="20">
        <f>IF(OR(9218978.7701="",87576.28479="",95263.55775=""),"-",(87576.28479-95263.55775)/9218978.7701*100)</f>
        <v>-8.3385298433837449E-2</v>
      </c>
    </row>
    <row r="40" spans="1:8" s="2" customFormat="1" x14ac:dyDescent="0.25">
      <c r="A40" s="59" t="s">
        <v>9</v>
      </c>
      <c r="B40" s="43">
        <v>38132.925369999997</v>
      </c>
      <c r="C40" s="20">
        <v>60443.81136</v>
      </c>
      <c r="D40" s="20">
        <f>IF(OR(38132.92537="",60443.81136=""),"-",60443.81136/38132.92537*100)</f>
        <v>158.50819409609855</v>
      </c>
      <c r="E40" s="20">
        <f>IF(38132.92537="","-",38132.92537/9218978.7701*100)</f>
        <v>0.41363502748999564</v>
      </c>
      <c r="F40" s="20">
        <f>IF(60443.81136="","-",60443.81136/8673668.27639*100)</f>
        <v>0.69686561018859783</v>
      </c>
      <c r="G40" s="20">
        <f>IF(OR(7176761.18511="",15830.11163="",38132.92537=""),"-",(38132.92537-15830.11163)/7176761.18511*100)</f>
        <v>0.31076432898830192</v>
      </c>
      <c r="H40" s="20">
        <f>IF(OR(9218978.7701="",60443.81136="",38132.92537=""),"-",(60443.81136-38132.92537)/9218978.7701*100)</f>
        <v>0.24201038473329722</v>
      </c>
    </row>
    <row r="41" spans="1:8" s="2" customFormat="1" x14ac:dyDescent="0.25">
      <c r="A41" s="59" t="s">
        <v>10</v>
      </c>
      <c r="B41" s="43">
        <v>11256.022720000001</v>
      </c>
      <c r="C41" s="20">
        <v>22277.302230000001</v>
      </c>
      <c r="D41" s="20" t="s">
        <v>334</v>
      </c>
      <c r="E41" s="20">
        <f>IF(11256.02272="","-",11256.02272/9218978.7701*100)</f>
        <v>0.12209619959758194</v>
      </c>
      <c r="F41" s="20">
        <f>IF(22277.30223="","-",22277.30223/8673668.27639*100)</f>
        <v>0.25683830093709631</v>
      </c>
      <c r="G41" s="20">
        <f>IF(OR(7176761.18511="",1450.0648="",11256.02272=""),"-",(11256.02272-1450.0648)/7176761.18511*100)</f>
        <v>0.13663486448935952</v>
      </c>
      <c r="H41" s="20">
        <f>IF(OR(9218978.7701="",22277.30223="",11256.02272=""),"-",(22277.30223-11256.02272)/9218978.7701*100)</f>
        <v>0.11954989576226621</v>
      </c>
    </row>
    <row r="42" spans="1:8" s="2" customFormat="1" x14ac:dyDescent="0.25">
      <c r="A42" s="59" t="s">
        <v>12</v>
      </c>
      <c r="B42" s="43">
        <v>13434.872740000001</v>
      </c>
      <c r="C42" s="20">
        <v>20031.771100000002</v>
      </c>
      <c r="D42" s="20">
        <f>IF(OR(13434.87274="",20031.7711=""),"-",20031.7711/13434.87274*100)</f>
        <v>149.10279753048113</v>
      </c>
      <c r="E42" s="20">
        <f>IF(13434.87274="","-",13434.87274/9218978.7701*100)</f>
        <v>0.14573059636034147</v>
      </c>
      <c r="F42" s="20">
        <f>IF(20031.7711="","-",20031.7711/8673668.27639*100)</f>
        <v>0.23094924156284741</v>
      </c>
      <c r="G42" s="20">
        <f>IF(OR(7176761.18511="",7265.94864="",13434.87274=""),"-",(13434.87274-7265.94864)/7176761.18511*100)</f>
        <v>8.5956937132017006E-2</v>
      </c>
      <c r="H42" s="20">
        <f>IF(OR(9218978.7701="",20031.7711="",13434.87274=""),"-",(20031.7711-13434.87274)/9218978.7701*100)</f>
        <v>7.1557799670781144E-2</v>
      </c>
    </row>
    <row r="43" spans="1:8" s="2" customFormat="1" x14ac:dyDescent="0.25">
      <c r="A43" s="59" t="s">
        <v>11</v>
      </c>
      <c r="B43" s="43">
        <v>19052.670999999998</v>
      </c>
      <c r="C43" s="20">
        <v>12585.32641</v>
      </c>
      <c r="D43" s="20">
        <f>IF(OR(19052.671="",12585.32641=""),"-",12585.32641/19052.671*100)</f>
        <v>66.055443932244458</v>
      </c>
      <c r="E43" s="20">
        <f>IF(19052.671="","-",19052.671/9218978.7701*100)</f>
        <v>0.20666791273881341</v>
      </c>
      <c r="F43" s="20">
        <f>IF(12585.32641="","-",12585.32641/8673668.27639*100)</f>
        <v>0.14509808317500056</v>
      </c>
      <c r="G43" s="20">
        <f>IF(OR(7176761.18511="",12602.31221="",19052.671=""),"-",(19052.671-12602.31221)/7176761.18511*100)</f>
        <v>8.9878409266047385E-2</v>
      </c>
      <c r="H43" s="20">
        <f>IF(OR(9218978.7701="",12585.32641="",19052.671=""),"-",(12585.32641-19052.671)/9218978.7701*100)</f>
        <v>-7.0152505513686597E-2</v>
      </c>
    </row>
    <row r="44" spans="1:8" s="2" customFormat="1" x14ac:dyDescent="0.25">
      <c r="A44" s="59" t="s">
        <v>13</v>
      </c>
      <c r="B44" s="43">
        <v>2320.6633900000002</v>
      </c>
      <c r="C44" s="20">
        <v>4639.0080099999996</v>
      </c>
      <c r="D44" s="20" t="s">
        <v>334</v>
      </c>
      <c r="E44" s="20">
        <f>IF(2320.66339="","-",2320.66339/9218978.7701*100)</f>
        <v>2.5172673111328009E-2</v>
      </c>
      <c r="F44" s="20">
        <f>IF(4639.00801="","-",4639.00801/8673668.27639*100)</f>
        <v>5.348380710647567E-2</v>
      </c>
      <c r="G44" s="20">
        <f>IF(OR(7176761.18511="",1058.47326="",2320.66339=""),"-",(2320.66339-1058.47326)/7176761.18511*100)</f>
        <v>1.7587183096167833E-2</v>
      </c>
      <c r="H44" s="20">
        <f>IF(OR(9218978.7701="",4639.00801="",2320.66339=""),"-",(4639.00801-2320.66339)/9218978.7701*100)</f>
        <v>2.5147520976174804E-2</v>
      </c>
    </row>
    <row r="45" spans="1:8" s="2" customFormat="1" x14ac:dyDescent="0.25">
      <c r="A45" s="59" t="s">
        <v>263</v>
      </c>
      <c r="B45" s="43">
        <v>7030.6605300000001</v>
      </c>
      <c r="C45" s="20">
        <v>4215.6384799999996</v>
      </c>
      <c r="D45" s="20">
        <f>IF(OR(7030.66053="",4215.63848=""),"-",4215.63848/7030.66053*100)</f>
        <v>59.960774126581242</v>
      </c>
      <c r="E45" s="20">
        <f>IF(7030.66053="","-",7030.66053/9218978.7701*100)</f>
        <v>7.6262899669566522E-2</v>
      </c>
      <c r="F45" s="20">
        <f>IF(4215.63848="","-",4215.63848/8673668.27639*100)</f>
        <v>4.8602717393229133E-2</v>
      </c>
      <c r="G45" s="20">
        <f>IF(OR(7176761.18511="",966.63843="",7030.66053=""),"-",(7030.66053-966.63843)/7176761.18511*100)</f>
        <v>8.4495247139912397E-2</v>
      </c>
      <c r="H45" s="20">
        <f>IF(OR(9218978.7701="",4215.63848="",7030.66053=""),"-",(4215.63848-7030.66053)/9218978.7701*100)</f>
        <v>-3.0535074656316465E-2</v>
      </c>
    </row>
    <row r="46" spans="1:8" s="2" customFormat="1" x14ac:dyDescent="0.25">
      <c r="A46" s="59" t="s">
        <v>14</v>
      </c>
      <c r="B46" s="43">
        <v>1.6127499999999999</v>
      </c>
      <c r="C46" s="20">
        <v>0.65851000000000004</v>
      </c>
      <c r="D46" s="20">
        <f>IF(OR(1.61275="",0.65851=""),"-",0.65851/1.61275*100)</f>
        <v>40.831498992404285</v>
      </c>
      <c r="E46" s="20">
        <f>IF(1.61275="","-",1.61275/9218978.7701*100)</f>
        <v>1.7493803166470533E-5</v>
      </c>
      <c r="F46" s="20">
        <f>IF(0.65851="","-",0.65851/8673668.27639*100)</f>
        <v>7.592058850031021E-6</v>
      </c>
      <c r="G46" s="20">
        <f>IF(OR(7176761.18511="",15.04074="",1.61275=""),"-",(1.61275-15.04074)/7176761.18511*100)</f>
        <v>-1.8710375967169912E-4</v>
      </c>
      <c r="H46" s="20">
        <f>IF(OR(9218978.7701="",0.65851="",1.61275=""),"-",(0.65851-1.61275)/9218978.7701*100)</f>
        <v>-1.0350821102819928E-5</v>
      </c>
    </row>
    <row r="47" spans="1:8" s="2" customFormat="1" x14ac:dyDescent="0.25">
      <c r="A47" s="58" t="s">
        <v>110</v>
      </c>
      <c r="B47" s="44">
        <v>2668601.3766200002</v>
      </c>
      <c r="C47" s="19">
        <v>2876037.5427199998</v>
      </c>
      <c r="D47" s="19">
        <f>IF(2668601.37662="","-",2876037.54272/2668601.37662*100)</f>
        <v>107.77321663390336</v>
      </c>
      <c r="E47" s="19">
        <f>IF(2668601.37662="","-",2668601.37662/9218978.7701*100)</f>
        <v>28.946822019756681</v>
      </c>
      <c r="F47" s="19">
        <f>IF(2876037.54272="","-",2876037.54272/8673668.27639*100)</f>
        <v>33.158260738984744</v>
      </c>
      <c r="G47" s="19">
        <f>IF(7176761.18511="","-",(2668601.37662-2122168.58837)/7176761.18511*100)</f>
        <v>7.6139190667750354</v>
      </c>
      <c r="H47" s="19">
        <f>IF(9218978.7701="","-",(2876037.54272-2668601.37662)/9218978.7701*100)</f>
        <v>2.2500991842261229</v>
      </c>
    </row>
    <row r="48" spans="1:8" s="2" customFormat="1" x14ac:dyDescent="0.25">
      <c r="A48" s="59" t="s">
        <v>53</v>
      </c>
      <c r="B48" s="43">
        <v>947163.84655000002</v>
      </c>
      <c r="C48" s="20">
        <v>1017545.6171</v>
      </c>
      <c r="D48" s="20">
        <f>IF(OR(947163.84655="",1017545.6171=""),"-",1017545.6171/947163.84655*100)</f>
        <v>107.43079149466719</v>
      </c>
      <c r="E48" s="20">
        <f>IF(947163.84655="","-",947163.84655/9218978.7701*100)</f>
        <v>10.274064732874159</v>
      </c>
      <c r="F48" s="20">
        <f>IF(1017545.6171="","-",1017545.6171/8673668.27639*100)</f>
        <v>11.731433399058984</v>
      </c>
      <c r="G48" s="20">
        <f>IF(OR(7176761.18511="",836543.25005="",947163.84655=""),"-",(947163.84655-836543.25005)/7176761.18511*100)</f>
        <v>1.5413721266009281</v>
      </c>
      <c r="H48" s="20">
        <f>IF(OR(9218978.7701="",1017545.6171="",947163.84655=""),"-",(1017545.6171-947163.84655)/9218978.7701*100)</f>
        <v>0.76344432832701459</v>
      </c>
    </row>
    <row r="49" spans="1:8" s="2" customFormat="1" x14ac:dyDescent="0.25">
      <c r="A49" s="72" t="s">
        <v>50</v>
      </c>
      <c r="B49" s="45">
        <v>661241.94067000004</v>
      </c>
      <c r="C49" s="45">
        <v>740852.19203999999</v>
      </c>
      <c r="D49" s="20">
        <f>IF(OR(661241.94067="",740852.19204=""),"-",740852.19204/661241.94067*100)</f>
        <v>112.03950422281672</v>
      </c>
      <c r="E49" s="20">
        <f>IF(661241.94067="","-",661241.94067/9218978.7701*100)</f>
        <v>7.1726159389216972</v>
      </c>
      <c r="F49" s="20">
        <f>IF(740852.19204="","-",740852.19204/8673668.27639*100)</f>
        <v>8.5413941187562266</v>
      </c>
      <c r="G49" s="20">
        <f>IF(OR(7176761.18511="",543682.92428="",661241.94067=""),"-",(661241.94067-543682.92428)/7176761.18511*100)</f>
        <v>1.6380511118846455</v>
      </c>
      <c r="H49" s="20">
        <f>IF(OR(9218978.7701="",740852.19204="",661241.94067=""),"-",(740852.19204-661241.94067)/9218978.7701*100)</f>
        <v>0.86354739885290355</v>
      </c>
    </row>
    <row r="50" spans="1:8" s="2" customFormat="1" x14ac:dyDescent="0.25">
      <c r="A50" s="59" t="s">
        <v>61</v>
      </c>
      <c r="B50" s="43">
        <v>253489.99726999999</v>
      </c>
      <c r="C50" s="45">
        <v>209728.22171000001</v>
      </c>
      <c r="D50" s="20">
        <f>IF(OR(253489.99727="",209728.22171=""),"-",209728.22171/253489.99727*100)</f>
        <v>82.736290965600517</v>
      </c>
      <c r="E50" s="20">
        <f>IF(253489.99727="","-",253489.99727/9218978.7701*100)</f>
        <v>2.749653769592642</v>
      </c>
      <c r="F50" s="20">
        <f>IF(209728.22171="","-",209728.22171/8673668.27639*100)</f>
        <v>2.4179875806512787</v>
      </c>
      <c r="G50" s="20">
        <f>IF(OR(7176761.18511="",46493.02856="",253489.99727=""),"-",(253489.99727-46493.02856)/7176761.18511*100)</f>
        <v>2.8842671975691117</v>
      </c>
      <c r="H50" s="20">
        <f>IF(OR(9218978.7701="",209728.22171="",253489.99727=""),"-",(209728.22171-253489.99727)/9218978.7701*100)</f>
        <v>-0.47469222623587076</v>
      </c>
    </row>
    <row r="51" spans="1:8" s="2" customFormat="1" x14ac:dyDescent="0.25">
      <c r="A51" s="72" t="s">
        <v>15</v>
      </c>
      <c r="B51" s="45">
        <v>134470.05913000001</v>
      </c>
      <c r="C51" s="45">
        <v>122910.46619000001</v>
      </c>
      <c r="D51" s="20">
        <f>IF(OR(134470.05913="",122910.46619=""),"-",122910.46619/134470.05913*100)</f>
        <v>91.403593472934617</v>
      </c>
      <c r="E51" s="20">
        <f>IF(134470.05913="","-",134470.05913/9218978.7701*100)</f>
        <v>1.4586220717432175</v>
      </c>
      <c r="F51" s="20">
        <f>IF(122910.46619="","-",122910.46619/8673668.27639*100)</f>
        <v>1.4170528808966121</v>
      </c>
      <c r="G51" s="20">
        <f>IF(OR(7176761.18511="",107396.04251="",134470.05913=""),"-",(134470.05913-107396.04251)/7176761.18511*100)</f>
        <v>0.37724561151863156</v>
      </c>
      <c r="H51" s="20">
        <f>IF(OR(9218978.7701="",122910.46619="",134470.05913=""),"-",(122910.46619-134470.05913)/9218978.7701*100)</f>
        <v>-0.12538908298055029</v>
      </c>
    </row>
    <row r="52" spans="1:8" s="2" customFormat="1" x14ac:dyDescent="0.25">
      <c r="A52" s="59" t="s">
        <v>67</v>
      </c>
      <c r="B52" s="43">
        <v>73894.070730000007</v>
      </c>
      <c r="C52" s="45">
        <v>99590.381370000003</v>
      </c>
      <c r="D52" s="20">
        <f>IF(OR(73894.07073="",99590.38137=""),"-",99590.38137/73894.07073*100)</f>
        <v>134.77452302484622</v>
      </c>
      <c r="E52" s="20">
        <f>IF(73894.07073="","-",73894.07073/9218978.7701*100)</f>
        <v>0.80154291025879509</v>
      </c>
      <c r="F52" s="20">
        <f>IF(99590.38137="","-",99590.38137/8673668.27639*100)</f>
        <v>1.1481921857801292</v>
      </c>
      <c r="G52" s="20">
        <f>IF(OR(7176761.18511="",67439.13881="",73894.07073=""),"-",(73894.07073-67439.13881)/7176761.18511*100)</f>
        <v>8.9942130628400827E-2</v>
      </c>
      <c r="H52" s="20">
        <f>IF(OR(9218978.7701="",99590.38137="",73894.07073=""),"-",(99590.38137-73894.07073)/9218978.7701*100)</f>
        <v>0.27873272388196707</v>
      </c>
    </row>
    <row r="53" spans="1:8" s="2" customFormat="1" ht="14.25" customHeight="1" x14ac:dyDescent="0.25">
      <c r="A53" s="72" t="s">
        <v>312</v>
      </c>
      <c r="B53" s="45">
        <v>70854.221909999993</v>
      </c>
      <c r="C53" s="45">
        <v>75966.612240000002</v>
      </c>
      <c r="D53" s="20">
        <f>IF(OR(70854.22191="",75966.61224=""),"-",75966.61224/70854.22191*100)</f>
        <v>107.21536443727211</v>
      </c>
      <c r="E53" s="20">
        <f>IF(70854.22191="","-",70854.22191/9218978.7701*100)</f>
        <v>0.76856909726055722</v>
      </c>
      <c r="F53" s="20">
        <f>IF(75966.61224="","-",75966.61224/8673668.27639*100)</f>
        <v>0.87583026949259213</v>
      </c>
      <c r="G53" s="20">
        <f>IF(OR(7176761.18511="",64776.27185="",70854.22191=""),"-",(70854.22191-64776.27185)/7176761.18511*100)</f>
        <v>8.4689317412570936E-2</v>
      </c>
      <c r="H53" s="20">
        <f>IF(OR(9218978.7701="",75966.61224="",70854.22191=""),"-",(75966.61224-70854.22191)/9218978.7701*100)</f>
        <v>5.5455061319601609E-2</v>
      </c>
    </row>
    <row r="54" spans="1:8" s="2" customFormat="1" x14ac:dyDescent="0.25">
      <c r="A54" s="59" t="s">
        <v>30</v>
      </c>
      <c r="B54" s="43">
        <v>61852.81525</v>
      </c>
      <c r="C54" s="20">
        <v>62714.935380000003</v>
      </c>
      <c r="D54" s="20">
        <f>IF(OR(61852.81525="",62714.93538=""),"-",62714.93538/61852.81525*100)</f>
        <v>101.39382520668694</v>
      </c>
      <c r="E54" s="20">
        <f>IF(61852.81525="","-",61852.81525/9218978.7701*100)</f>
        <v>0.67092914293943073</v>
      </c>
      <c r="F54" s="20">
        <f>IF(62714.93538="","-",62714.93538/8673668.27639*100)</f>
        <v>0.72304973376387993</v>
      </c>
      <c r="G54" s="20">
        <f>IF(OR(7176761.18511="",58443.87727="",61852.81525=""),"-",(61852.81525-58443.87727)/7176761.18511*100)</f>
        <v>4.7499671398746043E-2</v>
      </c>
      <c r="H54" s="20">
        <f>IF(OR(9218978.7701="",62714.93538="",61852.81525=""),"-",(62714.93538-61852.81525)/9218978.7701*100)</f>
        <v>9.3515795132984286E-3</v>
      </c>
    </row>
    <row r="55" spans="1:8" s="2" customFormat="1" x14ac:dyDescent="0.25">
      <c r="A55" s="72" t="s">
        <v>63</v>
      </c>
      <c r="B55" s="45">
        <v>40650.087290000003</v>
      </c>
      <c r="C55" s="45">
        <v>57164.12285</v>
      </c>
      <c r="D55" s="20">
        <f>IF(OR(40650.08729="",57164.12285=""),"-",57164.12285/40650.08729*100)</f>
        <v>140.62484649095077</v>
      </c>
      <c r="E55" s="20">
        <f>IF(40650.08729="","-",40650.08729/9218978.7701*100)</f>
        <v>0.44093915718561816</v>
      </c>
      <c r="F55" s="20">
        <f>IF(57164.12285="","-",57164.12285/8673668.27639*100)</f>
        <v>0.65905359795235152</v>
      </c>
      <c r="G55" s="20">
        <f>IF(OR(7176761.18511="",52818.24861="",40650.08729=""),"-",(40650.08729-52818.24861)/7176761.18511*100)</f>
        <v>-0.16954948069396425</v>
      </c>
      <c r="H55" s="20">
        <f>IF(OR(9218978.7701="",57164.12285="",40650.08729=""),"-",(57164.12285-40650.08729)/9218978.7701*100)</f>
        <v>0.17913085572514956</v>
      </c>
    </row>
    <row r="56" spans="1:8" s="2" customFormat="1" x14ac:dyDescent="0.25">
      <c r="A56" s="59" t="s">
        <v>55</v>
      </c>
      <c r="B56" s="43">
        <v>34066.5052</v>
      </c>
      <c r="C56" s="45">
        <v>39176.551330000002</v>
      </c>
      <c r="D56" s="20">
        <f>IF(OR(34066.5052="",39176.55133=""),"-",39176.55133/34066.5052*100)</f>
        <v>115.00020650782812</v>
      </c>
      <c r="E56" s="20">
        <f>IF(34066.5052="","-",34066.5052/9218978.7701*100)</f>
        <v>0.36952580160492632</v>
      </c>
      <c r="F56" s="20">
        <f>IF(39176.55133="","-",39176.55133/8673668.27639*100)</f>
        <v>0.45167223464886042</v>
      </c>
      <c r="G56" s="20">
        <f>IF(OR(7176761.18511="",12070.94958="",34066.5052=""),"-",(34066.5052-12070.94958)/7176761.18511*100)</f>
        <v>0.30648303674414196</v>
      </c>
      <c r="H56" s="20">
        <f>IF(OR(9218978.7701="",39176.55133="",34066.5052=""),"-",(39176.55133-34066.5052)/9218978.7701*100)</f>
        <v>5.5429633340446163E-2</v>
      </c>
    </row>
    <row r="57" spans="1:8" s="2" customFormat="1" x14ac:dyDescent="0.25">
      <c r="A57" s="72" t="s">
        <v>58</v>
      </c>
      <c r="B57" s="45">
        <v>40920.767809999998</v>
      </c>
      <c r="C57" s="45">
        <v>38621.948940000002</v>
      </c>
      <c r="D57" s="20">
        <f>IF(OR(40920.76781="",38621.94894=""),"-",38621.94894/40920.76781*100)</f>
        <v>94.382268483637247</v>
      </c>
      <c r="E57" s="20">
        <f>IF(40920.76781="","-",40920.76781/9218978.7701*100)</f>
        <v>0.44387527979475022</v>
      </c>
      <c r="F57" s="20">
        <f>IF(38621.94894="","-",38621.94894/8673668.27639*100)</f>
        <v>0.4452781419498158</v>
      </c>
      <c r="G57" s="20">
        <f>IF(OR(7176761.18511="",29643.61458="",40920.76781=""),"-",(40920.76781-29643.61458)/7176761.18511*100)</f>
        <v>0.15713429692208922</v>
      </c>
      <c r="H57" s="20">
        <f>IF(OR(9218978.7701="",38621.94894="",40920.76781=""),"-",(38621.94894-40920.76781)/9218978.7701*100)</f>
        <v>-2.493572148637305E-2</v>
      </c>
    </row>
    <row r="58" spans="1:8" s="2" customFormat="1" x14ac:dyDescent="0.25">
      <c r="A58" s="59" t="s">
        <v>66</v>
      </c>
      <c r="B58" s="43">
        <v>8493.6049000000003</v>
      </c>
      <c r="C58" s="45">
        <v>38378.599069999997</v>
      </c>
      <c r="D58" s="20" t="s">
        <v>376</v>
      </c>
      <c r="E58" s="20">
        <f>IF(8493.6049="","-",8493.6049/9218978.7701*100)</f>
        <v>9.2131732937138208E-2</v>
      </c>
      <c r="F58" s="20">
        <f>IF(38378.59907="","-",38378.59907/8673668.27639*100)</f>
        <v>0.44247252543041982</v>
      </c>
      <c r="G58" s="20">
        <f>IF(OR(7176761.18511="",4935.74555="",8493.6049=""),"-",(8493.6049-4935.74555)/7176761.18511*100)</f>
        <v>4.9574721218001189E-2</v>
      </c>
      <c r="H58" s="20">
        <f>IF(OR(9218978.7701="",38378.59907="",8493.6049=""),"-",(38378.59907-8493.6049)/9218978.7701*100)</f>
        <v>0.32416816347301158</v>
      </c>
    </row>
    <row r="59" spans="1:8" s="2" customFormat="1" x14ac:dyDescent="0.25">
      <c r="A59" s="59" t="s">
        <v>313</v>
      </c>
      <c r="B59" s="43">
        <v>35544.959219999997</v>
      </c>
      <c r="C59" s="45">
        <v>36735.392800000001</v>
      </c>
      <c r="D59" s="20">
        <f>IF(OR(35544.95922="",36735.3928=""),"-",36735.3928/35544.95922*100)</f>
        <v>103.34909254679967</v>
      </c>
      <c r="E59" s="20">
        <f>IF(35544.95922="","-",35544.95922/9218978.7701*100)</f>
        <v>0.38556287096878122</v>
      </c>
      <c r="F59" s="20">
        <f>IF(36735.3928="","-",36735.3928/8673668.27639*100)</f>
        <v>0.42352775814582289</v>
      </c>
      <c r="G59" s="20">
        <f>IF(OR(7176761.18511="",37468.66383="",35544.95922=""),"-",(35544.95922-37468.66383)/7176761.18511*100)</f>
        <v>-2.6804634575150844E-2</v>
      </c>
      <c r="H59" s="20">
        <f>IF(OR(9218978.7701="",36735.3928="",35544.95922=""),"-",(36735.3928-35544.95922)/9218978.7701*100)</f>
        <v>1.2912857374842306E-2</v>
      </c>
    </row>
    <row r="60" spans="1:8" s="2" customFormat="1" x14ac:dyDescent="0.25">
      <c r="A60" s="59" t="s">
        <v>70</v>
      </c>
      <c r="B60" s="43">
        <v>21753.600299999998</v>
      </c>
      <c r="C60" s="20">
        <v>30810.0779</v>
      </c>
      <c r="D60" s="20">
        <f>IF(OR(21753.6003="",30810.0779=""),"-",30810.0779/21753.6003*100)</f>
        <v>141.63208606898971</v>
      </c>
      <c r="E60" s="20">
        <f>IF(21753.6003="","-",21753.6003/9218978.7701*100)</f>
        <v>0.23596540183554443</v>
      </c>
      <c r="F60" s="20">
        <f>IF(30810.0779="","-",30810.0779/8673668.27639*100)</f>
        <v>0.35521392931138501</v>
      </c>
      <c r="G60" s="20">
        <f>IF(OR(7176761.18511="",22145.93273="",21753.6003=""),"-",(21753.6003-22145.93273)/7176761.18511*100)</f>
        <v>-5.4667059399161107E-3</v>
      </c>
      <c r="H60" s="20">
        <f>IF(OR(9218978.7701="",30810.0779="",21753.6003=""),"-",(30810.0779-21753.6003)/9218978.7701*100)</f>
        <v>9.8237319185211294E-2</v>
      </c>
    </row>
    <row r="61" spans="1:8" s="2" customFormat="1" x14ac:dyDescent="0.25">
      <c r="A61" s="72" t="s">
        <v>264</v>
      </c>
      <c r="B61" s="45">
        <v>23911.039049999999</v>
      </c>
      <c r="C61" s="45">
        <v>22942.62643</v>
      </c>
      <c r="D61" s="20">
        <f>IF(OR(23911.03905="",22942.62643=""),"-",22942.62643/23911.03905*100)</f>
        <v>95.949935015475631</v>
      </c>
      <c r="E61" s="20">
        <f>IF(23911.03905="","-",23911.03905/9218978.7701*100)</f>
        <v>0.25936754651774335</v>
      </c>
      <c r="F61" s="20">
        <f>IF(22942.62643="","-",22942.62643/8673668.27639*100)</f>
        <v>0.26450892170329549</v>
      </c>
      <c r="G61" s="20">
        <f>IF(OR(7176761.18511="",23444.02761="",23911.03905=""),"-",(23911.03905-23444.02761)/7176761.18511*100)</f>
        <v>6.5072729599659988E-3</v>
      </c>
      <c r="H61" s="20">
        <f>IF(OR(9218978.7701="",22942.62643="",23911.03905=""),"-",(22942.62643-23911.03905)/9218978.7701*100)</f>
        <v>-1.0504554182735087E-2</v>
      </c>
    </row>
    <row r="62" spans="1:8" s="2" customFormat="1" x14ac:dyDescent="0.25">
      <c r="A62" s="72" t="s">
        <v>69</v>
      </c>
      <c r="B62" s="45">
        <v>15999.70434</v>
      </c>
      <c r="C62" s="45">
        <v>20086.203150000001</v>
      </c>
      <c r="D62" s="20">
        <f>IF(OR(15999.70434="",20086.20315=""),"-",20086.20315/15999.70434*100)</f>
        <v>125.54108952990816</v>
      </c>
      <c r="E62" s="20">
        <f>IF(15999.70434="","-",15999.70434/9218978.7701*100)</f>
        <v>0.17355180805808981</v>
      </c>
      <c r="F62" s="20">
        <f>IF(20086.20315="","-",20086.20315/8673668.27639*100)</f>
        <v>0.23157679669022257</v>
      </c>
      <c r="G62" s="20">
        <f>IF(OR(7176761.18511="",13150.30072="",15999.70434=""),"-",(15999.70434-13150.30072)/7176761.18511*100)</f>
        <v>3.9703196839150884E-2</v>
      </c>
      <c r="H62" s="20">
        <f>IF(OR(9218978.7701="",20086.20315="",15999.70434=""),"-",(20086.20315-15999.70434)/9218978.7701*100)</f>
        <v>4.4327022676891079E-2</v>
      </c>
    </row>
    <row r="63" spans="1:8" s="2" customFormat="1" x14ac:dyDescent="0.25">
      <c r="A63" s="59" t="s">
        <v>62</v>
      </c>
      <c r="B63" s="43">
        <v>14782.23164</v>
      </c>
      <c r="C63" s="20">
        <v>18326.34764</v>
      </c>
      <c r="D63" s="20">
        <f>IF(OR(14782.23164="",18326.34764=""),"-",18326.34764/14782.23164*100)</f>
        <v>123.97551388932233</v>
      </c>
      <c r="E63" s="20">
        <f>IF(14782.23164="","-",14782.23164/9218978.7701*100)</f>
        <v>0.16034565225319045</v>
      </c>
      <c r="F63" s="20">
        <f>IF(18326.34764="","-",18326.34764/8673668.27639*100)</f>
        <v>0.21128716312433693</v>
      </c>
      <c r="G63" s="20">
        <f>IF(OR(7176761.18511="",12478.19093="",14782.23164=""),"-",(14782.23164-12478.19093)/7176761.18511*100)</f>
        <v>3.2104185308274052E-2</v>
      </c>
      <c r="H63" s="20">
        <f>IF(OR(9218978.7701="",18326.34764="",14782.23164=""),"-",(18326.34764-14782.23164)/9218978.7701*100)</f>
        <v>3.844369412688816E-2</v>
      </c>
    </row>
    <row r="64" spans="1:8" s="2" customFormat="1" x14ac:dyDescent="0.25">
      <c r="A64" s="59" t="s">
        <v>56</v>
      </c>
      <c r="B64" s="43">
        <v>11178.151669999999</v>
      </c>
      <c r="C64" s="45">
        <v>16130.685890000001</v>
      </c>
      <c r="D64" s="20">
        <f>IF(OR(11178.15167="",16130.68589=""),"-",16130.68589/11178.15167*100)</f>
        <v>144.3054841820732</v>
      </c>
      <c r="E64" s="20">
        <f>IF(11178.15167="","-",11178.15167/9218978.7701*100)</f>
        <v>0.12125151764373517</v>
      </c>
      <c r="F64" s="20">
        <f>IF(16130.68589="","-",16130.68589/8673668.27639*100)</f>
        <v>0.18597305518252571</v>
      </c>
      <c r="G64" s="20">
        <f>IF(OR(7176761.18511="",9502.39187="",11178.15167=""),"-",(11178.15167-9502.39187)/7176761.18511*100)</f>
        <v>2.3349805807622328E-2</v>
      </c>
      <c r="H64" s="20">
        <f>IF(OR(9218978.7701="",16130.68589="",11178.15167=""),"-",(16130.68589-11178.15167)/9218978.7701*100)</f>
        <v>5.3721071970168774E-2</v>
      </c>
    </row>
    <row r="65" spans="1:8" s="2" customFormat="1" x14ac:dyDescent="0.25">
      <c r="A65" s="72" t="s">
        <v>73</v>
      </c>
      <c r="B65" s="45">
        <v>15070.365529999999</v>
      </c>
      <c r="C65" s="45">
        <v>13604.316989999999</v>
      </c>
      <c r="D65" s="20">
        <f>IF(OR(15070.36553="",13604.31699=""),"-",13604.31699/15070.36553*100)</f>
        <v>90.271977563639098</v>
      </c>
      <c r="E65" s="20">
        <f>IF(15070.36553="","-",15070.36553/9218978.7701*100)</f>
        <v>0.16347109485573239</v>
      </c>
      <c r="F65" s="20">
        <f>IF(13604.31699="","-",13604.31699/8673668.27639*100)</f>
        <v>0.15684617576431165</v>
      </c>
      <c r="G65" s="20">
        <f>IF(OR(7176761.18511="",13993.53757="",15070.36553=""),"-",(15070.36553-13993.53757)/7176761.18511*100)</f>
        <v>1.5004372198341361E-2</v>
      </c>
      <c r="H65" s="20">
        <f>IF(OR(9218978.7701="",13604.31699="",15070.36553=""),"-",(13604.31699-15070.36553)/9218978.7701*100)</f>
        <v>-1.5902504784530459E-2</v>
      </c>
    </row>
    <row r="66" spans="1:8" s="2" customFormat="1" x14ac:dyDescent="0.25">
      <c r="A66" s="72" t="s">
        <v>65</v>
      </c>
      <c r="B66" s="45">
        <v>15752.375669999999</v>
      </c>
      <c r="C66" s="45">
        <v>12595.40222</v>
      </c>
      <c r="D66" s="20">
        <f>IF(OR(15752.37567="",12595.40222=""),"-",12595.40222/15752.37567*100)</f>
        <v>79.958747073227983</v>
      </c>
      <c r="E66" s="20">
        <f>IF(15752.37567="","-",15752.37567/9218978.7701*100)</f>
        <v>0.17086898736647305</v>
      </c>
      <c r="F66" s="20">
        <f>IF(12595.40222="","-",12595.40222/8673668.27639*100)</f>
        <v>0.1452142486735985</v>
      </c>
      <c r="G66" s="20">
        <f>IF(OR(7176761.18511="",11302.31984="",15752.37567=""),"-",(15752.37567-11302.31984)/7176761.18511*100)</f>
        <v>6.2006463852144915E-2</v>
      </c>
      <c r="H66" s="20">
        <f>IF(OR(9218978.7701="",12595.40222="",15752.37567=""),"-",(12595.40222-15752.37567)/9218978.7701*100)</f>
        <v>-3.4244285931529006E-2</v>
      </c>
    </row>
    <row r="67" spans="1:8" s="2" customFormat="1" x14ac:dyDescent="0.25">
      <c r="A67" s="59" t="s">
        <v>74</v>
      </c>
      <c r="B67" s="43">
        <v>11175.7673</v>
      </c>
      <c r="C67" s="20">
        <v>12461.3413</v>
      </c>
      <c r="D67" s="20">
        <f>IF(OR(11175.7673="",12461.3413=""),"-",12461.3413/11175.7673*100)</f>
        <v>111.50322806023351</v>
      </c>
      <c r="E67" s="20">
        <f>IF(11175.7673="","-",11175.7673/9218978.7701*100)</f>
        <v>0.12122565393301991</v>
      </c>
      <c r="F67" s="20">
        <f>IF(12461.3413="","-",12461.3413/8673668.27639*100)</f>
        <v>0.14366864056722306</v>
      </c>
      <c r="G67" s="20">
        <f>IF(OR(7176761.18511="",10253.13656="",11175.7673=""),"-",(11175.7673-10253.13656)/7176761.18511*100)</f>
        <v>1.2855809413224293E-2</v>
      </c>
      <c r="H67" s="20">
        <f>IF(OR(9218978.7701="",12461.3413="",11175.7673=""),"-",(12461.3413-11175.7673)/9218978.7701*100)</f>
        <v>1.3944863439424708E-2</v>
      </c>
    </row>
    <row r="68" spans="1:8" s="2" customFormat="1" x14ac:dyDescent="0.25">
      <c r="A68" s="59" t="s">
        <v>399</v>
      </c>
      <c r="B68" s="43">
        <v>10406.938770000001</v>
      </c>
      <c r="C68" s="45">
        <v>12206.71444</v>
      </c>
      <c r="D68" s="20">
        <f>IF(OR(10406.93877="",12206.71444=""),"-",12206.71444/10406.93877*100)</f>
        <v>117.29399691663602</v>
      </c>
      <c r="E68" s="20">
        <f>IF(10406.93877="","-",10406.93877/9218978.7701*100)</f>
        <v>0.11288602598536102</v>
      </c>
      <c r="F68" s="20">
        <f>IF(12206.71444="","-",12206.71444/8673668.27639*100)</f>
        <v>0.1407330099679632</v>
      </c>
      <c r="G68" s="20">
        <f>IF(OR(7176761.18511="",8423.71369="",10406.93877=""),"-",(10406.93877-8423.71369)/7176761.18511*100)</f>
        <v>2.7633984590635402E-2</v>
      </c>
      <c r="H68" s="20">
        <f>IF(OR(9218978.7701="",12206.71444="",10406.93877=""),"-",(12206.71444-10406.93877)/9218978.7701*100)</f>
        <v>1.9522505853221274E-2</v>
      </c>
    </row>
    <row r="69" spans="1:8" s="2" customFormat="1" x14ac:dyDescent="0.25">
      <c r="A69" s="72" t="s">
        <v>354</v>
      </c>
      <c r="B69" s="45">
        <v>10658.11433</v>
      </c>
      <c r="C69" s="45">
        <v>11631.02219</v>
      </c>
      <c r="D69" s="20">
        <f>IF(OR(10658.11433="",11631.02219=""),"-",11631.02219/10658.11433*100)</f>
        <v>109.12833011428205</v>
      </c>
      <c r="E69" s="20">
        <f>IF(10658.11433="","-",10658.11433/9218978.7701*100)</f>
        <v>0.11561057461773926</v>
      </c>
      <c r="F69" s="20">
        <f>IF(11631.02219="","-",11631.02219/8673668.27639*100)</f>
        <v>0.13409576916447233</v>
      </c>
      <c r="G69" s="20">
        <f>IF(OR(7176761.18511="",8268.07746="",10658.11433=""),"-",(10658.11433-8268.07746)/7176761.18511*100)</f>
        <v>3.3302443934719934E-2</v>
      </c>
      <c r="H69" s="20">
        <f>IF(OR(9218978.7701="",11631.02219="",10658.11433=""),"-",(11631.02219-10658.11433)/9218978.7701*100)</f>
        <v>1.0553314898125599E-2</v>
      </c>
    </row>
    <row r="70" spans="1:8" s="2" customFormat="1" x14ac:dyDescent="0.25">
      <c r="A70" s="72" t="s">
        <v>75</v>
      </c>
      <c r="B70" s="45">
        <v>7921.5508</v>
      </c>
      <c r="C70" s="45">
        <v>11266.8051</v>
      </c>
      <c r="D70" s="20">
        <f>IF(OR(7921.5508="",11266.8051=""),"-",11266.8051/7921.5508*100)</f>
        <v>142.22979040922138</v>
      </c>
      <c r="E70" s="20">
        <f>IF(7921.5508="","-",7921.5508/9218978.7701*100)</f>
        <v>8.5926554313066006E-2</v>
      </c>
      <c r="F70" s="20">
        <f>IF(11266.8051="","-",11266.8051/8673668.27639*100)</f>
        <v>0.12989665665066533</v>
      </c>
      <c r="G70" s="20">
        <f>IF(OR(7176761.18511="",6316.29265="",7921.5508=""),"-",(7921.5508-6316.29265)/7176761.18511*100)</f>
        <v>2.2367445545359823E-2</v>
      </c>
      <c r="H70" s="20">
        <f>IF(OR(9218978.7701="",11266.8051="",7921.5508=""),"-",(11266.8051-7921.5508)/9218978.7701*100)</f>
        <v>3.6286603792273546E-2</v>
      </c>
    </row>
    <row r="71" spans="1:8" s="2" customFormat="1" x14ac:dyDescent="0.25">
      <c r="A71" s="72" t="s">
        <v>355</v>
      </c>
      <c r="B71" s="45">
        <v>12643.77981</v>
      </c>
      <c r="C71" s="45">
        <v>9734.4309900000007</v>
      </c>
      <c r="D71" s="20">
        <f>IF(OR(12643.77981="",9734.43099=""),"-",9734.43099/12643.77981*100)</f>
        <v>76.989880686636226</v>
      </c>
      <c r="E71" s="20">
        <f>IF(12643.77981="","-",12643.77981/9218978.7701*100)</f>
        <v>0.13714946227024288</v>
      </c>
      <c r="F71" s="20">
        <f>IF(9734.43099="","-",9734.43099/8673668.27639*100)</f>
        <v>0.1122296896746378</v>
      </c>
      <c r="G71" s="20">
        <f>IF(OR(7176761.18511="",14600.79931="",12643.77981=""),"-",(12643.77981-14600.79931)/7176761.18511*100)</f>
        <v>-2.7268839655140407E-2</v>
      </c>
      <c r="H71" s="20">
        <f>IF(OR(9218978.7701="",9734.43099="",12643.77981=""),"-",(9734.43099-12643.77981)/9218978.7701*100)</f>
        <v>-3.1558254906019718E-2</v>
      </c>
    </row>
    <row r="72" spans="1:8" s="2" customFormat="1" x14ac:dyDescent="0.25">
      <c r="A72" s="59" t="s">
        <v>52</v>
      </c>
      <c r="B72" s="43">
        <v>9570.0326999999997</v>
      </c>
      <c r="C72" s="45">
        <v>9417.9375600000003</v>
      </c>
      <c r="D72" s="20">
        <f>IF(OR(9570.0327="",9417.93756=""),"-",9417.93756/9570.0327*100)</f>
        <v>98.410714521382985</v>
      </c>
      <c r="E72" s="20">
        <f>IF(9570.0327="","-",9570.0327/9218978.7701*100)</f>
        <v>0.10380794813237423</v>
      </c>
      <c r="F72" s="20">
        <f>IF(9417.93756="","-",9417.93756/8673668.27639*100)</f>
        <v>0.10858079027112352</v>
      </c>
      <c r="G72" s="20">
        <f>IF(OR(7176761.18511="",4057.47818="",9570.0327=""),"-",(9570.0327-4057.47818)/7176761.18511*100)</f>
        <v>7.6811173979666261E-2</v>
      </c>
      <c r="H72" s="20">
        <f>IF(OR(9218978.7701="",9417.93756="",9570.0327=""),"-",(9417.93756-9570.0327)/9218978.7701*100)</f>
        <v>-1.6498046453181023E-3</v>
      </c>
    </row>
    <row r="73" spans="1:8" s="2" customFormat="1" x14ac:dyDescent="0.25">
      <c r="A73" s="59" t="s">
        <v>31</v>
      </c>
      <c r="B73" s="43">
        <v>8245.3351399999992</v>
      </c>
      <c r="C73" s="20">
        <v>9389.7283900000002</v>
      </c>
      <c r="D73" s="20">
        <f>IF(OR(8245.33514="",9389.72839=""),"-",9389.72839/8245.33514*100)</f>
        <v>113.87928120044859</v>
      </c>
      <c r="E73" s="20">
        <f>IF(8245.33514="","-",8245.33514/9218978.7701*100)</f>
        <v>8.9438704064946667E-2</v>
      </c>
      <c r="F73" s="20">
        <f>IF(9389.72839="","-",9389.72839/8673668.27639*100)</f>
        <v>0.10825556259234791</v>
      </c>
      <c r="G73" s="20">
        <f>IF(OR(7176761.18511="",3852.74098="",8245.33514=""),"-",(8245.33514-3852.74098)/7176761.18511*100)</f>
        <v>6.1205800871757338E-2</v>
      </c>
      <c r="H73" s="20">
        <f>IF(OR(9218978.7701="",9389.72839="",8245.33514=""),"-",(9389.72839-8245.33514)/9218978.7701*100)</f>
        <v>1.241344923921099E-2</v>
      </c>
    </row>
    <row r="74" spans="1:8" s="2" customFormat="1" x14ac:dyDescent="0.25">
      <c r="A74" s="59" t="s">
        <v>33</v>
      </c>
      <c r="B74" s="43">
        <v>11579.695879999999</v>
      </c>
      <c r="C74" s="20">
        <v>8830.8970800000006</v>
      </c>
      <c r="D74" s="20">
        <f>IF(OR(11579.69588="",8830.89708=""),"-",8830.89708/11579.69588*100)</f>
        <v>76.261908529501042</v>
      </c>
      <c r="E74" s="20">
        <f>IF(11579.69588="","-",11579.69588/9218978.7701*100)</f>
        <v>0.12560714335905115</v>
      </c>
      <c r="F74" s="20">
        <f>IF(8830.89708="","-",8830.89708/8673668.27639*100)</f>
        <v>0.1018127140513084</v>
      </c>
      <c r="G74" s="20">
        <f>IF(OR(7176761.18511="",4648.29818="",11579.69588=""),"-",(11579.69588-4648.29818)/7176761.18511*100)</f>
        <v>9.6581139057280191E-2</v>
      </c>
      <c r="H74" s="20">
        <f>IF(OR(9218978.7701="",8830.89708="",11579.69588=""),"-",(8830.89708-11579.69588)/9218978.7701*100)</f>
        <v>-2.9816738584052323E-2</v>
      </c>
    </row>
    <row r="75" spans="1:8" s="2" customFormat="1" x14ac:dyDescent="0.25">
      <c r="A75" s="72" t="s">
        <v>103</v>
      </c>
      <c r="B75" s="45">
        <v>5397.5616900000005</v>
      </c>
      <c r="C75" s="45">
        <v>8143.2875100000001</v>
      </c>
      <c r="D75" s="20">
        <f>IF(OR(5397.56169="",8143.28751=""),"-",8143.28751/5397.56169*100)</f>
        <v>150.86974411217889</v>
      </c>
      <c r="E75" s="20">
        <f>IF(5397.56169="","-",5397.56169/9218978.7701*100)</f>
        <v>5.8548368800956166E-2</v>
      </c>
      <c r="F75" s="20">
        <f>IF(8143.28751="","-",8143.28751/8673668.27639*100)</f>
        <v>9.3885161969662678E-2</v>
      </c>
      <c r="G75" s="20">
        <f>IF(OR(7176761.18511="",6141.23795="",5397.56169=""),"-",(5397.56169-6141.23795)/7176761.18511*100)</f>
        <v>-1.0362282383632092E-2</v>
      </c>
      <c r="H75" s="20">
        <f>IF(OR(9218978.7701="",8143.28751="",5397.56169=""),"-",(8143.28751-5397.56169)/9218978.7701*100)</f>
        <v>2.9783405390901192E-2</v>
      </c>
    </row>
    <row r="76" spans="1:8" s="2" customFormat="1" x14ac:dyDescent="0.25">
      <c r="A76" s="59" t="s">
        <v>72</v>
      </c>
      <c r="B76" s="43">
        <v>6876.8614799999996</v>
      </c>
      <c r="C76" s="20">
        <v>7398.9855600000001</v>
      </c>
      <c r="D76" s="20">
        <f>IF(OR(6876.86148="",7398.98556=""),"-",7398.98556/6876.86148*100)</f>
        <v>107.59247632831483</v>
      </c>
      <c r="E76" s="20">
        <f>IF(6876.86148="","-",6876.86148/9218978.7701*100)</f>
        <v>7.4594612391383194E-2</v>
      </c>
      <c r="F76" s="20">
        <f>IF(7398.98556="","-",7398.98556/8673668.27639*100)</f>
        <v>8.5303995082914044E-2</v>
      </c>
      <c r="G76" s="20">
        <f>IF(OR(7176761.18511="",16695.28283="",6876.86148=""),"-",(6876.86148-16695.28283)/7176761.18511*100)</f>
        <v>-0.13680852820309516</v>
      </c>
      <c r="H76" s="20">
        <f>IF(OR(9218978.7701="",7398.98556="",6876.86148=""),"-",(7398.98556-6876.86148)/9218978.7701*100)</f>
        <v>5.6635782880139658E-3</v>
      </c>
    </row>
    <row r="77" spans="1:8" s="2" customFormat="1" x14ac:dyDescent="0.25">
      <c r="A77" s="59" t="s">
        <v>71</v>
      </c>
      <c r="B77" s="43">
        <v>4400.1154500000002</v>
      </c>
      <c r="C77" s="45">
        <v>7008.4614700000002</v>
      </c>
      <c r="D77" s="20">
        <f>IF(OR(4400.11545="",7008.46147=""),"-",7008.46147/4400.11545*100)</f>
        <v>159.27903596256778</v>
      </c>
      <c r="E77" s="20">
        <f>IF(4400.11545="","-",4400.11545/9218978.7701*100)</f>
        <v>4.7728881470808199E-2</v>
      </c>
      <c r="F77" s="20">
        <f>IF(7008.46147="","-",7008.46147/8673668.27639*100)</f>
        <v>8.0801585288628741E-2</v>
      </c>
      <c r="G77" s="20">
        <f>IF(OR(7176761.18511="",4518.27074="",4400.11545=""),"-",(4400.11545-4518.27074)/7176761.18511*100)</f>
        <v>-1.646359506083923E-3</v>
      </c>
      <c r="H77" s="20">
        <f>IF(OR(9218978.7701="",7008.46147="",4400.11545=""),"-",(7008.46147-4400.11545)/9218978.7701*100)</f>
        <v>2.829322081161173E-2</v>
      </c>
    </row>
    <row r="78" spans="1:8" s="2" customFormat="1" x14ac:dyDescent="0.25">
      <c r="A78" s="59" t="s">
        <v>316</v>
      </c>
      <c r="B78" s="43">
        <v>8331.9500700000008</v>
      </c>
      <c r="C78" s="20">
        <v>6708.9112699999996</v>
      </c>
      <c r="D78" s="20">
        <f>IF(OR(8331.95007="",6708.91127=""),"-",6708.91127/8331.95007*100)</f>
        <v>80.520300933584437</v>
      </c>
      <c r="E78" s="20">
        <f>IF(8331.95007="","-",8331.95007/9218978.7701*100)</f>
        <v>9.0378232532903668E-2</v>
      </c>
      <c r="F78" s="20">
        <f>IF(6708.91127="","-",6708.91127/8673668.27639*100)</f>
        <v>7.7348026881104842E-2</v>
      </c>
      <c r="G78" s="20">
        <f>IF(OR(7176761.18511="",3075.72168="",8331.95007=""),"-",(8331.95007-3075.72168)/7176761.18511*100)</f>
        <v>7.3239561055833527E-2</v>
      </c>
      <c r="H78" s="20">
        <f>IF(OR(9218978.7701="",6708.91127="",8331.95007=""),"-",(6708.91127-8331.95007)/9218978.7701*100)</f>
        <v>-1.7605407718954923E-2</v>
      </c>
    </row>
    <row r="79" spans="1:8" x14ac:dyDescent="0.25">
      <c r="A79" s="72" t="s">
        <v>80</v>
      </c>
      <c r="B79" s="45">
        <v>5317.7083300000004</v>
      </c>
      <c r="C79" s="45">
        <v>6615.2001300000002</v>
      </c>
      <c r="D79" s="20">
        <f>IF(OR(5317.70833="",6615.20013=""),"-",6615.20013/5317.70833*100)</f>
        <v>124.39945404075969</v>
      </c>
      <c r="E79" s="20">
        <f>IF(5317.70833="","-",5317.70833/9218978.7701*100)</f>
        <v>5.7682184356980769E-2</v>
      </c>
      <c r="F79" s="20">
        <f>IF(6615.20013="","-",6615.20013/8673668.27639*100)</f>
        <v>7.6267617335640858E-2</v>
      </c>
      <c r="G79" s="20">
        <f>IF(OR(7176761.18511="",3672.69724="",5317.70833=""),"-",(5317.70833-3672.69724)/7176761.18511*100)</f>
        <v>2.2921357525634133E-2</v>
      </c>
      <c r="H79" s="20">
        <f>IF(OR(9218978.7701="",6615.20013="",5317.70833=""),"-",(6615.20013-5317.70833)/9218978.7701*100)</f>
        <v>1.40741380618878E-2</v>
      </c>
    </row>
    <row r="80" spans="1:8" x14ac:dyDescent="0.25">
      <c r="A80" s="59" t="s">
        <v>278</v>
      </c>
      <c r="B80" s="43">
        <v>1398.37798</v>
      </c>
      <c r="C80" s="20">
        <v>6549.2062100000003</v>
      </c>
      <c r="D80" s="20" t="s">
        <v>377</v>
      </c>
      <c r="E80" s="20">
        <f>IF(1398.37798="","-",1398.37798/9218978.7701*100)</f>
        <v>1.5168469467956389E-2</v>
      </c>
      <c r="F80" s="20">
        <f>IF(6549.20621="","-",6549.20621/8673668.27639*100)</f>
        <v>7.5506763704892288E-2</v>
      </c>
      <c r="G80" s="20">
        <f>IF(OR(7176761.18511="",316.37399="",1398.37798=""),"-",(1398.37798-316.37399)/7176761.18511*100)</f>
        <v>1.5076494286097884E-2</v>
      </c>
      <c r="H80" s="20">
        <f>IF(OR(9218978.7701="",6549.20621="",1398.37798=""),"-",(6549.20621-1398.37798)/9218978.7701*100)</f>
        <v>5.587200446437441E-2</v>
      </c>
    </row>
    <row r="81" spans="1:8" x14ac:dyDescent="0.25">
      <c r="A81" s="59" t="s">
        <v>60</v>
      </c>
      <c r="B81" s="43">
        <v>8801.8202899999997</v>
      </c>
      <c r="C81" s="20">
        <v>5343.3729199999998</v>
      </c>
      <c r="D81" s="20">
        <f>IF(OR(8801.82029="",5343.37292=""),"-",5343.37292/8801.82029*100)</f>
        <v>60.707589384331776</v>
      </c>
      <c r="E81" s="20">
        <f>IF(8801.82029="","-",8801.82029/9218978.7701*100)</f>
        <v>9.5475003354460755E-2</v>
      </c>
      <c r="F81" s="20">
        <f>IF(5343.37292="","-",5343.37292/8673668.27639*100)</f>
        <v>6.1604533972608004E-2</v>
      </c>
      <c r="G81" s="20">
        <f>IF(OR(7176761.18511="",7591.91657="",8801.82029=""),"-",(8801.82029-7591.91657)/7176761.18511*100)</f>
        <v>1.6858631474463016E-2</v>
      </c>
      <c r="H81" s="20">
        <f>IF(OR(9218978.7701="",5343.37292="",8801.82029=""),"-",(5343.37292-8801.82029)/9218978.7701*100)</f>
        <v>-3.7514430353357733E-2</v>
      </c>
    </row>
    <row r="82" spans="1:8" x14ac:dyDescent="0.25">
      <c r="A82" s="59" t="s">
        <v>78</v>
      </c>
      <c r="B82" s="43">
        <v>3784.29232</v>
      </c>
      <c r="C82" s="20">
        <v>4633.9853700000003</v>
      </c>
      <c r="D82" s="20">
        <f>IF(OR(3784.29232="",4633.98537=""),"-",4633.98537/3784.29232*100)</f>
        <v>122.45315578580886</v>
      </c>
      <c r="E82" s="20">
        <f>IF(3784.29232="","-",3784.29232/9218978.7701*100)</f>
        <v>4.1048931930222368E-2</v>
      </c>
      <c r="F82" s="20">
        <f>IF(4633.98537="","-",4633.98537/8673668.27639*100)</f>
        <v>5.3425900349611664E-2</v>
      </c>
      <c r="G82" s="20">
        <f>IF(OR(7176761.18511="",4065.79494="",3784.29232=""),"-",(3784.29232-4065.79494)/7176761.18511*100)</f>
        <v>-3.9224186612764594E-3</v>
      </c>
      <c r="H82" s="20">
        <f>IF(OR(9218978.7701="",4633.98537="",3784.29232=""),"-",(4633.98537-3784.29232)/9218978.7701*100)</f>
        <v>9.2167806347034642E-3</v>
      </c>
    </row>
    <row r="83" spans="1:8" x14ac:dyDescent="0.25">
      <c r="A83" s="59" t="s">
        <v>77</v>
      </c>
      <c r="B83" s="43">
        <v>3857.4550199999999</v>
      </c>
      <c r="C83" s="45">
        <v>4209.97685</v>
      </c>
      <c r="D83" s="20">
        <f>IF(OR(3857.45502="",4209.97685=""),"-",4209.97685/3857.45502*100)</f>
        <v>109.13871524547292</v>
      </c>
      <c r="E83" s="20">
        <f>IF(3857.45502="","-",3857.45502/9218978.7701*100)</f>
        <v>4.1842541524348881E-2</v>
      </c>
      <c r="F83" s="20">
        <f>IF(4209.97685="","-",4209.97685/8673668.27639*100)</f>
        <v>4.8537443626472214E-2</v>
      </c>
      <c r="G83" s="20">
        <f>IF(OR(7176761.18511="",3739.95869="",3857.45502=""),"-",(3857.45502-3739.95869)/7176761.18511*100)</f>
        <v>1.6371776483767593E-3</v>
      </c>
      <c r="H83" s="20">
        <f>IF(OR(9218978.7701="",4209.97685="",3857.45502=""),"-",(4209.97685-3857.45502)/9218978.7701*100)</f>
        <v>3.8238707213790048E-3</v>
      </c>
    </row>
    <row r="84" spans="1:8" x14ac:dyDescent="0.25">
      <c r="A84" s="59" t="s">
        <v>64</v>
      </c>
      <c r="B84" s="43">
        <v>4388.3276800000003</v>
      </c>
      <c r="C84" s="45">
        <v>3424.6614100000002</v>
      </c>
      <c r="D84" s="20">
        <f>IF(OR(4388.32768="",3424.66141=""),"-",3424.66141/4388.32768*100)</f>
        <v>78.040239009681244</v>
      </c>
      <c r="E84" s="20">
        <f>IF(4388.32768="","-",4388.32768/9218978.7701*100)</f>
        <v>4.7601017308258747E-2</v>
      </c>
      <c r="F84" s="20">
        <f>IF(3424.66141="","-",3424.66141/8673668.27639*100)</f>
        <v>3.948342616839564E-2</v>
      </c>
      <c r="G84" s="20">
        <f>IF(OR(7176761.18511="",4740.17609="",4388.32768=""),"-",(4388.32768-4740.17609)/7176761.18511*100)</f>
        <v>-4.9026071918067691E-3</v>
      </c>
      <c r="H84" s="20">
        <f>IF(OR(9218978.7701="",3424.66141="",4388.32768=""),"-",(3424.66141-4388.32768)/9218978.7701*100)</f>
        <v>-1.0453069629853883E-2</v>
      </c>
    </row>
    <row r="85" spans="1:8" x14ac:dyDescent="0.25">
      <c r="A85" s="72" t="s">
        <v>57</v>
      </c>
      <c r="B85" s="45">
        <v>2136.0064299999999</v>
      </c>
      <c r="C85" s="45">
        <v>3415.0257999999999</v>
      </c>
      <c r="D85" s="20">
        <f>IF(OR(2136.00643="",3415.0258=""),"-",3415.0258/2136.00643*100)</f>
        <v>159.87900373502154</v>
      </c>
      <c r="E85" s="20">
        <f>IF(2136.00643="","-",2136.00643/9218978.7701*100)</f>
        <v>2.3169664268321451E-2</v>
      </c>
      <c r="F85" s="20">
        <f>IF(3415.0258="","-",3415.0258/8673668.27639*100)</f>
        <v>3.9372335800480274E-2</v>
      </c>
      <c r="G85" s="20">
        <f>IF(OR(7176761.18511="",1080.34283="",2136.00643=""),"-",(2136.00643-1080.34283)/7176761.18511*100)</f>
        <v>1.470947092666592E-2</v>
      </c>
      <c r="H85" s="20">
        <f>IF(OR(9218978.7701="",3415.0258="",2136.00643=""),"-",(3415.0258-2136.00643)/9218978.7701*100)</f>
        <v>1.3873764132620151E-2</v>
      </c>
    </row>
    <row r="86" spans="1:8" x14ac:dyDescent="0.25">
      <c r="A86" s="72" t="s">
        <v>85</v>
      </c>
      <c r="B86" s="45">
        <v>2635.88258</v>
      </c>
      <c r="C86" s="45">
        <v>3401.7969600000001</v>
      </c>
      <c r="D86" s="20">
        <f>IF(OR(2635.88258="",3401.79696=""),"-",3401.79696/2635.88258*100)</f>
        <v>129.05722682077896</v>
      </c>
      <c r="E86" s="20">
        <f>IF(2635.88258="","-",2635.88258/9218978.7701*100)</f>
        <v>2.8591915067089458E-2</v>
      </c>
      <c r="F86" s="20">
        <f>IF(3401.79696="","-",3401.79696/8673668.27639*100)</f>
        <v>3.9219818554276503E-2</v>
      </c>
      <c r="G86" s="20">
        <f>IF(OR(7176761.18511="",1888.97518="",2635.88258=""),"-",(2635.88258-1888.97518)/7176761.18511*100)</f>
        <v>1.0407304642512666E-2</v>
      </c>
      <c r="H86" s="20">
        <f>IF(OR(9218978.7701="",3401.79696="",2635.88258=""),"-",(3401.79696-2635.88258)/9218978.7701*100)</f>
        <v>8.3080176134486556E-3</v>
      </c>
    </row>
    <row r="87" spans="1:8" x14ac:dyDescent="0.25">
      <c r="A87" s="59" t="s">
        <v>32</v>
      </c>
      <c r="B87" s="43">
        <v>4707.5300999999999</v>
      </c>
      <c r="C87" s="45">
        <v>3223.18129</v>
      </c>
      <c r="D87" s="20">
        <f>IF(OR(4707.5301="",3223.18129=""),"-",3223.18129/4707.5301*100)</f>
        <v>68.468628379030434</v>
      </c>
      <c r="E87" s="20">
        <f>IF(4707.5301="","-",4707.5301/9218978.7701*100)</f>
        <v>5.1063466110454411E-2</v>
      </c>
      <c r="F87" s="20">
        <f>IF(3223.18129="","-",3223.18129/8673668.27639*100)</f>
        <v>3.7160532168074745E-2</v>
      </c>
      <c r="G87" s="20">
        <f>IF(OR(7176761.18511="",2078.11313="",4707.5301=""),"-",(4707.5301-2078.11313)/7176761.18511*100)</f>
        <v>3.6637933214991016E-2</v>
      </c>
      <c r="H87" s="20">
        <f>IF(OR(9218978.7701="",3223.18129="",4707.5301=""),"-",(3223.18129-4707.5301)/9218978.7701*100)</f>
        <v>-1.6101011261835232E-2</v>
      </c>
    </row>
    <row r="88" spans="1:8" x14ac:dyDescent="0.25">
      <c r="A88" s="59" t="s">
        <v>89</v>
      </c>
      <c r="B88" s="43">
        <v>1782.8735300000001</v>
      </c>
      <c r="C88" s="20">
        <v>3201.8925199999999</v>
      </c>
      <c r="D88" s="20" t="s">
        <v>329</v>
      </c>
      <c r="E88" s="20">
        <f>IF(1782.87353="","-",1782.87353/9218978.7701*100)</f>
        <v>1.9339165155498682E-2</v>
      </c>
      <c r="F88" s="20">
        <f>IF(3201.89252="","-",3201.89252/8673668.27639*100)</f>
        <v>3.6915090800920453E-2</v>
      </c>
      <c r="G88" s="20">
        <f>IF(OR(7176761.18511="",839.12883="",1782.87353=""),"-",(1782.87353-839.12883)/7176761.18511*100)</f>
        <v>1.3150008418254689E-2</v>
      </c>
      <c r="H88" s="20">
        <f>IF(OR(9218978.7701="",3201.89252="",1782.87353=""),"-",(3201.89252-1782.87353)/9218978.7701*100)</f>
        <v>1.5392366393144515E-2</v>
      </c>
    </row>
    <row r="89" spans="1:8" x14ac:dyDescent="0.25">
      <c r="A89" s="59" t="s">
        <v>79</v>
      </c>
      <c r="B89" s="43">
        <v>2835.8931200000002</v>
      </c>
      <c r="C89" s="20">
        <v>3190.9828400000001</v>
      </c>
      <c r="D89" s="20">
        <f>IF(OR(2835.89312="",3190.98284=""),"-",3190.98284/2835.89312*100)</f>
        <v>112.52126596364815</v>
      </c>
      <c r="E89" s="20">
        <f>IF(2835.89312="","-",2835.89312/9218978.7701*100)</f>
        <v>3.0761467085678507E-2</v>
      </c>
      <c r="F89" s="20">
        <f>IF(3190.98284="","-",3190.98284/8673668.27639*100)</f>
        <v>3.6789311492185575E-2</v>
      </c>
      <c r="G89" s="20">
        <f>IF(OR(7176761.18511="",3077.25278="",2835.89312=""),"-",(2835.89312-3077.25278)/7176761.18511*100)</f>
        <v>-3.3630721961427539E-3</v>
      </c>
      <c r="H89" s="20">
        <f>IF(OR(9218978.7701="",3190.98284="",2835.89312=""),"-",(3190.98284-2835.89312)/9218978.7701*100)</f>
        <v>3.8517251081178943E-3</v>
      </c>
    </row>
    <row r="90" spans="1:8" x14ac:dyDescent="0.25">
      <c r="A90" s="59" t="s">
        <v>59</v>
      </c>
      <c r="B90" s="43">
        <v>2283.9198000000001</v>
      </c>
      <c r="C90" s="45">
        <v>2795.30539</v>
      </c>
      <c r="D90" s="20">
        <f>IF(OR(2283.9198="",2795.30539=""),"-",2795.30539/2283.9198*100)</f>
        <v>122.39069821978863</v>
      </c>
      <c r="E90" s="20">
        <f>IF(2283.9198="","-",2283.9198/9218978.7701*100)</f>
        <v>2.4774108466411253E-2</v>
      </c>
      <c r="F90" s="20">
        <f>IF(2795.30539="","-",2795.30539/8673668.27639*100)</f>
        <v>3.2227487850888997E-2</v>
      </c>
      <c r="G90" s="20">
        <f>IF(OR(7176761.18511="",1240.14628="",2283.9198=""),"-",(2283.9198-1240.14628)/7176761.18511*100)</f>
        <v>1.4543796192711156E-2</v>
      </c>
      <c r="H90" s="20">
        <f>IF(OR(9218978.7701="",2795.30539="",2283.9198=""),"-",(2795.30539-2283.9198)/9218978.7701*100)</f>
        <v>5.547095863357247E-3</v>
      </c>
    </row>
    <row r="91" spans="1:8" x14ac:dyDescent="0.25">
      <c r="A91" s="59" t="s">
        <v>114</v>
      </c>
      <c r="B91" s="43">
        <v>1863.91184</v>
      </c>
      <c r="C91" s="20">
        <v>2597.5774099999999</v>
      </c>
      <c r="D91" s="20">
        <f>IF(OR(1863.91184="",2597.57741=""),"-",2597.57741/1863.91184*100)</f>
        <v>139.36160253158755</v>
      </c>
      <c r="E91" s="20">
        <f>IF(1863.91184="","-",1863.91184/9218978.7701*100)</f>
        <v>2.0218202975423295E-2</v>
      </c>
      <c r="F91" s="20">
        <f>IF(2597.57741="","-",2597.57741/8673668.27639*100)</f>
        <v>2.9947852825668791E-2</v>
      </c>
      <c r="G91" s="20">
        <f>IF(OR(7176761.18511="",1496.51133="",1863.91184=""),"-",(1863.91184-1496.51133)/7176761.18511*100)</f>
        <v>5.1193080071030494E-3</v>
      </c>
      <c r="H91" s="20">
        <f>IF(OR(9218978.7701="",2597.57741="",1863.91184=""),"-",(2597.57741-1863.91184)/9218978.7701*100)</f>
        <v>7.9582086942157227E-3</v>
      </c>
    </row>
    <row r="92" spans="1:8" x14ac:dyDescent="0.25">
      <c r="A92" s="72" t="s">
        <v>76</v>
      </c>
      <c r="B92" s="45">
        <v>2392.8919900000001</v>
      </c>
      <c r="C92" s="45">
        <v>2177.57303</v>
      </c>
      <c r="D92" s="20">
        <f>IF(OR(2392.89199="",2177.57303=""),"-",2177.57303/2392.89199*100)</f>
        <v>91.001726743211677</v>
      </c>
      <c r="E92" s="20">
        <f>IF(2392.89199="","-",2392.89199/9218978.7701*100)</f>
        <v>2.5956150346727005E-2</v>
      </c>
      <c r="F92" s="20">
        <f>IF(2177.57303="","-",2177.57303/8673668.27639*100)</f>
        <v>2.510556042277318E-2</v>
      </c>
      <c r="G92" s="20">
        <f>IF(OR(7176761.18511="",2244.91777="",2392.89199=""),"-",(2392.89199-2244.91777)/7176761.18511*100)</f>
        <v>2.0618523618566253E-3</v>
      </c>
      <c r="H92" s="20">
        <f>IF(OR(9218978.7701="",2177.57303="",2392.89199=""),"-",(2177.57303-2392.89199)/9218978.7701*100)</f>
        <v>-2.3356053351413072E-3</v>
      </c>
    </row>
    <row r="93" spans="1:8" x14ac:dyDescent="0.25">
      <c r="A93" s="59" t="s">
        <v>400</v>
      </c>
      <c r="B93" s="43">
        <v>2319.2353699999999</v>
      </c>
      <c r="C93" s="45">
        <v>2110.4722900000002</v>
      </c>
      <c r="D93" s="20">
        <f>IF(OR(2319.23537="",2110.47229=""),"-",2110.47229/2319.23537*100)</f>
        <v>90.998624688963773</v>
      </c>
      <c r="E93" s="20">
        <f>IF(2319.23537="","-",2319.23537/9218978.7701*100)</f>
        <v>2.5157183109283183E-2</v>
      </c>
      <c r="F93" s="20">
        <f>IF(2110.47229="","-",2110.47229/8673668.27639*100)</f>
        <v>2.4331946101106644E-2</v>
      </c>
      <c r="G93" s="20">
        <f>IF(OR(7176761.18511="",2339.19698="",2319.23537=""),"-",(2319.23537-2339.19698)/7176761.18511*100)</f>
        <v>-2.7814231914830446E-4</v>
      </c>
      <c r="H93" s="20">
        <f>IF(OR(9218978.7701="",2110.47229="",2319.23537=""),"-",(2110.47229-2319.23537)/9218978.7701*100)</f>
        <v>-2.2644924693511928E-3</v>
      </c>
    </row>
    <row r="94" spans="1:8" x14ac:dyDescent="0.25">
      <c r="A94" s="59" t="s">
        <v>82</v>
      </c>
      <c r="B94" s="43">
        <v>1592.7714900000001</v>
      </c>
      <c r="C94" s="20">
        <v>1784.23287</v>
      </c>
      <c r="D94" s="20">
        <f>IF(OR(1592.77149="",1784.23287=""),"-",1784.23287/1592.77149*100)</f>
        <v>112.02064333785884</v>
      </c>
      <c r="E94" s="20">
        <f>IF(1592.77149="","-",1592.77149/9218978.7701*100)</f>
        <v>1.727709250362796E-2</v>
      </c>
      <c r="F94" s="20">
        <f>IF(1784.23287="","-",1784.23287/8673668.27639*100)</f>
        <v>2.0570683742387734E-2</v>
      </c>
      <c r="G94" s="20">
        <f>IF(OR(7176761.18511="",2163.06736="",1592.77149=""),"-",(1592.77149-2163.06736)/7176761.18511*100)</f>
        <v>-7.9464239549063235E-3</v>
      </c>
      <c r="H94" s="20">
        <f>IF(OR(9218978.7701="",1784.23287="",1592.77149=""),"-",(1784.23287-1592.77149)/9218978.7701*100)</f>
        <v>2.0768176690130632E-3</v>
      </c>
    </row>
    <row r="95" spans="1:8" x14ac:dyDescent="0.25">
      <c r="A95" s="59" t="s">
        <v>81</v>
      </c>
      <c r="B95" s="43">
        <v>1751.71255</v>
      </c>
      <c r="C95" s="20">
        <v>1730.4005199999999</v>
      </c>
      <c r="D95" s="20">
        <f>IF(OR(1751.71255="",1730.40052=""),"-",1730.40052/1751.71255*100)</f>
        <v>98.783360317878632</v>
      </c>
      <c r="E95" s="20">
        <f>IF(1751.71255="","-",1751.71255/9218978.7701*100)</f>
        <v>1.9001156133273089E-2</v>
      </c>
      <c r="F95" s="20">
        <f>IF(1730.40052="","-",1730.40052/8673668.27639*100)</f>
        <v>1.9950042644704378E-2</v>
      </c>
      <c r="G95" s="20">
        <f>IF(OR(7176761.18511="",689.32079="",1751.71255=""),"-",(1751.71255-689.32079)/7176761.18511*100)</f>
        <v>1.4803220179657078E-2</v>
      </c>
      <c r="H95" s="20">
        <f>IF(OR(9218978.7701="",1730.40052="",1751.71255=""),"-",(1730.40052-1751.71255)/9218978.7701*100)</f>
        <v>-2.311756055792379E-4</v>
      </c>
    </row>
    <row r="96" spans="1:8" x14ac:dyDescent="0.25">
      <c r="A96" s="59" t="s">
        <v>104</v>
      </c>
      <c r="B96" s="43">
        <v>541.64692000000002</v>
      </c>
      <c r="C96" s="20">
        <v>1596.5716600000001</v>
      </c>
      <c r="D96" s="20" t="s">
        <v>331</v>
      </c>
      <c r="E96" s="20">
        <f>IF(541.64692="","-",541.64692/9218978.7701*100)</f>
        <v>5.875346212497295E-3</v>
      </c>
      <c r="F96" s="20">
        <f>IF(1596.57166="","-",1596.57166/8673668.27639*100)</f>
        <v>1.8407109992273036E-2</v>
      </c>
      <c r="G96" s="20">
        <f>IF(OR(7176761.18511="",955.2889="",541.64692=""),"-",(541.64692-955.2889)/7176761.18511*100)</f>
        <v>-5.7636302690161198E-3</v>
      </c>
      <c r="H96" s="20">
        <f>IF(OR(9218978.7701="",1596.57166="",541.64692=""),"-",(1596.57166-541.64692)/9218978.7701*100)</f>
        <v>1.1442967451247933E-2</v>
      </c>
    </row>
    <row r="97" spans="1:8" x14ac:dyDescent="0.25">
      <c r="A97" s="72" t="s">
        <v>402</v>
      </c>
      <c r="B97" s="45">
        <v>1635.3550299999999</v>
      </c>
      <c r="C97" s="45">
        <v>1455.7343900000001</v>
      </c>
      <c r="D97" s="20">
        <f>IF(OR(1635.35503="",1455.73439=""),"-",1455.73439/1635.35503*100)</f>
        <v>89.016413151583365</v>
      </c>
      <c r="E97" s="20">
        <f>IF(1635.35503="","-",1635.35503/9218978.7701*100)</f>
        <v>1.7739004186710594E-2</v>
      </c>
      <c r="F97" s="20">
        <f>IF(1455.73439="","-",1455.73439/8673668.27639*100)</f>
        <v>1.6783376347958286E-2</v>
      </c>
      <c r="G97" s="20">
        <f>IF(OR(7176761.18511="",1584.89786="",1635.35503=""),"-",(1635.35503-1584.89786)/7176761.18511*100)</f>
        <v>7.0306324396980104E-4</v>
      </c>
      <c r="H97" s="20">
        <f>IF(OR(9218978.7701="",1455.73439="",1635.35503=""),"-",(1455.73439-1635.35503)/9218978.7701*100)</f>
        <v>-1.9483789308916207E-3</v>
      </c>
    </row>
    <row r="98" spans="1:8" x14ac:dyDescent="0.25">
      <c r="A98" s="72" t="s">
        <v>375</v>
      </c>
      <c r="B98" s="45">
        <v>286.25635</v>
      </c>
      <c r="C98" s="45">
        <v>1277.96739</v>
      </c>
      <c r="D98" s="20" t="s">
        <v>376</v>
      </c>
      <c r="E98" s="20">
        <f>IF(286.25635="","-",286.25635/9218978.7701*100)</f>
        <v>3.1050765723467971E-3</v>
      </c>
      <c r="F98" s="20">
        <f>IF(1277.96739="","-",1277.96739/8673668.27639*100)</f>
        <v>1.4733874403274885E-2</v>
      </c>
      <c r="G98" s="20">
        <f>IF(OR(7176761.18511="",557.14332="",286.25635=""),"-",(286.25635-557.14332)/7176761.18511*100)</f>
        <v>-3.7745016590774029E-3</v>
      </c>
      <c r="H98" s="20">
        <f>IF(OR(9218978.7701="",1277.96739="",286.25635=""),"-",(1277.96739-286.25635)/9218978.7701*100)</f>
        <v>1.075727653497181E-2</v>
      </c>
    </row>
    <row r="99" spans="1:8" x14ac:dyDescent="0.25">
      <c r="A99" s="72" t="s">
        <v>83</v>
      </c>
      <c r="B99" s="45">
        <v>704.60130000000004</v>
      </c>
      <c r="C99" s="45">
        <v>1206.38751</v>
      </c>
      <c r="D99" s="20" t="s">
        <v>326</v>
      </c>
      <c r="E99" s="20">
        <f>IF(704.6013="","-",704.6013/9218978.7701*100)</f>
        <v>7.6429430804769837E-3</v>
      </c>
      <c r="F99" s="20">
        <f>IF(1206.38751="","-",1206.38751/8673668.27639*100)</f>
        <v>1.3908619416352653E-2</v>
      </c>
      <c r="G99" s="20">
        <f>IF(OR(7176761.18511="",454.9811="",704.6013=""),"-",(704.6013-454.9811)/7176761.18511*100)</f>
        <v>3.4781734205939587E-3</v>
      </c>
      <c r="H99" s="20">
        <f>IF(OR(9218978.7701="",1206.38751="",704.6013=""),"-",(1206.38751-704.6013)/9218978.7701*100)</f>
        <v>5.4429695795313896E-3</v>
      </c>
    </row>
    <row r="100" spans="1:8" x14ac:dyDescent="0.25">
      <c r="A100" s="72" t="s">
        <v>86</v>
      </c>
      <c r="B100" s="45">
        <v>570.30006000000003</v>
      </c>
      <c r="C100" s="45">
        <v>1146.1038100000001</v>
      </c>
      <c r="D100" s="20" t="s">
        <v>334</v>
      </c>
      <c r="E100" s="20">
        <f>IF(570.30006="","-",570.30006/9218978.7701*100)</f>
        <v>6.1861522216501846E-3</v>
      </c>
      <c r="F100" s="20">
        <f>IF(1146.10381="","-",1146.10381/8673668.27639*100)</f>
        <v>1.3213599753632855E-2</v>
      </c>
      <c r="G100" s="20">
        <f>IF(OR(7176761.18511="",797.13986="",570.30006=""),"-",(570.30006-797.13986)/7176761.18511*100)</f>
        <v>-3.1607544705630772E-3</v>
      </c>
      <c r="H100" s="20">
        <f>IF(OR(9218978.7701="",1146.10381="",570.30006=""),"-",(1146.10381-570.30006)/9218978.7701*100)</f>
        <v>6.2458517842291783E-3</v>
      </c>
    </row>
    <row r="101" spans="1:8" x14ac:dyDescent="0.25">
      <c r="A101" s="72" t="s">
        <v>317</v>
      </c>
      <c r="B101" s="45">
        <v>668.18970000000002</v>
      </c>
      <c r="C101" s="45">
        <v>1072.38435</v>
      </c>
      <c r="D101" s="20" t="s">
        <v>336</v>
      </c>
      <c r="E101" s="20">
        <f>IF(668.1897="","-",668.1897/9218978.7701*100)</f>
        <v>7.2479795936524543E-3</v>
      </c>
      <c r="F101" s="20">
        <f>IF(1072.38435="","-",1072.38435/8673668.27639*100)</f>
        <v>1.2363677233530643E-2</v>
      </c>
      <c r="G101" s="20">
        <f>IF(OR(7176761.18511="",21.51934="",668.1897=""),"-",(668.1897-21.51934)/7176761.18511*100)</f>
        <v>9.0106155593094109E-3</v>
      </c>
      <c r="H101" s="20">
        <f>IF(OR(9218978.7701="",1072.38435="",668.1897=""),"-",(1072.38435-668.1897)/9218978.7701*100)</f>
        <v>4.3843755374611375E-3</v>
      </c>
    </row>
    <row r="102" spans="1:8" x14ac:dyDescent="0.25">
      <c r="A102" s="72" t="s">
        <v>365</v>
      </c>
      <c r="B102" s="45">
        <v>21.141749999999998</v>
      </c>
      <c r="C102" s="45">
        <v>934.84052999999994</v>
      </c>
      <c r="D102" s="20" t="s">
        <v>378</v>
      </c>
      <c r="E102" s="20">
        <f>IF(21.14175="","-",21.14175/9218978.7701*100)</f>
        <v>2.2932854633063299E-4</v>
      </c>
      <c r="F102" s="20">
        <f>IF(934.84053="","-",934.84053/8673668.27639*100)</f>
        <v>1.0777914259698696E-2</v>
      </c>
      <c r="G102" s="20">
        <f>IF(OR(7176761.18511="",982.54512="",21.14175=""),"-",(21.14175-982.54512)/7176761.18511*100)</f>
        <v>-1.3396061889235963E-2</v>
      </c>
      <c r="H102" s="20">
        <f>IF(OR(9218978.7701="",934.84053="",21.14175=""),"-",(934.84053-21.14175)/9218978.7701*100)</f>
        <v>9.9110628496445596E-3</v>
      </c>
    </row>
    <row r="103" spans="1:8" x14ac:dyDescent="0.25">
      <c r="A103" s="72" t="s">
        <v>88</v>
      </c>
      <c r="B103" s="45">
        <v>1053.68633</v>
      </c>
      <c r="C103" s="45">
        <v>902.01499999999999</v>
      </c>
      <c r="D103" s="20">
        <f>IF(OR(1053.68633="",902.015=""),"-",902.015/1053.68633*100)</f>
        <v>85.605646986043752</v>
      </c>
      <c r="E103" s="20">
        <f>IF(1053.68633="","-",1053.68633/9218978.7701*100)</f>
        <v>1.1429534184604382E-2</v>
      </c>
      <c r="F103" s="20">
        <f>IF(902.015="","-",902.015/8673668.27639*100)</f>
        <v>1.0399463886062065E-2</v>
      </c>
      <c r="G103" s="20">
        <f>IF(OR(7176761.18511="",778.39427="",1053.68633=""),"-",(1053.68633-778.39427)/7176761.18511*100)</f>
        <v>3.8358815752593629E-3</v>
      </c>
      <c r="H103" s="20">
        <f>IF(OR(9218978.7701="",902.015="",1053.68633=""),"-",(902.015-1053.68633)/9218978.7701*100)</f>
        <v>-1.6452074983827609E-3</v>
      </c>
    </row>
    <row r="104" spans="1:8" x14ac:dyDescent="0.25">
      <c r="A104" s="72" t="s">
        <v>90</v>
      </c>
      <c r="B104" s="45">
        <v>683.68026999999995</v>
      </c>
      <c r="C104" s="45">
        <v>770.94255999999996</v>
      </c>
      <c r="D104" s="20">
        <f>IF(OR(683.68027="",770.94256=""),"-",770.94256/683.68027*100)</f>
        <v>112.76361097856457</v>
      </c>
      <c r="E104" s="20">
        <f>IF(683.68027="","-",683.68027/9218978.7701*100)</f>
        <v>7.4160087255801758E-3</v>
      </c>
      <c r="F104" s="20">
        <f>IF(770.94256="","-",770.94256/8673668.27639*100)</f>
        <v>8.8883104060888517E-3</v>
      </c>
      <c r="G104" s="20">
        <f>IF(OR(7176761.18511="",530.4064="",683.68027=""),"-",(683.68027-530.4064)/7176761.18511*100)</f>
        <v>2.1356969536342556E-3</v>
      </c>
      <c r="H104" s="20">
        <f>IF(OR(9218978.7701="",770.94256="",683.68027=""),"-",(770.94256-683.68027)/9218978.7701*100)</f>
        <v>9.4655050386945906E-4</v>
      </c>
    </row>
    <row r="105" spans="1:8" x14ac:dyDescent="0.25">
      <c r="A105" s="59" t="s">
        <v>100</v>
      </c>
      <c r="B105" s="43">
        <v>418.85109</v>
      </c>
      <c r="C105" s="45">
        <v>691.07357999999999</v>
      </c>
      <c r="D105" s="20" t="s">
        <v>336</v>
      </c>
      <c r="E105" s="20">
        <f>IF(418.85109="","-",418.85109/9218978.7701*100)</f>
        <v>4.5433567040903018E-3</v>
      </c>
      <c r="F105" s="20">
        <f>IF(691.07358="","-",691.07358/8673668.27639*100)</f>
        <v>7.9674891635079497E-3</v>
      </c>
      <c r="G105" s="20">
        <f>IF(OR(7176761.18511="",651.74366="",418.85109=""),"-",(418.85109-651.74366)/7176761.18511*100)</f>
        <v>-3.2450929324943168E-3</v>
      </c>
      <c r="H105" s="20">
        <f>IF(OR(9218978.7701="",691.07358="",418.85109=""),"-",(691.07358-418.85109)/9218978.7701*100)</f>
        <v>2.9528486483004143E-3</v>
      </c>
    </row>
    <row r="106" spans="1:8" x14ac:dyDescent="0.25">
      <c r="A106" s="59" t="s">
        <v>281</v>
      </c>
      <c r="B106" s="43">
        <v>868.53624000000002</v>
      </c>
      <c r="C106" s="20">
        <v>670.86497999999995</v>
      </c>
      <c r="D106" s="20">
        <f>IF(OR(868.53624="",670.86498=""),"-",670.86498/868.53624*100)</f>
        <v>77.24087367960604</v>
      </c>
      <c r="E106" s="20">
        <f>IF(868.53624="","-",868.53624/9218978.7701*100)</f>
        <v>9.4211762675593946E-3</v>
      </c>
      <c r="F106" s="20">
        <f>IF(670.86498="","-",670.86498/8673668.27639*100)</f>
        <v>7.7345012354935877E-3</v>
      </c>
      <c r="G106" s="20">
        <f>IF(OR(7176761.18511="",352.51699="",868.53624=""),"-",(868.53624-352.51699)/7176761.18511*100)</f>
        <v>7.1901410216994831E-3</v>
      </c>
      <c r="H106" s="20">
        <f>IF(OR(9218978.7701="",670.86498="",868.53624=""),"-",(670.86498-868.53624)/9218978.7701*100)</f>
        <v>-2.1441774076008196E-3</v>
      </c>
    </row>
    <row r="107" spans="1:8" x14ac:dyDescent="0.25">
      <c r="A107" s="72" t="s">
        <v>324</v>
      </c>
      <c r="B107" s="45">
        <v>21.420819999999999</v>
      </c>
      <c r="C107" s="45">
        <v>622.39039000000002</v>
      </c>
      <c r="D107" s="20" t="s">
        <v>379</v>
      </c>
      <c r="E107" s="20">
        <f>IF(21.42082="","-",21.42082/9218978.7701*100)</f>
        <v>2.3235567121029007E-4</v>
      </c>
      <c r="F107" s="20">
        <f>IF(622.39039="","-",622.39039/8673668.27639*100)</f>
        <v>7.1756305425487209E-3</v>
      </c>
      <c r="G107" s="20">
        <f>IF(OR(7176761.18511="",263.31805="",21.42082=""),"-",(21.42082-263.31805)/7176761.18511*100)</f>
        <v>-3.3705626223410751E-3</v>
      </c>
      <c r="H107" s="20">
        <f>IF(OR(9218978.7701="",622.39039="",21.42082=""),"-",(622.39039-21.42082)/9218978.7701*100)</f>
        <v>6.5188301761701659E-3</v>
      </c>
    </row>
    <row r="108" spans="1:8" x14ac:dyDescent="0.25">
      <c r="A108" s="72" t="s">
        <v>68</v>
      </c>
      <c r="B108" s="45">
        <v>20.640910000000002</v>
      </c>
      <c r="C108" s="45">
        <v>597.64444000000003</v>
      </c>
      <c r="D108" s="20" t="s">
        <v>380</v>
      </c>
      <c r="E108" s="20">
        <f>IF(20.64091="","-",20.64091/9218978.7701*100)</f>
        <v>2.2389584046928124E-4</v>
      </c>
      <c r="F108" s="20">
        <f>IF(597.64444="","-",597.64444/8673668.27639*100)</f>
        <v>6.8903308376088946E-3</v>
      </c>
      <c r="G108" s="20">
        <f>IF(OR(7176761.18511="",32.88544="",20.64091=""),"-",(20.64091-32.88544)/7176761.18511*100)</f>
        <v>-1.7061359134262912E-4</v>
      </c>
      <c r="H108" s="20">
        <f>IF(OR(9218978.7701="",597.64444="",20.64091=""),"-",(597.64444-20.64091)/9218978.7701*100)</f>
        <v>6.2588660239830587E-3</v>
      </c>
    </row>
    <row r="109" spans="1:8" x14ac:dyDescent="0.25">
      <c r="A109" s="59" t="s">
        <v>177</v>
      </c>
      <c r="B109" s="43">
        <v>267.68907000000002</v>
      </c>
      <c r="C109" s="20">
        <v>515.32101</v>
      </c>
      <c r="D109" s="20" t="s">
        <v>327</v>
      </c>
      <c r="E109" s="20">
        <f>IF(267.68907="","-",267.68907/9218978.7701*100)</f>
        <v>2.9036737872550318E-3</v>
      </c>
      <c r="F109" s="20">
        <f>IF(515.32101="","-",515.32101/8673668.27639*100)</f>
        <v>5.9412118792082488E-3</v>
      </c>
      <c r="G109" s="20">
        <f>IF(OR(7176761.18511="",119.20581="",267.68907=""),"-",(267.68907-119.20581)/7176761.18511*100)</f>
        <v>2.068945254971922E-3</v>
      </c>
      <c r="H109" s="20">
        <f>IF(OR(9218978.7701="",515.32101="",267.68907=""),"-",(515.32101-267.68907)/9218978.7701*100)</f>
        <v>2.6861103184568228E-3</v>
      </c>
    </row>
    <row r="110" spans="1:8" x14ac:dyDescent="0.25">
      <c r="A110" s="72" t="s">
        <v>269</v>
      </c>
      <c r="B110" s="45">
        <v>147.16243</v>
      </c>
      <c r="C110" s="45">
        <v>448.15634999999997</v>
      </c>
      <c r="D110" s="20" t="s">
        <v>350</v>
      </c>
      <c r="E110" s="20">
        <f>IF(147.16243="","-",147.16243/9218978.7701*100)</f>
        <v>1.5962986103980766E-3</v>
      </c>
      <c r="F110" s="20">
        <f>IF(448.15635="","-",448.15635/8673668.27639*100)</f>
        <v>5.1668606144403256E-3</v>
      </c>
      <c r="G110" s="20">
        <f>IF(OR(7176761.18511="",169.41571="",147.16243=""),"-",(147.16243-169.41571)/7176761.18511*100)</f>
        <v>-3.100741326905238E-4</v>
      </c>
      <c r="H110" s="20">
        <f>IF(OR(9218978.7701="",448.15635="",147.16243=""),"-",(448.15635-147.16243)/9218978.7701*100)</f>
        <v>3.2649377713745951E-3</v>
      </c>
    </row>
    <row r="111" spans="1:8" x14ac:dyDescent="0.25">
      <c r="A111" s="72" t="s">
        <v>105</v>
      </c>
      <c r="B111" s="45">
        <v>480.34296000000001</v>
      </c>
      <c r="C111" s="45">
        <v>352.67228</v>
      </c>
      <c r="D111" s="20">
        <f>IF(OR(480.34296="",352.67228=""),"-",352.67228/480.34296*100)</f>
        <v>73.4209324104594</v>
      </c>
      <c r="E111" s="20">
        <f>IF(480.34296="","-",480.34296/9218978.7701*100)</f>
        <v>5.2103706058842531E-3</v>
      </c>
      <c r="F111" s="20">
        <f>IF(352.67228="","-",352.67228/8673668.27639*100)</f>
        <v>4.0660106976881417E-3</v>
      </c>
      <c r="G111" s="20">
        <f>IF(OR(7176761.18511="",193.52343="",480.34296=""),"-",(480.34296-193.52343)/7176761.18511*100)</f>
        <v>3.9965037515123031E-3</v>
      </c>
      <c r="H111" s="20">
        <f>IF(OR(9218978.7701="",352.67228="",480.34296=""),"-",(352.67228-480.34296)/9218978.7701*100)</f>
        <v>-1.3848679250035322E-3</v>
      </c>
    </row>
    <row r="112" spans="1:8" x14ac:dyDescent="0.25">
      <c r="A112" s="72" t="s">
        <v>287</v>
      </c>
      <c r="B112" s="45">
        <v>33.279699999999998</v>
      </c>
      <c r="C112" s="45">
        <v>342.93396999999999</v>
      </c>
      <c r="D112" s="20" t="s">
        <v>381</v>
      </c>
      <c r="E112" s="20">
        <f>IF(33.2797="","-",33.2797/9218978.7701*100)</f>
        <v>3.609911773301438E-4</v>
      </c>
      <c r="F112" s="20">
        <f>IF(342.93397="","-",342.93397/8673668.27639*100)</f>
        <v>3.9537362863354729E-3</v>
      </c>
      <c r="G112" s="20">
        <f>IF(OR(7176761.18511="",1.85523="",33.2797=""),"-",(33.2797-1.85523)/7176761.18511*100)</f>
        <v>4.378642285770632E-4</v>
      </c>
      <c r="H112" s="20">
        <f>IF(OR(9218978.7701="",342.93397="",33.2797=""),"-",(342.93397-33.2797)/9218978.7701*100)</f>
        <v>3.3588782198338994E-3</v>
      </c>
    </row>
    <row r="113" spans="1:8" x14ac:dyDescent="0.25">
      <c r="A113" s="72" t="s">
        <v>284</v>
      </c>
      <c r="B113" s="45">
        <v>201.19441</v>
      </c>
      <c r="C113" s="45">
        <v>309.65035999999998</v>
      </c>
      <c r="D113" s="20">
        <f>IF(OR(201.19441="",309.65036=""),"-",309.65036/201.19441*100)</f>
        <v>153.90604540155962</v>
      </c>
      <c r="E113" s="20">
        <f>IF(201.19441="","-",201.19441/9218978.7701*100)</f>
        <v>2.1823936795747454E-3</v>
      </c>
      <c r="F113" s="20">
        <f>IF(309.65036="","-",309.65036/8673668.27639*100)</f>
        <v>3.5700046408608695E-3</v>
      </c>
      <c r="G113" s="20">
        <f>IF(OR(7176761.18511="",182.97601="",201.19441=""),"-",(201.19441-182.97601)/7176761.18511*100)</f>
        <v>2.5385267156163236E-4</v>
      </c>
      <c r="H113" s="20">
        <f>IF(OR(9218978.7701="",309.65036="",201.19441=""),"-",(309.65036-201.19441)/9218978.7701*100)</f>
        <v>1.1764421277523295E-3</v>
      </c>
    </row>
    <row r="114" spans="1:8" x14ac:dyDescent="0.25">
      <c r="A114" s="72" t="s">
        <v>289</v>
      </c>
      <c r="B114" s="45">
        <v>192.48799</v>
      </c>
      <c r="C114" s="45">
        <v>304.70449000000002</v>
      </c>
      <c r="D114" s="20">
        <f>IF(OR(192.48799="",304.70449=""),"-",304.70449/192.48799*100)</f>
        <v>158.29792289898194</v>
      </c>
      <c r="E114" s="20">
        <f>IF(192.48799="","-",192.48799/9218978.7701*100)</f>
        <v>2.0879535011437285E-3</v>
      </c>
      <c r="F114" s="20">
        <f>IF(304.70449="","-",304.70449/8673668.27639*100)</f>
        <v>3.512982976642251E-3</v>
      </c>
      <c r="G114" s="20">
        <f>IF(OR(7176761.18511="",19.63405="",192.48799=""),"-",(192.48799-19.63405)/7176761.18511*100)</f>
        <v>2.4085229470729645E-3</v>
      </c>
      <c r="H114" s="20">
        <f>IF(OR(9218978.7701="",304.70449="",192.48799=""),"-",(304.70449-192.48799)/9218978.7701*100)</f>
        <v>1.2172335222633644E-3</v>
      </c>
    </row>
    <row r="115" spans="1:8" x14ac:dyDescent="0.25">
      <c r="A115" s="72" t="s">
        <v>290</v>
      </c>
      <c r="B115" s="45">
        <v>245.91457</v>
      </c>
      <c r="C115" s="45">
        <v>230.36466999999999</v>
      </c>
      <c r="D115" s="20">
        <f>IF(OR(245.91457="",230.36467=""),"-",230.36467/245.91457*100)</f>
        <v>93.676706508280489</v>
      </c>
      <c r="E115" s="20">
        <f>IF(245.91457="","-",245.91457/9218978.7701*100)</f>
        <v>2.6674816824351199E-3</v>
      </c>
      <c r="F115" s="20">
        <f>IF(230.36467="","-",230.36467/8673668.27639*100)</f>
        <v>2.6559082346630657E-3</v>
      </c>
      <c r="G115" s="20">
        <f>IF(OR(7176761.18511="",171.05193="",245.91457=""),"-",(245.91457-171.05193)/7176761.18511*100)</f>
        <v>1.043125695130018E-3</v>
      </c>
      <c r="H115" s="20">
        <f>IF(OR(9218978.7701="",230.36467="",245.91457=""),"-",(230.36467-245.91457)/9218978.7701*100)</f>
        <v>-1.686726956182299E-4</v>
      </c>
    </row>
    <row r="116" spans="1:8" x14ac:dyDescent="0.25">
      <c r="A116" s="72" t="s">
        <v>270</v>
      </c>
      <c r="B116" s="45">
        <v>0.15268000000000001</v>
      </c>
      <c r="C116" s="45">
        <v>175.50326000000001</v>
      </c>
      <c r="D116" s="20" t="s">
        <v>382</v>
      </c>
      <c r="E116" s="20">
        <f>IF(0.15268="","-",0.15268/9218978.7701*100)</f>
        <v>1.6561487319527028E-6</v>
      </c>
      <c r="F116" s="20">
        <f>IF(175.50326="","-",175.50326/8673668.27639*100)</f>
        <v>2.023402952563052E-3</v>
      </c>
      <c r="G116" s="20">
        <f>IF(OR(7176761.18511="",6.94972="",0.15268=""),"-",(0.15268-6.94972)/7176761.18511*100)</f>
        <v>-9.4709017406099176E-5</v>
      </c>
      <c r="H116" s="20">
        <f>IF(OR(9218978.7701="",175.50326="",0.15268=""),"-",(175.50326-0.15268)/9218978.7701*100)</f>
        <v>1.9020607853954086E-3</v>
      </c>
    </row>
    <row r="117" spans="1:8" x14ac:dyDescent="0.25">
      <c r="A117" s="59" t="s">
        <v>106</v>
      </c>
      <c r="B117" s="43">
        <v>123.73526</v>
      </c>
      <c r="C117" s="20">
        <v>171.97046</v>
      </c>
      <c r="D117" s="20">
        <f>IF(OR(123.73526="",171.97046=""),"-",171.97046/123.73526*100)</f>
        <v>138.98258265267313</v>
      </c>
      <c r="E117" s="20">
        <f>IF(123.73526="","-",123.73526/9218978.7701*100)</f>
        <v>1.3421796826489257E-3</v>
      </c>
      <c r="F117" s="20">
        <f>IF(171.97046="","-",171.97046/8673668.27639*100)</f>
        <v>1.982672780651631E-3</v>
      </c>
      <c r="G117" s="20">
        <f>IF(OR(7176761.18511="",306.52122="",123.73526=""),"-",(123.73526-306.52122)/7176761.18511*100)</f>
        <v>-2.5469143431891758E-3</v>
      </c>
      <c r="H117" s="20">
        <f>IF(OR(9218978.7701="",171.97046="",123.73526=""),"-",(171.97046-123.73526)/9218978.7701*100)</f>
        <v>5.2321630413600345E-4</v>
      </c>
    </row>
    <row r="118" spans="1:8" x14ac:dyDescent="0.25">
      <c r="A118" s="72" t="s">
        <v>54</v>
      </c>
      <c r="B118" s="45">
        <v>343.55594000000002</v>
      </c>
      <c r="C118" s="45">
        <v>162.49396999999999</v>
      </c>
      <c r="D118" s="20">
        <f>IF(OR(343.55594="",162.49397=""),"-",162.49397/343.55594*100)</f>
        <v>47.297674434038306</v>
      </c>
      <c r="E118" s="20">
        <f>IF(343.55594="","-",343.55594/9218978.7701*100)</f>
        <v>3.7266160229618736E-3</v>
      </c>
      <c r="F118" s="20">
        <f>IF(162.49397="","-",162.49397/8673668.27639*100)</f>
        <v>1.8734169306695041E-3</v>
      </c>
      <c r="G118" s="20">
        <f>IF(OR(7176761.18511="",211.28432="",343.55594=""),"-",(343.55594-211.28432)/7176761.18511*100)</f>
        <v>1.8430545003285163E-3</v>
      </c>
      <c r="H118" s="20">
        <f>IF(OR(9218978.7701="",162.49397="",343.55594=""),"-",(162.49397-343.55594)/9218978.7701*100)</f>
        <v>-1.9640133090146603E-3</v>
      </c>
    </row>
    <row r="119" spans="1:8" x14ac:dyDescent="0.25">
      <c r="A119" s="72" t="s">
        <v>282</v>
      </c>
      <c r="B119" s="45">
        <v>3.4722599999999999</v>
      </c>
      <c r="C119" s="45">
        <v>148.85571999999999</v>
      </c>
      <c r="D119" s="20" t="s">
        <v>383</v>
      </c>
      <c r="E119" s="20">
        <f>IF(3.47226="","-",3.47226/9218978.7701*100)</f>
        <v>3.7664258553904182E-5</v>
      </c>
      <c r="F119" s="20">
        <f>IF(148.85572="","-",148.85572/8673668.27639*100)</f>
        <v>1.7161795362314004E-3</v>
      </c>
      <c r="G119" s="20">
        <f>IF(OR(7176761.18511="",31.56386="",3.47226=""),"-",(3.47226-31.56386)/7176761.18511*100)</f>
        <v>-3.9142447791467693E-4</v>
      </c>
      <c r="H119" s="20">
        <f>IF(OR(9218978.7701="",148.85572="",3.47226=""),"-",(148.85572-3.47226)/9218978.7701*100)</f>
        <v>1.577001787568093E-3</v>
      </c>
    </row>
    <row r="120" spans="1:8" x14ac:dyDescent="0.25">
      <c r="A120" s="72" t="s">
        <v>291</v>
      </c>
      <c r="B120" s="45">
        <v>240.75444999999999</v>
      </c>
      <c r="C120" s="45">
        <v>145.89354</v>
      </c>
      <c r="D120" s="20">
        <f>IF(OR(240.75445="",145.89354=""),"-",145.89354/240.75445*100)</f>
        <v>60.598481149569615</v>
      </c>
      <c r="E120" s="20">
        <f>IF(240.75445="","-",240.75445/9218978.7701*100)</f>
        <v>2.6115088883905575E-3</v>
      </c>
      <c r="F120" s="20">
        <f>IF(145.89354="","-",145.89354/8673668.27639*100)</f>
        <v>1.6820281264056046E-3</v>
      </c>
      <c r="G120" s="20">
        <f>IF(OR(7176761.18511="",95.87884="",240.75445=""),"-",(240.75445-95.87884)/7176761.18511*100)</f>
        <v>2.0186767577076545E-3</v>
      </c>
      <c r="H120" s="20">
        <f>IF(OR(9218978.7701="",145.89354="",240.75445=""),"-",(145.89354-240.75445)/9218978.7701*100)</f>
        <v>-1.0289741669398706E-3</v>
      </c>
    </row>
    <row r="121" spans="1:8" s="18" customFormat="1" ht="12" x14ac:dyDescent="0.2">
      <c r="A121" s="72" t="s">
        <v>283</v>
      </c>
      <c r="B121" s="45">
        <v>26.24813</v>
      </c>
      <c r="C121" s="45">
        <v>131.32785999999999</v>
      </c>
      <c r="D121" s="20" t="s">
        <v>352</v>
      </c>
      <c r="E121" s="20">
        <f>IF(26.24813="","-",26.24813/9218978.7701*100)</f>
        <v>2.8471841246810123E-4</v>
      </c>
      <c r="F121" s="20">
        <f>IF(131.32786="","-",131.32786/8673668.27639*100)</f>
        <v>1.5140982548004355E-3</v>
      </c>
      <c r="G121" s="20">
        <f>IF(OR(7176761.18511="",114.34389="",26.24813=""),"-",(26.24813-114.34389)/7176761.18511*100)</f>
        <v>-1.2275141631126983E-3</v>
      </c>
      <c r="H121" s="20">
        <f>IF(OR(9218978.7701="",131.32786="",26.24813=""),"-",(131.32786-26.24813)/9218978.7701*100)</f>
        <v>1.1398196331767903E-3</v>
      </c>
    </row>
    <row r="122" spans="1:8" s="18" customFormat="1" ht="14.25" customHeight="1" x14ac:dyDescent="0.2">
      <c r="A122" s="72" t="s">
        <v>300</v>
      </c>
      <c r="B122" s="45">
        <v>135.96743000000001</v>
      </c>
      <c r="C122" s="45">
        <v>129.58593999999999</v>
      </c>
      <c r="D122" s="20">
        <f>IF(OR(135.96743="",129.58594=""),"-",129.58594/135.96743*100)</f>
        <v>95.306603941841061</v>
      </c>
      <c r="E122" s="20">
        <f>IF(135.96743="","-",135.96743/9218978.7701*100)</f>
        <v>1.4748643357438294E-3</v>
      </c>
      <c r="F122" s="20">
        <f>IF(129.58594="","-",129.58594/8673668.27639*100)</f>
        <v>1.4940154023729158E-3</v>
      </c>
      <c r="G122" s="20">
        <f>IF(OR(7176761.18511="",37.09021="",135.96743=""),"-",(135.96743-37.09021)/7176761.18511*100)</f>
        <v>1.3777415389708901E-3</v>
      </c>
      <c r="H122" s="20">
        <f>IF(OR(9218978.7701="",129.58594="",135.96743=""),"-",(129.58594-135.96743)/9218978.7701*100)</f>
        <v>-6.9221224596992893E-5</v>
      </c>
    </row>
    <row r="123" spans="1:8" s="18" customFormat="1" ht="15" customHeight="1" x14ac:dyDescent="0.2">
      <c r="A123" s="59" t="s">
        <v>299</v>
      </c>
      <c r="B123" s="43">
        <v>88.652240000000006</v>
      </c>
      <c r="C123" s="20">
        <v>128.21548999999999</v>
      </c>
      <c r="D123" s="20">
        <f>IF(OR(88.65224="",128.21549=""),"-",128.21549/88.65224*100)</f>
        <v>144.62746795794442</v>
      </c>
      <c r="E123" s="20">
        <f>IF(88.65224="","-",88.65224/9218978.7701*100)</f>
        <v>9.6162755345013539E-4</v>
      </c>
      <c r="F123" s="20">
        <f>IF(128.21549="","-",128.21549/8673668.27639*100)</f>
        <v>1.4782152823276241E-3</v>
      </c>
      <c r="G123" s="20">
        <f>IF(OR(7176761.18511="",163.99921="",88.65224=""),"-",(88.65224-163.99921)/7176761.18511*100)</f>
        <v>-1.0498742825151585E-3</v>
      </c>
      <c r="H123" s="20">
        <f>IF(OR(9218978.7701="",128.21549="",88.65224=""),"-",(128.21549-88.65224)/9218978.7701*100)</f>
        <v>4.2915002829072393E-4</v>
      </c>
    </row>
    <row r="124" spans="1:8" x14ac:dyDescent="0.25">
      <c r="A124" s="59" t="s">
        <v>292</v>
      </c>
      <c r="B124" s="43">
        <v>130.85771</v>
      </c>
      <c r="C124" s="45">
        <v>123.05426</v>
      </c>
      <c r="D124" s="20">
        <f>IF(OR(130.85771="",123.05426=""),"-",123.05426/130.85771*100)</f>
        <v>94.036690692508685</v>
      </c>
      <c r="E124" s="20">
        <f>IF(130.85771="","-",130.85771/9218978.7701*100)</f>
        <v>1.419438239996951E-3</v>
      </c>
      <c r="F124" s="20">
        <f>IF(123.05426="","-",123.05426/8673668.27639*100)</f>
        <v>1.4187107009263613E-3</v>
      </c>
      <c r="G124" s="20">
        <f>IF(OR(7176761.18511="",73.45733="",130.85771=""),"-",(130.85771-73.45733)/7176761.18511*100)</f>
        <v>7.9980897398525058E-4</v>
      </c>
      <c r="H124" s="20">
        <f>IF(OR(9218978.7701="",123.05426="",130.85771=""),"-",(123.05426-130.85771)/9218978.7701*100)</f>
        <v>-8.4645492679829144E-5</v>
      </c>
    </row>
    <row r="125" spans="1:8" x14ac:dyDescent="0.25">
      <c r="A125" s="72" t="s">
        <v>258</v>
      </c>
      <c r="B125" s="45">
        <v>202.18371999999999</v>
      </c>
      <c r="C125" s="45">
        <v>120.32724</v>
      </c>
      <c r="D125" s="20">
        <f>IF(OR(202.18372="",120.32724=""),"-",120.32724/202.18372*100)</f>
        <v>59.513812486979667</v>
      </c>
      <c r="E125" s="20">
        <f>IF(202.18372="","-",202.18372/9218978.7701*100)</f>
        <v>2.1931249115763707E-3</v>
      </c>
      <c r="F125" s="20">
        <f>IF(120.32724="","-",120.32724/8673668.27639*100)</f>
        <v>1.3872704854015984E-3</v>
      </c>
      <c r="G125" s="20">
        <f>IF(OR(7176761.18511="",78.3887="",202.18372=""),"-",(202.18372-78.3887)/7176761.18511*100)</f>
        <v>1.7249427256524012E-3</v>
      </c>
      <c r="H125" s="20">
        <f>IF(OR(9218978.7701="",120.32724="",202.18372=""),"-",(120.32724-202.18372)/9218978.7701*100)</f>
        <v>-8.8791266409557089E-4</v>
      </c>
    </row>
    <row r="126" spans="1:8" x14ac:dyDescent="0.25">
      <c r="A126" s="72" t="s">
        <v>320</v>
      </c>
      <c r="B126" s="45">
        <v>118.41704</v>
      </c>
      <c r="C126" s="45">
        <v>110.4139</v>
      </c>
      <c r="D126" s="20">
        <f>IF(OR(118.41704="",110.4139=""),"-",110.4139/118.41704*100)</f>
        <v>93.241563883035752</v>
      </c>
      <c r="E126" s="20">
        <f>IF(118.41704="","-",118.41704/9218978.7701*100)</f>
        <v>1.2844919481110326E-3</v>
      </c>
      <c r="F126" s="20">
        <f>IF(110.4139="","-",110.4139/8673668.27639*100)</f>
        <v>1.2729781273806626E-3</v>
      </c>
      <c r="G126" s="20">
        <f>IF(OR(7176761.18511="",75.00848="",118.41704=""),"-",(118.41704-75.00848)/7176761.18511*100)</f>
        <v>6.0484888489897078E-4</v>
      </c>
      <c r="H126" s="20">
        <f>IF(OR(9218978.7701="",110.4139="",118.41704=""),"-",(110.4139-118.41704)/9218978.7701*100)</f>
        <v>-8.6811567740633714E-5</v>
      </c>
    </row>
    <row r="127" spans="1:8" x14ac:dyDescent="0.25">
      <c r="A127" s="59" t="s">
        <v>318</v>
      </c>
      <c r="B127" s="43">
        <v>78.417270000000002</v>
      </c>
      <c r="C127" s="20">
        <v>99.952860000000001</v>
      </c>
      <c r="D127" s="20">
        <f>IF(OR(78.41727="",99.95286=""),"-",99.95286/78.41727*100)</f>
        <v>127.46281527015668</v>
      </c>
      <c r="E127" s="20">
        <f>IF(78.41727="","-",78.41727/9218978.7701*100)</f>
        <v>8.5060690511981087E-4</v>
      </c>
      <c r="F127" s="20">
        <f>IF(99.95286="","-",99.95286/8673668.27639*100)</f>
        <v>1.1523712553323587E-3</v>
      </c>
      <c r="G127" s="20">
        <f>IF(OR(7176761.18511="",62.37122="",78.41727=""),"-",(78.41727-62.37122)/7176761.18511*100)</f>
        <v>2.2358344643390917E-4</v>
      </c>
      <c r="H127" s="20">
        <f>IF(OR(9218978.7701="",99.95286="",78.41727=""),"-",(99.95286-78.41727)/9218978.7701*100)</f>
        <v>2.3360060302825061E-4</v>
      </c>
    </row>
    <row r="128" spans="1:8" x14ac:dyDescent="0.25">
      <c r="A128" s="59" t="s">
        <v>288</v>
      </c>
      <c r="B128" s="43">
        <v>72.179320000000004</v>
      </c>
      <c r="C128" s="20">
        <v>82.438310000000001</v>
      </c>
      <c r="D128" s="20">
        <f>IF(OR(72.17932="",82.43831=""),"-",82.43831/72.17932*100)</f>
        <v>114.21319846183088</v>
      </c>
      <c r="E128" s="20">
        <f>IF(72.17932="","-",72.17932/9218978.7701*100)</f>
        <v>7.8294268595237337E-4</v>
      </c>
      <c r="F128" s="20">
        <f>IF(82.43831="","-",82.43831/8673668.27639*100)</f>
        <v>9.5044342685320006E-4</v>
      </c>
      <c r="G128" s="20">
        <f>IF(OR(7176761.18511="",224.34121="",72.17932=""),"-",(72.17932-224.34121)/7176761.18511*100)</f>
        <v>-2.1202027777613413E-3</v>
      </c>
      <c r="H128" s="20">
        <f>IF(OR(9218978.7701="",82.43831="",72.17932=""),"-",(82.43831-72.17932)/9218978.7701*100)</f>
        <v>1.1128119779680019E-4</v>
      </c>
    </row>
    <row r="129" spans="1:8" s="18" customFormat="1" ht="14.25" customHeight="1" x14ac:dyDescent="0.2">
      <c r="A129" s="59" t="s">
        <v>343</v>
      </c>
      <c r="B129" s="43">
        <v>2.0258799999999999</v>
      </c>
      <c r="C129" s="20">
        <v>81.615830000000003</v>
      </c>
      <c r="D129" s="20" t="s">
        <v>384</v>
      </c>
      <c r="E129" s="20">
        <f>IF(2.02588="","-",2.02588/9218978.7701*100)</f>
        <v>2.1975102129213658E-5</v>
      </c>
      <c r="F129" s="20">
        <f>IF(81.61583="","-",81.61583/8673668.27639*100)</f>
        <v>9.4096093370507259E-4</v>
      </c>
      <c r="G129" s="20">
        <f>IF(OR(7176761.18511="",16.748="",2.02588=""),"-",(2.02588-16.748)/7176761.18511*100)</f>
        <v>-2.0513598850892167E-4</v>
      </c>
      <c r="H129" s="20">
        <f>IF(OR(9218978.7701="",81.61583="",2.02588=""),"-",(81.61583-2.02588)/9218978.7701*100)</f>
        <v>8.6332718606679988E-4</v>
      </c>
    </row>
    <row r="130" spans="1:8" s="18" customFormat="1" ht="14.25" customHeight="1" x14ac:dyDescent="0.2">
      <c r="A130" s="72" t="s">
        <v>293</v>
      </c>
      <c r="B130" s="45">
        <v>57.683050000000001</v>
      </c>
      <c r="C130" s="45">
        <v>73.967349999999996</v>
      </c>
      <c r="D130" s="20">
        <f>IF(OR(57.68305="",73.96735=""),"-",73.96735/57.68305*100)</f>
        <v>128.23065007831588</v>
      </c>
      <c r="E130" s="20">
        <f>IF(57.68305="","-",57.68305/9218978.7701*100)</f>
        <v>6.2569891349662269E-4</v>
      </c>
      <c r="F130" s="20">
        <f>IF(73.96735="","-",73.96735/8673668.27639*100)</f>
        <v>8.527804804495633E-4</v>
      </c>
      <c r="G130" s="20">
        <f>IF(OR(7176761.18511="",110.08833="",57.68305=""),"-",(57.68305-110.08833)/7176761.18511*100)</f>
        <v>-7.3020793988140445E-4</v>
      </c>
      <c r="H130" s="20">
        <f>IF(OR(9218978.7701="",73.96735="",57.68305=""),"-",(73.96735-57.68305)/9218978.7701*100)</f>
        <v>1.7663887081305598E-4</v>
      </c>
    </row>
    <row r="131" spans="1:8" s="18" customFormat="1" ht="15" customHeight="1" x14ac:dyDescent="0.2">
      <c r="A131" s="72" t="s">
        <v>349</v>
      </c>
      <c r="B131" s="45">
        <v>132.21549999999999</v>
      </c>
      <c r="C131" s="45">
        <v>70.118780000000001</v>
      </c>
      <c r="D131" s="20">
        <f>IF(OR(132.2155="",70.11878=""),"-",70.11878/132.2155*100)</f>
        <v>53.033706335490173</v>
      </c>
      <c r="E131" s="20">
        <f>IF(132.2155="","-",132.2155/9218978.7701*100)</f>
        <v>1.4341664439972003E-3</v>
      </c>
      <c r="F131" s="20">
        <f>IF(70.11878="","-",70.11878/8673668.27639*100)</f>
        <v>8.0840974966572734E-4</v>
      </c>
      <c r="G131" s="20">
        <f>IF(OR(7176761.18511="",20.76743="",132.2155=""),"-",(132.2155-20.76743)/7176761.18511*100)</f>
        <v>1.552902028163165E-3</v>
      </c>
      <c r="H131" s="20">
        <f>IF(OR(9218978.7701="",70.11878="",132.2155=""),"-",(70.11878-132.2155)/9218978.7701*100)</f>
        <v>-6.73574823725583E-4</v>
      </c>
    </row>
    <row r="132" spans="1:8" x14ac:dyDescent="0.25">
      <c r="A132" s="59" t="s">
        <v>319</v>
      </c>
      <c r="B132" s="43">
        <v>35.037140000000001</v>
      </c>
      <c r="C132" s="45">
        <v>65.018910000000005</v>
      </c>
      <c r="D132" s="20" t="s">
        <v>327</v>
      </c>
      <c r="E132" s="20">
        <f>IF(35.03714="","-",35.03714/9218978.7701*100)</f>
        <v>3.8005446019288261E-4</v>
      </c>
      <c r="F132" s="20">
        <f>IF(65.01891="","-",65.01891/8673668.27639*100)</f>
        <v>7.4961259674852384E-4</v>
      </c>
      <c r="G132" s="20">
        <f>IF(OR(7176761.18511="",10.03406="",35.03714=""),"-",(35.03714-10.03406)/7176761.18511*100)</f>
        <v>3.4838946643334312E-4</v>
      </c>
      <c r="H132" s="20">
        <f>IF(OR(9218978.7701="",65.01891="",35.03714=""),"-",(65.01891-35.03714)/9218978.7701*100)</f>
        <v>3.2521790913805074E-4</v>
      </c>
    </row>
    <row r="133" spans="1:8" s="18" customFormat="1" ht="14.25" customHeight="1" x14ac:dyDescent="0.2">
      <c r="A133" s="72" t="s">
        <v>348</v>
      </c>
      <c r="B133" s="45">
        <v>35.033329999999999</v>
      </c>
      <c r="C133" s="45">
        <v>59.717239999999997</v>
      </c>
      <c r="D133" s="20" t="s">
        <v>326</v>
      </c>
      <c r="E133" s="20">
        <f>IF(35.03333="","-",35.03333/9218978.7701*100)</f>
        <v>3.8001313240490291E-4</v>
      </c>
      <c r="F133" s="20">
        <f>IF(59.71724="","-",59.71724/8673668.27639*100)</f>
        <v>6.8848886188733116E-4</v>
      </c>
      <c r="G133" s="20">
        <f>IF(OR(7176761.18511="",8.65243="",35.03333=""),"-",(35.03333-8.65243)/7176761.18511*100)</f>
        <v>3.6758782018180881E-4</v>
      </c>
      <c r="H133" s="20">
        <f>IF(OR(9218978.7701="",59.71724="",35.03333=""),"-",(59.71724-35.03333)/9218978.7701*100)</f>
        <v>2.6775102335692056E-4</v>
      </c>
    </row>
    <row r="134" spans="1:8" s="18" customFormat="1" ht="15" customHeight="1" x14ac:dyDescent="0.2">
      <c r="A134" s="59" t="s">
        <v>373</v>
      </c>
      <c r="B134" s="43">
        <v>203.37371999999999</v>
      </c>
      <c r="C134" s="20">
        <v>56.475839999999998</v>
      </c>
      <c r="D134" s="20">
        <f>IF(OR(203.37372="",56.47584=""),"-",56.47584/203.37372*100)</f>
        <v>27.769487621114468</v>
      </c>
      <c r="E134" s="20">
        <f>IF(203.37372="","-",203.37372/9218978.7701*100)</f>
        <v>2.2060330658272465E-3</v>
      </c>
      <c r="F134" s="20">
        <f>IF(56.47584="","-",56.47584/8673668.27639*100)</f>
        <v>6.5111828352634868E-4</v>
      </c>
      <c r="G134" s="20">
        <f>IF(OR(7176761.18511="",100.32587="",203.37372=""),"-",(203.37372-100.32587)/7176761.18511*100)</f>
        <v>1.435854521867033E-3</v>
      </c>
      <c r="H134" s="20">
        <f>IF(OR(9218978.7701="",56.47584="",203.37372=""),"-",(56.47584-203.37372)/9218978.7701*100)</f>
        <v>-1.593428986694657E-3</v>
      </c>
    </row>
    <row r="135" spans="1:8" x14ac:dyDescent="0.25">
      <c r="A135" s="64" t="s">
        <v>374</v>
      </c>
      <c r="B135" s="65">
        <v>72.083359999999999</v>
      </c>
      <c r="C135" s="61">
        <v>54.508850000000002</v>
      </c>
      <c r="D135" s="46">
        <f>IF(OR(72.08336="",54.50885=""),"-",54.50885/72.08336*100)</f>
        <v>75.619185898104647</v>
      </c>
      <c r="E135" s="46">
        <f>IF(72.08336="","-",72.08336/9218978.7701*100)</f>
        <v>7.8190178974908416E-4</v>
      </c>
      <c r="F135" s="46">
        <f>IF(54.50885="","-",54.50885/8673668.27639*100)</f>
        <v>6.2844056589499533E-4</v>
      </c>
      <c r="G135" s="46">
        <f>IF(OR(7176761.18511="",51.24886="",72.08336=""),"-",(72.08336-51.24886)/7176761.18511*100)</f>
        <v>2.9030504795431145E-4</v>
      </c>
      <c r="H135" s="46">
        <f>IF(OR(9218978.7701="",54.50885="",72.08336=""),"-",(54.50885-72.08336)/9218978.7701*100)</f>
        <v>-1.9063402181811688E-4</v>
      </c>
    </row>
    <row r="136" spans="1:8" s="18" customFormat="1" ht="14.25" customHeight="1" x14ac:dyDescent="0.2">
      <c r="A136" s="9" t="s">
        <v>253</v>
      </c>
      <c r="B136" s="9"/>
      <c r="C136" s="9"/>
      <c r="D136" s="11"/>
      <c r="E136" s="10"/>
      <c r="F136" s="10"/>
      <c r="G136" s="17"/>
      <c r="H136" s="17"/>
    </row>
    <row r="137" spans="1:8" s="18" customFormat="1" ht="15" customHeight="1" x14ac:dyDescent="0.2">
      <c r="A137" s="42" t="s">
        <v>297</v>
      </c>
      <c r="B137" s="42"/>
      <c r="C137" s="42"/>
      <c r="D137" s="42"/>
      <c r="E137" s="42"/>
      <c r="F137" s="42"/>
      <c r="G137" s="17"/>
      <c r="H137" s="17"/>
    </row>
  </sheetData>
  <mergeCells count="7">
    <mergeCell ref="A1:H1"/>
    <mergeCell ref="A2:H2"/>
    <mergeCell ref="G3:H3"/>
    <mergeCell ref="B3:C3"/>
    <mergeCell ref="A3:A4"/>
    <mergeCell ref="D3:D4"/>
    <mergeCell ref="E3:F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59"/>
  <sheetViews>
    <sheetView workbookViewId="0">
      <selection sqref="A1:D1"/>
    </sheetView>
  </sheetViews>
  <sheetFormatPr defaultRowHeight="15.75" x14ac:dyDescent="0.25"/>
  <cols>
    <col min="1" max="1" width="41.625" style="22" customWidth="1"/>
    <col min="2" max="2" width="15.25" style="22" customWidth="1"/>
    <col min="3" max="3" width="15.125" style="22" customWidth="1"/>
    <col min="4" max="4" width="15.875" style="22" customWidth="1"/>
  </cols>
  <sheetData>
    <row r="1" spans="1:4" x14ac:dyDescent="0.25">
      <c r="A1" s="85" t="s">
        <v>302</v>
      </c>
      <c r="B1" s="85"/>
      <c r="C1" s="85"/>
      <c r="D1" s="85"/>
    </row>
    <row r="2" spans="1:4" x14ac:dyDescent="0.25">
      <c r="A2" s="86"/>
      <c r="B2" s="86"/>
      <c r="C2" s="86"/>
      <c r="D2" s="86"/>
    </row>
    <row r="3" spans="1:4" ht="23.25" customHeight="1" x14ac:dyDescent="0.25">
      <c r="A3" s="89"/>
      <c r="B3" s="77" t="s">
        <v>339</v>
      </c>
      <c r="C3" s="84"/>
      <c r="D3" s="87" t="s">
        <v>360</v>
      </c>
    </row>
    <row r="4" spans="1:4" ht="20.25" customHeight="1" x14ac:dyDescent="0.25">
      <c r="A4" s="90"/>
      <c r="B4" s="13">
        <v>2022</v>
      </c>
      <c r="C4" s="13">
        <v>2023</v>
      </c>
      <c r="D4" s="88"/>
    </row>
    <row r="5" spans="1:4" s="16" customFormat="1" ht="12.75" x14ac:dyDescent="0.2">
      <c r="A5" s="66" t="s">
        <v>405</v>
      </c>
      <c r="B5" s="53">
        <v>-4886833.6522899996</v>
      </c>
      <c r="C5" s="53">
        <v>-4625051.7591899997</v>
      </c>
      <c r="D5" s="53">
        <f>IF(-4886833.65229="","-",-4625051.75919/-4886833.65229*100)</f>
        <v>94.643118392676868</v>
      </c>
    </row>
    <row r="6" spans="1:4" ht="12.75" customHeight="1" x14ac:dyDescent="0.25">
      <c r="A6" s="63" t="s">
        <v>325</v>
      </c>
      <c r="B6" s="47"/>
      <c r="C6" s="47"/>
      <c r="D6" s="47"/>
    </row>
    <row r="7" spans="1:4" x14ac:dyDescent="0.25">
      <c r="A7" s="58" t="s">
        <v>267</v>
      </c>
      <c r="B7" s="19">
        <v>-1827317.4208500001</v>
      </c>
      <c r="C7" s="19">
        <v>-1541190.4380900001</v>
      </c>
      <c r="D7" s="19">
        <f>IF(-1827317.42085="","-",-1541190.43809/-1827317.42085*100)</f>
        <v>84.341692390427468</v>
      </c>
    </row>
    <row r="8" spans="1:4" x14ac:dyDescent="0.25">
      <c r="A8" s="59" t="s">
        <v>2</v>
      </c>
      <c r="B8" s="20">
        <v>-347307.78366999998</v>
      </c>
      <c r="C8" s="20">
        <v>-396560.32298</v>
      </c>
      <c r="D8" s="20">
        <f>IF(OR(-347307.78367="",-396560.32298="",-347307.78367=0),"-",-396560.32298/-347307.78367*100)</f>
        <v>114.18123682387669</v>
      </c>
    </row>
    <row r="9" spans="1:4" x14ac:dyDescent="0.25">
      <c r="A9" s="59" t="s">
        <v>1</v>
      </c>
      <c r="B9" s="20">
        <v>-107161.18002</v>
      </c>
      <c r="C9" s="20">
        <v>-210256.35328000001</v>
      </c>
      <c r="D9" s="20" t="s">
        <v>334</v>
      </c>
    </row>
    <row r="10" spans="1:4" x14ac:dyDescent="0.25">
      <c r="A10" s="59" t="s">
        <v>3</v>
      </c>
      <c r="B10" s="20">
        <v>-180456.81942000001</v>
      </c>
      <c r="C10" s="20">
        <v>-183419.78109</v>
      </c>
      <c r="D10" s="20">
        <f>IF(OR(-180456.81942="",-183419.78109="",-180456.81942=0),"-",-183419.78109/-180456.81942*100)</f>
        <v>101.64192280431581</v>
      </c>
    </row>
    <row r="11" spans="1:4" x14ac:dyDescent="0.25">
      <c r="A11" s="59" t="s">
        <v>259</v>
      </c>
      <c r="B11" s="20">
        <v>-139685.55716999999</v>
      </c>
      <c r="C11" s="20">
        <v>-177271.21979</v>
      </c>
      <c r="D11" s="20">
        <f>IF(OR(-139685.55717="",-177271.21979="",-139685.55717=0),"-",-177271.21979/-139685.55717*100)</f>
        <v>126.90733629265448</v>
      </c>
    </row>
    <row r="12" spans="1:4" x14ac:dyDescent="0.25">
      <c r="A12" s="59" t="s">
        <v>36</v>
      </c>
      <c r="B12" s="20">
        <v>-125806.82653999999</v>
      </c>
      <c r="C12" s="20">
        <v>-135003.67298999999</v>
      </c>
      <c r="D12" s="20">
        <f>IF(OR(-125806.82654="",-135003.67299="",-125806.82654=0),"-",-135003.67299/-125806.82654*100)</f>
        <v>107.31029205881437</v>
      </c>
    </row>
    <row r="13" spans="1:4" x14ac:dyDescent="0.25">
      <c r="A13" s="59" t="s">
        <v>6</v>
      </c>
      <c r="B13" s="20">
        <v>-132820.69996999999</v>
      </c>
      <c r="C13" s="20">
        <v>-95036.362269999998</v>
      </c>
      <c r="D13" s="20">
        <f>IF(OR(-132820.69997="",-95036.36227="",-132820.69997=0),"-",-95036.36227/-132820.69997*100)</f>
        <v>71.552372703551271</v>
      </c>
    </row>
    <row r="14" spans="1:4" x14ac:dyDescent="0.25">
      <c r="A14" s="59" t="s">
        <v>38</v>
      </c>
      <c r="B14" s="20">
        <v>-44263.992149999998</v>
      </c>
      <c r="C14" s="20">
        <v>-68610.504270000005</v>
      </c>
      <c r="D14" s="20">
        <f>IF(OR(-44263.99215="",-68610.50427="",-44263.99215=0),"-",-68610.50427/-44263.99215*100)</f>
        <v>155.00297405958221</v>
      </c>
    </row>
    <row r="15" spans="1:4" x14ac:dyDescent="0.25">
      <c r="A15" s="59" t="s">
        <v>34</v>
      </c>
      <c r="B15" s="20">
        <v>-62601.6178</v>
      </c>
      <c r="C15" s="20">
        <v>-65418.883540000003</v>
      </c>
      <c r="D15" s="20">
        <f>IF(OR(-62601.6178="",-65418.88354="",-62601.6178=0),"-",-65418.88354/-62601.6178*100)</f>
        <v>104.50030820130019</v>
      </c>
    </row>
    <row r="16" spans="1:4" x14ac:dyDescent="0.25">
      <c r="A16" s="59" t="s">
        <v>5</v>
      </c>
      <c r="B16" s="20">
        <v>-61385.839</v>
      </c>
      <c r="C16" s="20">
        <v>-64076.35269</v>
      </c>
      <c r="D16" s="20">
        <f>IF(OR(-61385.839="",-64076.35269="",-61385.839=0),"-",-64076.35269/-61385.839*100)</f>
        <v>104.38295498412916</v>
      </c>
    </row>
    <row r="17" spans="1:4" x14ac:dyDescent="0.25">
      <c r="A17" s="59" t="s">
        <v>4</v>
      </c>
      <c r="B17" s="20">
        <v>-5391.9032900000002</v>
      </c>
      <c r="C17" s="20">
        <v>-60817.971720000001</v>
      </c>
      <c r="D17" s="20" t="s">
        <v>387</v>
      </c>
    </row>
    <row r="18" spans="1:4" x14ac:dyDescent="0.25">
      <c r="A18" s="59" t="s">
        <v>44</v>
      </c>
      <c r="B18" s="20">
        <v>-33685.01872</v>
      </c>
      <c r="C18" s="20">
        <v>-46659.989430000001</v>
      </c>
      <c r="D18" s="20">
        <f>IF(OR(-33685.01872="",-46659.98943="",-33685.01872=0),"-",-46659.98943/-33685.01872*100)</f>
        <v>138.51852011082985</v>
      </c>
    </row>
    <row r="19" spans="1:4" x14ac:dyDescent="0.25">
      <c r="A19" s="59" t="s">
        <v>35</v>
      </c>
      <c r="B19" s="20">
        <v>-34896.09936</v>
      </c>
      <c r="C19" s="20">
        <v>-38318.429600000003</v>
      </c>
      <c r="D19" s="20">
        <f>IF(OR(-34896.09936="",-38318.4296="",-34896.09936=0),"-",-38318.4296/-34896.09936*100)</f>
        <v>109.80719995290616</v>
      </c>
    </row>
    <row r="20" spans="1:4" x14ac:dyDescent="0.25">
      <c r="A20" s="59" t="s">
        <v>266</v>
      </c>
      <c r="B20" s="20">
        <v>-23715.20753</v>
      </c>
      <c r="C20" s="20">
        <v>-37025.552759999999</v>
      </c>
      <c r="D20" s="20">
        <f>IF(OR(-23715.20753="",-37025.55276="",-23715.20753=0),"-",-37025.55276/-23715.20753*100)</f>
        <v>156.12578010612924</v>
      </c>
    </row>
    <row r="21" spans="1:4" x14ac:dyDescent="0.25">
      <c r="A21" s="59" t="s">
        <v>46</v>
      </c>
      <c r="B21" s="20">
        <v>-29210.80789</v>
      </c>
      <c r="C21" s="20">
        <v>-30815.117279999999</v>
      </c>
      <c r="D21" s="20">
        <f>IF(OR(-29210.80789="",-30815.11728="",-29210.80789=0),"-",-30815.11728/-29210.80789*100)</f>
        <v>105.49217740242376</v>
      </c>
    </row>
    <row r="22" spans="1:4" x14ac:dyDescent="0.25">
      <c r="A22" s="59" t="s">
        <v>45</v>
      </c>
      <c r="B22" s="20">
        <v>-4498.4943999999996</v>
      </c>
      <c r="C22" s="20">
        <v>-21744.23734</v>
      </c>
      <c r="D22" s="20" t="s">
        <v>388</v>
      </c>
    </row>
    <row r="23" spans="1:4" x14ac:dyDescent="0.25">
      <c r="A23" s="59" t="s">
        <v>43</v>
      </c>
      <c r="B23" s="20">
        <v>-20035.095529999999</v>
      </c>
      <c r="C23" s="20">
        <v>-18414.55616</v>
      </c>
      <c r="D23" s="20">
        <f>IF(OR(-20035.09553="",-18414.55616="",-20035.09553=0),"-",-18414.55616/-20035.09553*100)</f>
        <v>91.911496665571434</v>
      </c>
    </row>
    <row r="24" spans="1:4" x14ac:dyDescent="0.25">
      <c r="A24" s="59" t="s">
        <v>42</v>
      </c>
      <c r="B24" s="20">
        <v>-19324.571100000001</v>
      </c>
      <c r="C24" s="20">
        <v>-17264.802960000001</v>
      </c>
      <c r="D24" s="20">
        <f>IF(OR(-19324.5711="",-17264.80296="",-19324.5711=0),"-",-17264.80296/-19324.5711*100)</f>
        <v>89.341196089987221</v>
      </c>
    </row>
    <row r="25" spans="1:4" x14ac:dyDescent="0.25">
      <c r="A25" s="59" t="s">
        <v>39</v>
      </c>
      <c r="B25" s="20">
        <v>-12193.21175</v>
      </c>
      <c r="C25" s="20">
        <v>-9611.3481200000006</v>
      </c>
      <c r="D25" s="20">
        <f>IF(OR(-12193.21175="",-9611.34812="",-12193.21175=0),"-",-9611.34812/-12193.21175*100)</f>
        <v>78.825401519005027</v>
      </c>
    </row>
    <row r="26" spans="1:4" x14ac:dyDescent="0.25">
      <c r="A26" s="59" t="s">
        <v>47</v>
      </c>
      <c r="B26" s="20">
        <v>-8064.4629800000002</v>
      </c>
      <c r="C26" s="20">
        <v>-8238.4437500000004</v>
      </c>
      <c r="D26" s="20">
        <f>IF(OR(-8064.46298="",-8238.44375="",-8064.46298=0),"-",-8238.44375/-8064.46298*100)</f>
        <v>102.15737576614184</v>
      </c>
    </row>
    <row r="27" spans="1:4" x14ac:dyDescent="0.25">
      <c r="A27" s="59" t="s">
        <v>262</v>
      </c>
      <c r="B27" s="20">
        <v>-34156.627240000002</v>
      </c>
      <c r="C27" s="20">
        <v>-4596.9685099999997</v>
      </c>
      <c r="D27" s="20">
        <f>IF(OR(-34156.62724="",-4596.96851="",-34156.62724=0),"-",-4596.96851/-34156.62724*100)</f>
        <v>13.458496583107014</v>
      </c>
    </row>
    <row r="28" spans="1:4" x14ac:dyDescent="0.25">
      <c r="A28" s="59" t="s">
        <v>40</v>
      </c>
      <c r="B28" s="20">
        <v>-1793.2179100000001</v>
      </c>
      <c r="C28" s="20">
        <v>-3213.62601</v>
      </c>
      <c r="D28" s="20" t="s">
        <v>329</v>
      </c>
    </row>
    <row r="29" spans="1:4" x14ac:dyDescent="0.25">
      <c r="A29" s="59" t="s">
        <v>48</v>
      </c>
      <c r="B29" s="20">
        <v>-2806.0814</v>
      </c>
      <c r="C29" s="20">
        <v>-2110.3248600000002</v>
      </c>
      <c r="D29" s="20">
        <f>IF(OR(-2806.0814="",-2110.32486="",-2806.0814=0),"-",-2110.32486/-2806.0814*100)</f>
        <v>75.20540423381874</v>
      </c>
    </row>
    <row r="30" spans="1:4" ht="16.5" customHeight="1" x14ac:dyDescent="0.25">
      <c r="A30" s="59" t="s">
        <v>49</v>
      </c>
      <c r="B30" s="20">
        <v>-34.119610000000002</v>
      </c>
      <c r="C30" s="20">
        <v>174.18700000000001</v>
      </c>
      <c r="D30" s="20" t="s">
        <v>338</v>
      </c>
    </row>
    <row r="31" spans="1:4" x14ac:dyDescent="0.25">
      <c r="A31" s="59" t="s">
        <v>37</v>
      </c>
      <c r="B31" s="20">
        <v>-954.07789000000002</v>
      </c>
      <c r="C31" s="20">
        <v>2348.81468</v>
      </c>
      <c r="D31" s="20" t="s">
        <v>338</v>
      </c>
    </row>
    <row r="32" spans="1:4" x14ac:dyDescent="0.25">
      <c r="A32" s="59" t="s">
        <v>260</v>
      </c>
      <c r="B32" s="20">
        <v>-6421.4772499999999</v>
      </c>
      <c r="C32" s="20">
        <v>3119.0827800000002</v>
      </c>
      <c r="D32" s="20" t="s">
        <v>338</v>
      </c>
    </row>
    <row r="33" spans="1:4" ht="15" customHeight="1" x14ac:dyDescent="0.25">
      <c r="A33" s="59" t="s">
        <v>41</v>
      </c>
      <c r="B33" s="20">
        <v>18180.66332</v>
      </c>
      <c r="C33" s="20">
        <v>26936.052780000002</v>
      </c>
      <c r="D33" s="20">
        <f>IF(OR(18180.66332="",26936.05278="",18180.66332=0),"-",26936.05278/18180.66332*100)</f>
        <v>148.15770088195001</v>
      </c>
    </row>
    <row r="34" spans="1:4" ht="14.25" customHeight="1" x14ac:dyDescent="0.25">
      <c r="A34" s="59" t="s">
        <v>0</v>
      </c>
      <c r="B34" s="20">
        <v>-406686.58062999998</v>
      </c>
      <c r="C34" s="20">
        <v>120756.88688999999</v>
      </c>
      <c r="D34" s="20" t="s">
        <v>338</v>
      </c>
    </row>
    <row r="35" spans="1:4" ht="24" x14ac:dyDescent="0.25">
      <c r="A35" s="59" t="s">
        <v>403</v>
      </c>
      <c r="B35" s="20">
        <v>-140.71395000000001</v>
      </c>
      <c r="C35" s="20">
        <v>-40.640819999999998</v>
      </c>
      <c r="D35" s="20">
        <f>IF(OR(-140.71395="",-40.64082="",-140.71395=0),"-",-40.64082/-140.71395*100)</f>
        <v>28.881869921212498</v>
      </c>
    </row>
    <row r="36" spans="1:4" x14ac:dyDescent="0.25">
      <c r="A36" s="58" t="s">
        <v>173</v>
      </c>
      <c r="B36" s="19">
        <v>-1142509.3231899999</v>
      </c>
      <c r="C36" s="19">
        <v>-712761.65963000001</v>
      </c>
      <c r="D36" s="19">
        <f>IF(-1142509.32319="","-",-712761.65963/-1142509.32319*100)</f>
        <v>62.385631798600862</v>
      </c>
    </row>
    <row r="37" spans="1:4" x14ac:dyDescent="0.25">
      <c r="A37" s="59" t="s">
        <v>8</v>
      </c>
      <c r="B37" s="20">
        <v>-133752.7942</v>
      </c>
      <c r="C37" s="20">
        <v>-480945.62326000002</v>
      </c>
      <c r="D37" s="20" t="s">
        <v>328</v>
      </c>
    </row>
    <row r="38" spans="1:4" x14ac:dyDescent="0.25">
      <c r="A38" s="59" t="s">
        <v>261</v>
      </c>
      <c r="B38" s="20">
        <v>-955181.62464000005</v>
      </c>
      <c r="C38" s="20">
        <v>-177546.06954999999</v>
      </c>
      <c r="D38" s="20">
        <f>IF(OR(-955181.62464="",-177546.06955="",-955181.62464=0),"-",-177546.06955/-955181.62464*100)</f>
        <v>18.587676413573764</v>
      </c>
    </row>
    <row r="39" spans="1:4" x14ac:dyDescent="0.25">
      <c r="A39" s="59" t="s">
        <v>9</v>
      </c>
      <c r="B39" s="20">
        <v>-9590.23243</v>
      </c>
      <c r="C39" s="20">
        <v>-19330.652180000001</v>
      </c>
      <c r="D39" s="20" t="s">
        <v>334</v>
      </c>
    </row>
    <row r="40" spans="1:4" x14ac:dyDescent="0.25">
      <c r="A40" s="59" t="s">
        <v>12</v>
      </c>
      <c r="B40" s="20">
        <v>-12031.19231</v>
      </c>
      <c r="C40" s="20">
        <v>-18234.71369</v>
      </c>
      <c r="D40" s="20">
        <f>IF(OR(-12031.19231="",-18234.71369="",-12031.19231=0),"-",-18234.71369/-12031.19231*100)</f>
        <v>151.56198338583451</v>
      </c>
    </row>
    <row r="41" spans="1:4" x14ac:dyDescent="0.25">
      <c r="A41" s="59" t="s">
        <v>10</v>
      </c>
      <c r="B41" s="20">
        <v>-6393.8647899999996</v>
      </c>
      <c r="C41" s="20">
        <v>-16568.476650000001</v>
      </c>
      <c r="D41" s="20" t="s">
        <v>366</v>
      </c>
    </row>
    <row r="42" spans="1:4" x14ac:dyDescent="0.25">
      <c r="A42" s="59" t="s">
        <v>11</v>
      </c>
      <c r="B42" s="20">
        <v>-10576.40177</v>
      </c>
      <c r="C42" s="20">
        <v>-4061.1490199999998</v>
      </c>
      <c r="D42" s="20">
        <f>IF(OR(-10576.40177="",-4061.14902="",-10576.40177=0),"-",-4061.14902/-10576.40177*100)</f>
        <v>38.398210547555621</v>
      </c>
    </row>
    <row r="43" spans="1:4" x14ac:dyDescent="0.25">
      <c r="A43" s="59" t="s">
        <v>7</v>
      </c>
      <c r="B43" s="20">
        <v>-14102.89005</v>
      </c>
      <c r="C43" s="20">
        <v>-3512.6276899999998</v>
      </c>
      <c r="D43" s="20">
        <f>IF(OR(-14102.89005="",-3512.62769="",-14102.89005=0),"-",-3512.62769/-14102.89005*100)</f>
        <v>24.907147950146573</v>
      </c>
    </row>
    <row r="44" spans="1:4" x14ac:dyDescent="0.25">
      <c r="A44" s="59" t="s">
        <v>14</v>
      </c>
      <c r="B44" s="20">
        <v>242.37189000000001</v>
      </c>
      <c r="C44" s="20">
        <v>231.88138000000001</v>
      </c>
      <c r="D44" s="20">
        <f>IF(OR(242.37189="",231.88138="",242.37189=0),"-",231.88138/242.37189*100)</f>
        <v>95.67172991884496</v>
      </c>
    </row>
    <row r="45" spans="1:4" x14ac:dyDescent="0.25">
      <c r="A45" s="59" t="s">
        <v>13</v>
      </c>
      <c r="B45" s="20">
        <v>990.75914</v>
      </c>
      <c r="C45" s="20">
        <v>1726.1217300000001</v>
      </c>
      <c r="D45" s="20" t="s">
        <v>326</v>
      </c>
    </row>
    <row r="46" spans="1:4" x14ac:dyDescent="0.25">
      <c r="A46" s="59" t="s">
        <v>263</v>
      </c>
      <c r="B46" s="20">
        <v>-2113.4540299999999</v>
      </c>
      <c r="C46" s="20">
        <v>5479.6493</v>
      </c>
      <c r="D46" s="20" t="s">
        <v>338</v>
      </c>
    </row>
    <row r="47" spans="1:4" x14ac:dyDescent="0.25">
      <c r="A47" s="58" t="s">
        <v>110</v>
      </c>
      <c r="B47" s="19">
        <v>-1917006.9082500001</v>
      </c>
      <c r="C47" s="19">
        <v>-2371099.6614700002</v>
      </c>
      <c r="D47" s="19">
        <f>IF(-1917006.90825="","-",-2371099.66147/-1917006.90825*100)</f>
        <v>123.68759086186773</v>
      </c>
    </row>
    <row r="48" spans="1:4" x14ac:dyDescent="0.25">
      <c r="A48" s="59" t="s">
        <v>53</v>
      </c>
      <c r="B48" s="20">
        <v>-937390.51567999995</v>
      </c>
      <c r="C48" s="20">
        <v>-1009665.99859</v>
      </c>
      <c r="D48" s="20">
        <f>IF(OR(-937390.51568="",-1009665.99859="",-937390.51568=0),"-",-1009665.99859/-937390.51568*100)</f>
        <v>107.7102852760965</v>
      </c>
    </row>
    <row r="49" spans="1:4" x14ac:dyDescent="0.25">
      <c r="A49" s="72" t="s">
        <v>50</v>
      </c>
      <c r="B49" s="45">
        <v>-356316.78078999999</v>
      </c>
      <c r="C49" s="45">
        <v>-598533.98268999998</v>
      </c>
      <c r="D49" s="20" t="s">
        <v>326</v>
      </c>
    </row>
    <row r="50" spans="1:4" x14ac:dyDescent="0.25">
      <c r="A50" s="59" t="s">
        <v>61</v>
      </c>
      <c r="B50" s="20">
        <v>-253071.3542</v>
      </c>
      <c r="C50" s="20">
        <v>-209269.56843000001</v>
      </c>
      <c r="D50" s="20">
        <f>IF(OR(-253071.3542="",-209269.56843="",-253071.3542=0),"-",-209269.56843/-253071.3542*100)</f>
        <v>82.691922636418241</v>
      </c>
    </row>
    <row r="51" spans="1:4" x14ac:dyDescent="0.25">
      <c r="A51" s="59" t="s">
        <v>67</v>
      </c>
      <c r="B51" s="20">
        <v>-71020.520900000003</v>
      </c>
      <c r="C51" s="20">
        <v>-95656.663570000004</v>
      </c>
      <c r="D51" s="20">
        <f>IF(OR(-71020.5209="",-95656.66357="",-71020.5209=0),"-",-95656.66357/-71020.5209*100)</f>
        <v>134.6887665111451</v>
      </c>
    </row>
    <row r="52" spans="1:4" x14ac:dyDescent="0.25">
      <c r="A52" s="59" t="s">
        <v>30</v>
      </c>
      <c r="B52" s="20">
        <v>-59286.768060000002</v>
      </c>
      <c r="C52" s="20">
        <v>-61949.633459999997</v>
      </c>
      <c r="D52" s="20">
        <f>IF(OR(-59286.76806="",-61949.63346="",-59286.76806=0),"-",-61949.63346/-59286.76806*100)</f>
        <v>104.49150035857089</v>
      </c>
    </row>
    <row r="53" spans="1:4" x14ac:dyDescent="0.25">
      <c r="A53" s="72" t="s">
        <v>15</v>
      </c>
      <c r="B53" s="45">
        <v>-82977.152029999997</v>
      </c>
      <c r="C53" s="45">
        <v>-61274.238790000003</v>
      </c>
      <c r="D53" s="20">
        <f>IF(OR(-82977.15203="",-61274.23879="",-82977.15203=0),"-",-61274.23879/-82977.15203*100)</f>
        <v>73.844711816388426</v>
      </c>
    </row>
    <row r="54" spans="1:4" x14ac:dyDescent="0.25">
      <c r="A54" s="72" t="s">
        <v>63</v>
      </c>
      <c r="B54" s="45">
        <v>-38858.670420000002</v>
      </c>
      <c r="C54" s="45">
        <v>-53897.573250000001</v>
      </c>
      <c r="D54" s="20">
        <f>IF(OR(-38858.67042="",-53897.57325="",-38858.67042=0),"-",-53897.57325/-38858.67042*100)</f>
        <v>138.70153730802815</v>
      </c>
    </row>
    <row r="55" spans="1:4" x14ac:dyDescent="0.25">
      <c r="A55" s="72" t="s">
        <v>312</v>
      </c>
      <c r="B55" s="45">
        <v>-8848.4599300000009</v>
      </c>
      <c r="C55" s="45">
        <v>-36240.762320000002</v>
      </c>
      <c r="D55" s="20" t="s">
        <v>345</v>
      </c>
    </row>
    <row r="56" spans="1:4" x14ac:dyDescent="0.25">
      <c r="A56" s="59" t="s">
        <v>70</v>
      </c>
      <c r="B56" s="20">
        <v>-21533.711060000001</v>
      </c>
      <c r="C56" s="20">
        <v>-30772.19024</v>
      </c>
      <c r="D56" s="20">
        <f>IF(OR(-21533.71106="",-30772.19024="",-21533.71106=0),"-",-30772.19024/-21533.71106*100)</f>
        <v>142.90240151480884</v>
      </c>
    </row>
    <row r="57" spans="1:4" x14ac:dyDescent="0.25">
      <c r="A57" s="59" t="s">
        <v>55</v>
      </c>
      <c r="B57" s="20">
        <v>-26061.418539999999</v>
      </c>
      <c r="C57" s="20">
        <v>-29994.975760000001</v>
      </c>
      <c r="D57" s="20">
        <f>IF(OR(-26061.41854="",-29994.97576="",-26061.41854=0),"-",-29994.97576/-26061.41854*100)</f>
        <v>115.09341179553461</v>
      </c>
    </row>
    <row r="58" spans="1:4" x14ac:dyDescent="0.25">
      <c r="A58" s="59" t="s">
        <v>66</v>
      </c>
      <c r="B58" s="20">
        <v>-1642.6971900000001</v>
      </c>
      <c r="C58" s="20">
        <v>-28205.714</v>
      </c>
      <c r="D58" s="20" t="s">
        <v>389</v>
      </c>
    </row>
    <row r="59" spans="1:4" x14ac:dyDescent="0.25">
      <c r="A59" s="72" t="s">
        <v>264</v>
      </c>
      <c r="B59" s="45">
        <v>-23566.432850000001</v>
      </c>
      <c r="C59" s="45">
        <v>-22253.429520000002</v>
      </c>
      <c r="D59" s="20">
        <f>IF(OR(-23566.43285="",-22253.42952="",-23566.43285=0),"-",-22253.42952/-23566.43285*100)</f>
        <v>94.428502020830877</v>
      </c>
    </row>
    <row r="60" spans="1:4" x14ac:dyDescent="0.25">
      <c r="A60" s="72" t="s">
        <v>58</v>
      </c>
      <c r="B60" s="45">
        <v>-23782.39747</v>
      </c>
      <c r="C60" s="45">
        <v>-21096.88565</v>
      </c>
      <c r="D60" s="20">
        <f>IF(OR(-23782.39747="",-21096.88565="",-23782.39747=0),"-",-21096.88565/-23782.39747*100)</f>
        <v>88.707985292956266</v>
      </c>
    </row>
    <row r="61" spans="1:4" x14ac:dyDescent="0.25">
      <c r="A61" s="59" t="s">
        <v>69</v>
      </c>
      <c r="B61" s="45">
        <v>-13833.270500000001</v>
      </c>
      <c r="C61" s="20">
        <v>-18983.105370000001</v>
      </c>
      <c r="D61" s="20">
        <f>IF(OR(-13833.2705="",-18983.10537="",-13833.2705=0),"-",-18983.10537/-13833.2705*100)</f>
        <v>137.22789104716776</v>
      </c>
    </row>
    <row r="62" spans="1:4" x14ac:dyDescent="0.25">
      <c r="A62" s="59" t="s">
        <v>62</v>
      </c>
      <c r="B62" s="20">
        <v>-13299.6765</v>
      </c>
      <c r="C62" s="20">
        <v>-17228.710490000001</v>
      </c>
      <c r="D62" s="20">
        <f>IF(OR(-13299.6765="",-17228.71049="",-13299.6765=0),"-",-17228.71049/-13299.6765*100)</f>
        <v>129.5423275145076</v>
      </c>
    </row>
    <row r="63" spans="1:4" x14ac:dyDescent="0.25">
      <c r="A63" s="72" t="s">
        <v>73</v>
      </c>
      <c r="B63" s="45">
        <v>-14850.80199</v>
      </c>
      <c r="C63" s="45">
        <v>-12961.274939999999</v>
      </c>
      <c r="D63" s="20">
        <f>IF(OR(-14850.80199="",-12961.27494="",-14850.80199=0),"-",-12961.27494/-14850.80199*100)</f>
        <v>87.276599261963497</v>
      </c>
    </row>
    <row r="64" spans="1:4" x14ac:dyDescent="0.25">
      <c r="A64" s="59" t="s">
        <v>65</v>
      </c>
      <c r="B64" s="45">
        <v>-15688.81043</v>
      </c>
      <c r="C64" s="20">
        <v>-12595.40222</v>
      </c>
      <c r="D64" s="20">
        <f>IF(OR(-15688.81043="",-12595.40222="",-15688.81043=0),"-",-12595.40222/-15688.81043*100)</f>
        <v>80.282710255171338</v>
      </c>
    </row>
    <row r="65" spans="1:4" x14ac:dyDescent="0.25">
      <c r="A65" s="59" t="s">
        <v>74</v>
      </c>
      <c r="B65" s="20">
        <v>-10681.85312</v>
      </c>
      <c r="C65" s="20">
        <v>-11896.66387</v>
      </c>
      <c r="D65" s="20">
        <f>IF(OR(-10681.85312="",-11896.66387="",-10681.85312=0),"-",-11896.66387/-10681.85312*100)</f>
        <v>111.37265918518828</v>
      </c>
    </row>
    <row r="66" spans="1:4" x14ac:dyDescent="0.25">
      <c r="A66" s="59" t="s">
        <v>354</v>
      </c>
      <c r="B66" s="20">
        <v>-8892.6688799999993</v>
      </c>
      <c r="C66" s="20">
        <v>-11166.730600000001</v>
      </c>
      <c r="D66" s="20">
        <f>IF(OR(-8892.66888="",-11166.7306="",-8892.66888=0),"-",-11166.7306/-8892.66888*100)</f>
        <v>125.5723197466001</v>
      </c>
    </row>
    <row r="67" spans="1:4" x14ac:dyDescent="0.25">
      <c r="A67" s="59" t="s">
        <v>75</v>
      </c>
      <c r="B67" s="20">
        <v>-6021.8888800000004</v>
      </c>
      <c r="C67" s="20">
        <v>-8876.9883599999994</v>
      </c>
      <c r="D67" s="20">
        <f>IF(OR(-6021.88888="",-8876.98836="",-6021.88888=0),"-",-8876.98836/-6021.88888*100)</f>
        <v>147.4120253112342</v>
      </c>
    </row>
    <row r="68" spans="1:4" x14ac:dyDescent="0.25">
      <c r="A68" s="59" t="s">
        <v>33</v>
      </c>
      <c r="B68" s="20">
        <v>-10419.961929999999</v>
      </c>
      <c r="C68" s="20">
        <v>-8464.5596399999995</v>
      </c>
      <c r="D68" s="20">
        <f>IF(OR(-10419.96193="",-8464.55964="",-10419.96193=0),"-",-8464.55964/-10419.96193*100)</f>
        <v>81.234074527947925</v>
      </c>
    </row>
    <row r="69" spans="1:4" x14ac:dyDescent="0.25">
      <c r="A69" s="59" t="s">
        <v>72</v>
      </c>
      <c r="B69" s="20">
        <v>-5783.3663399999996</v>
      </c>
      <c r="C69" s="20">
        <v>-7203.0276700000004</v>
      </c>
      <c r="D69" s="20">
        <f>IF(OR(-5783.36634="",-7203.02767="",-5783.36634=0),"-",-7203.02767/-5783.36634*100)</f>
        <v>124.5473180590528</v>
      </c>
    </row>
    <row r="70" spans="1:4" x14ac:dyDescent="0.25">
      <c r="A70" s="59" t="s">
        <v>71</v>
      </c>
      <c r="B70" s="20">
        <v>-4366.3778599999996</v>
      </c>
      <c r="C70" s="20">
        <v>-7000.6491299999998</v>
      </c>
      <c r="D70" s="20" t="s">
        <v>336</v>
      </c>
    </row>
    <row r="71" spans="1:4" x14ac:dyDescent="0.25">
      <c r="A71" s="59" t="s">
        <v>278</v>
      </c>
      <c r="B71" s="20">
        <v>-1397.2245499999999</v>
      </c>
      <c r="C71" s="20">
        <v>-6438.5230099999999</v>
      </c>
      <c r="D71" s="20" t="s">
        <v>353</v>
      </c>
    </row>
    <row r="72" spans="1:4" x14ac:dyDescent="0.25">
      <c r="A72" s="72" t="s">
        <v>80</v>
      </c>
      <c r="B72" s="45">
        <v>-3653.9795300000001</v>
      </c>
      <c r="C72" s="45">
        <v>-5060.3103099999998</v>
      </c>
      <c r="D72" s="20">
        <f>IF(OR(-3653.97953="",-5060.31031="",-3653.97953=0),"-",-5060.31031/-3653.97953*100)</f>
        <v>138.48764801372599</v>
      </c>
    </row>
    <row r="73" spans="1:4" x14ac:dyDescent="0.25">
      <c r="A73" s="59" t="s">
        <v>78</v>
      </c>
      <c r="B73" s="20">
        <v>-3535.0980199999999</v>
      </c>
      <c r="C73" s="20">
        <v>-4622.6828699999996</v>
      </c>
      <c r="D73" s="20">
        <f>IF(OR(-3535.09802="",-4622.68287="",-3535.09802=0),"-",-4622.68287/-3535.09802*100)</f>
        <v>130.76533787314898</v>
      </c>
    </row>
    <row r="74" spans="1:4" x14ac:dyDescent="0.25">
      <c r="A74" s="59" t="s">
        <v>313</v>
      </c>
      <c r="B74" s="20">
        <v>28945.651430000002</v>
      </c>
      <c r="C74" s="20">
        <v>-4504.5247499999996</v>
      </c>
      <c r="D74" s="20" t="s">
        <v>338</v>
      </c>
    </row>
    <row r="75" spans="1:4" x14ac:dyDescent="0.25">
      <c r="A75" s="59" t="s">
        <v>103</v>
      </c>
      <c r="B75" s="20">
        <v>-2278.8123099999998</v>
      </c>
      <c r="C75" s="20">
        <v>-3735.5358099999999</v>
      </c>
      <c r="D75" s="20" t="s">
        <v>336</v>
      </c>
    </row>
    <row r="76" spans="1:4" x14ac:dyDescent="0.25">
      <c r="A76" s="59" t="s">
        <v>316</v>
      </c>
      <c r="B76" s="20">
        <v>-6271.2872100000004</v>
      </c>
      <c r="C76" s="20">
        <v>-3442.7300500000001</v>
      </c>
      <c r="D76" s="20">
        <f>IF(OR(-6271.28721="",-3442.73005="",-6271.28721=0),"-",-3442.73005/-6271.28721*100)</f>
        <v>54.896705169400143</v>
      </c>
    </row>
    <row r="77" spans="1:4" x14ac:dyDescent="0.25">
      <c r="A77" s="59" t="s">
        <v>64</v>
      </c>
      <c r="B77" s="20">
        <v>47460.181210000002</v>
      </c>
      <c r="C77" s="20">
        <v>-3424.6614100000002</v>
      </c>
      <c r="D77" s="20" t="s">
        <v>338</v>
      </c>
    </row>
    <row r="78" spans="1:4" x14ac:dyDescent="0.25">
      <c r="A78" s="59" t="s">
        <v>57</v>
      </c>
      <c r="B78" s="45">
        <v>-2115.1224299999999</v>
      </c>
      <c r="C78" s="20">
        <v>-3404.4708000000001</v>
      </c>
      <c r="D78" s="20" t="s">
        <v>336</v>
      </c>
    </row>
    <row r="79" spans="1:4" x14ac:dyDescent="0.25">
      <c r="A79" s="59" t="s">
        <v>77</v>
      </c>
      <c r="B79" s="20">
        <v>-3008.4745600000001</v>
      </c>
      <c r="C79" s="20">
        <v>-3281.7191200000002</v>
      </c>
      <c r="D79" s="20">
        <f>IF(OR(-3008.47456="",-3281.71912="",-3008.47456=0),"-",-3281.71912/-3008.47456*100)</f>
        <v>109.08249528292504</v>
      </c>
    </row>
    <row r="80" spans="1:4" x14ac:dyDescent="0.25">
      <c r="A80" s="59" t="s">
        <v>79</v>
      </c>
      <c r="B80" s="20">
        <v>-2835.8931200000002</v>
      </c>
      <c r="C80" s="20">
        <v>-3182.04682</v>
      </c>
      <c r="D80" s="20">
        <f>IF(OR(-2835.89312="",-3182.04682="",-2835.89312=0),"-",-3182.04682/-2835.89312*100)</f>
        <v>112.20616170471192</v>
      </c>
    </row>
    <row r="81" spans="1:4" x14ac:dyDescent="0.25">
      <c r="A81" s="59" t="s">
        <v>399</v>
      </c>
      <c r="B81" s="20">
        <v>-10073.980530000001</v>
      </c>
      <c r="C81" s="20">
        <v>-3056.3570199999999</v>
      </c>
      <c r="D81" s="20">
        <f>IF(OR(-10073.98053="",-3056.35702="",-10073.98053=0),"-",-3056.35702/-10073.98053*100)</f>
        <v>30.339119783865609</v>
      </c>
    </row>
    <row r="82" spans="1:4" x14ac:dyDescent="0.25">
      <c r="A82" s="72" t="s">
        <v>85</v>
      </c>
      <c r="B82" s="45">
        <v>-2476.4701</v>
      </c>
      <c r="C82" s="45">
        <v>-2859.7977099999998</v>
      </c>
      <c r="D82" s="20">
        <f>IF(OR(-2476.4701="",-2859.79771="",-2476.4701=0),"-",-2859.79771/-2476.4701*100)</f>
        <v>115.47879015377573</v>
      </c>
    </row>
    <row r="83" spans="1:4" x14ac:dyDescent="0.25">
      <c r="A83" s="59" t="s">
        <v>114</v>
      </c>
      <c r="B83" s="20">
        <v>-1863.91184</v>
      </c>
      <c r="C83" s="20">
        <v>-2593.19731</v>
      </c>
      <c r="D83" s="20">
        <f>IF(OR(-1863.91184="",-2593.19731="",-1863.91184=0),"-",-2593.19731/-1863.91184*100)</f>
        <v>139.1266075116514</v>
      </c>
    </row>
    <row r="84" spans="1:4" x14ac:dyDescent="0.25">
      <c r="A84" s="59" t="s">
        <v>400</v>
      </c>
      <c r="B84" s="20">
        <v>-2319.2353699999999</v>
      </c>
      <c r="C84" s="20">
        <v>-2110.4722900000002</v>
      </c>
      <c r="D84" s="20">
        <f>IF(OR(-2319.23537="",-2110.47229="",-2319.23537=0),"-",-2110.47229/-2319.23537*100)</f>
        <v>90.998624688963773</v>
      </c>
    </row>
    <row r="85" spans="1:4" x14ac:dyDescent="0.25">
      <c r="A85" s="59" t="s">
        <v>355</v>
      </c>
      <c r="B85" s="20">
        <v>-12265.992469999999</v>
      </c>
      <c r="C85" s="20">
        <v>-2045.0636999999999</v>
      </c>
      <c r="D85" s="20">
        <f>IF(OR(-12265.99247="",-2045.0637="",-12265.99247=0),"-",-2045.0637/-12265.99247*100)</f>
        <v>16.672631301558265</v>
      </c>
    </row>
    <row r="86" spans="1:4" x14ac:dyDescent="0.25">
      <c r="A86" s="59" t="s">
        <v>59</v>
      </c>
      <c r="B86" s="20">
        <v>1431.3783900000001</v>
      </c>
      <c r="C86" s="20">
        <v>-1624.5129199999999</v>
      </c>
      <c r="D86" s="20" t="s">
        <v>338</v>
      </c>
    </row>
    <row r="87" spans="1:4" x14ac:dyDescent="0.25">
      <c r="A87" s="59" t="s">
        <v>81</v>
      </c>
      <c r="B87" s="20">
        <v>-1696.8083099999999</v>
      </c>
      <c r="C87" s="20">
        <v>-1410.85391</v>
      </c>
      <c r="D87" s="20">
        <f>IF(OR(-1696.80831="",-1410.85391="",-1696.80831=0),"-",-1410.85391/-1696.80831*100)</f>
        <v>83.14751299161189</v>
      </c>
    </row>
    <row r="88" spans="1:4" x14ac:dyDescent="0.25">
      <c r="A88" s="72" t="s">
        <v>375</v>
      </c>
      <c r="B88" s="45">
        <v>-283.20289000000002</v>
      </c>
      <c r="C88" s="45">
        <v>-1276.06431</v>
      </c>
      <c r="D88" s="20" t="s">
        <v>376</v>
      </c>
    </row>
    <row r="89" spans="1:4" x14ac:dyDescent="0.25">
      <c r="A89" s="59" t="s">
        <v>83</v>
      </c>
      <c r="B89" s="45">
        <v>-628.78543999999999</v>
      </c>
      <c r="C89" s="20">
        <v>-1195.7066199999999</v>
      </c>
      <c r="D89" s="20" t="s">
        <v>327</v>
      </c>
    </row>
    <row r="90" spans="1:4" x14ac:dyDescent="0.25">
      <c r="A90" s="72" t="s">
        <v>317</v>
      </c>
      <c r="B90" s="45">
        <v>-525.77530000000002</v>
      </c>
      <c r="C90" s="45">
        <v>-1072.38435</v>
      </c>
      <c r="D90" s="20" t="s">
        <v>334</v>
      </c>
    </row>
    <row r="91" spans="1:4" x14ac:dyDescent="0.25">
      <c r="A91" s="59" t="s">
        <v>86</v>
      </c>
      <c r="B91" s="20">
        <v>-341.93488000000002</v>
      </c>
      <c r="C91" s="20">
        <v>-876.19195000000002</v>
      </c>
      <c r="D91" s="20" t="s">
        <v>366</v>
      </c>
    </row>
    <row r="92" spans="1:4" x14ac:dyDescent="0.25">
      <c r="A92" s="72" t="s">
        <v>365</v>
      </c>
      <c r="B92" s="45">
        <v>4061.8679099999999</v>
      </c>
      <c r="C92" s="45">
        <v>-872.58936000000006</v>
      </c>
      <c r="D92" s="20" t="s">
        <v>338</v>
      </c>
    </row>
    <row r="93" spans="1:4" x14ac:dyDescent="0.25">
      <c r="A93" s="59" t="s">
        <v>82</v>
      </c>
      <c r="B93" s="20">
        <v>-282.02656000000002</v>
      </c>
      <c r="C93" s="20">
        <v>-709.91256999999996</v>
      </c>
      <c r="D93" s="20" t="s">
        <v>390</v>
      </c>
    </row>
    <row r="94" spans="1:4" x14ac:dyDescent="0.25">
      <c r="A94" s="59" t="s">
        <v>281</v>
      </c>
      <c r="B94" s="20">
        <v>-868.53624000000002</v>
      </c>
      <c r="C94" s="20">
        <v>-670.86497999999995</v>
      </c>
      <c r="D94" s="20">
        <f>IF(OR(-868.53624="",-670.86498="",-868.53624=0),"-",-670.86498/-868.53624*100)</f>
        <v>77.24087367960604</v>
      </c>
    </row>
    <row r="95" spans="1:4" x14ac:dyDescent="0.25">
      <c r="A95" s="59" t="s">
        <v>100</v>
      </c>
      <c r="B95" s="45">
        <v>-418.85109</v>
      </c>
      <c r="C95" s="20">
        <v>-651.59822999999994</v>
      </c>
      <c r="D95" s="20">
        <f>IF(OR(-418.85109="",-651.59823="",-418.85109=0),"-",-651.59823/-418.85109*100)</f>
        <v>155.5679919562821</v>
      </c>
    </row>
    <row r="96" spans="1:4" x14ac:dyDescent="0.25">
      <c r="A96" s="72" t="s">
        <v>324</v>
      </c>
      <c r="B96" s="45">
        <v>-6.8221299999999996</v>
      </c>
      <c r="C96" s="45">
        <v>-579.54953999999998</v>
      </c>
      <c r="D96" s="20" t="s">
        <v>391</v>
      </c>
    </row>
    <row r="97" spans="1:4" x14ac:dyDescent="0.25">
      <c r="A97" s="59" t="s">
        <v>89</v>
      </c>
      <c r="B97" s="20">
        <v>75.478939999999994</v>
      </c>
      <c r="C97" s="20">
        <v>-567.83762000000002</v>
      </c>
      <c r="D97" s="20" t="s">
        <v>338</v>
      </c>
    </row>
    <row r="98" spans="1:4" x14ac:dyDescent="0.25">
      <c r="A98" s="59" t="s">
        <v>88</v>
      </c>
      <c r="B98" s="45">
        <v>-860.24963000000002</v>
      </c>
      <c r="C98" s="20">
        <v>-515.29039999999998</v>
      </c>
      <c r="D98" s="20">
        <f>IF(OR(-860.24963="",-515.2904="",-860.24963=0),"-",-515.2904/-860.24963*100)</f>
        <v>59.900101322914836</v>
      </c>
    </row>
    <row r="99" spans="1:4" x14ac:dyDescent="0.25">
      <c r="A99" s="59" t="s">
        <v>104</v>
      </c>
      <c r="B99" s="20">
        <v>65.221140000000005</v>
      </c>
      <c r="C99" s="20">
        <v>-425.18588</v>
      </c>
      <c r="D99" s="20" t="s">
        <v>338</v>
      </c>
    </row>
    <row r="100" spans="1:4" x14ac:dyDescent="0.25">
      <c r="A100" s="72" t="s">
        <v>90</v>
      </c>
      <c r="B100" s="45">
        <v>-35.121810000000004</v>
      </c>
      <c r="C100" s="45">
        <v>-416.36662000000001</v>
      </c>
      <c r="D100" s="20" t="s">
        <v>392</v>
      </c>
    </row>
    <row r="101" spans="1:4" x14ac:dyDescent="0.25">
      <c r="A101" s="72" t="s">
        <v>269</v>
      </c>
      <c r="B101" s="45">
        <v>-84.529150000000001</v>
      </c>
      <c r="C101" s="45">
        <v>-382.67135000000002</v>
      </c>
      <c r="D101" s="20" t="s">
        <v>376</v>
      </c>
    </row>
    <row r="102" spans="1:4" x14ac:dyDescent="0.25">
      <c r="A102" s="72" t="s">
        <v>105</v>
      </c>
      <c r="B102" s="45">
        <v>-480.34296000000001</v>
      </c>
      <c r="C102" s="45">
        <v>-352.67228</v>
      </c>
      <c r="D102" s="20">
        <f>IF(OR(-480.34296="",-352.67228="",-480.34296=0),"-",-352.67228/-480.34296*100)</f>
        <v>73.4209324104594</v>
      </c>
    </row>
    <row r="103" spans="1:4" x14ac:dyDescent="0.25">
      <c r="A103" s="59" t="s">
        <v>284</v>
      </c>
      <c r="B103" s="20">
        <v>-201.19441</v>
      </c>
      <c r="C103" s="20">
        <v>-309.65035999999998</v>
      </c>
      <c r="D103" s="20">
        <f>IF(OR(-201.19441="",-309.65036="",-201.19441=0),"-",-309.65036/-201.19441*100)</f>
        <v>153.90604540155962</v>
      </c>
    </row>
    <row r="104" spans="1:4" x14ac:dyDescent="0.25">
      <c r="A104" s="72" t="s">
        <v>76</v>
      </c>
      <c r="B104" s="45">
        <v>-1517.3987</v>
      </c>
      <c r="C104" s="45">
        <v>-308.34210999999999</v>
      </c>
      <c r="D104" s="20">
        <f>IF(OR(-1517.3987="",-308.34211="",-1517.3987=0),"-",-308.34211/-1517.3987*100)</f>
        <v>20.320441160256696</v>
      </c>
    </row>
    <row r="105" spans="1:4" x14ac:dyDescent="0.25">
      <c r="A105" s="72" t="s">
        <v>289</v>
      </c>
      <c r="B105" s="45">
        <v>-192.48799</v>
      </c>
      <c r="C105" s="45">
        <v>-304.70449000000002</v>
      </c>
      <c r="D105" s="20">
        <f>IF(OR(-192.48799="",-304.70449="",-192.48799=0),"-",-304.70449/-192.48799*100)</f>
        <v>158.29792289898194</v>
      </c>
    </row>
    <row r="106" spans="1:4" x14ac:dyDescent="0.25">
      <c r="A106" s="72" t="s">
        <v>290</v>
      </c>
      <c r="B106" s="45">
        <v>-245.91457</v>
      </c>
      <c r="C106" s="45">
        <v>-230.36466999999999</v>
      </c>
      <c r="D106" s="20">
        <f>IF(OR(-245.91457="",-230.36467="",-245.91457=0),"-",-230.36467/-245.91457*100)</f>
        <v>93.676706508280489</v>
      </c>
    </row>
    <row r="107" spans="1:4" x14ac:dyDescent="0.25">
      <c r="A107" s="72" t="s">
        <v>402</v>
      </c>
      <c r="B107" s="45">
        <v>-1600.00503</v>
      </c>
      <c r="C107" s="45">
        <v>-202.26003</v>
      </c>
      <c r="D107" s="20">
        <f>IF(OR(-1600.00503="",-202.26003="",-1600.00503=0),"-",-202.26003/-1600.00503*100)</f>
        <v>12.641212134189352</v>
      </c>
    </row>
    <row r="108" spans="1:4" x14ac:dyDescent="0.25">
      <c r="A108" s="59" t="s">
        <v>177</v>
      </c>
      <c r="B108" s="20">
        <v>264.99056000000002</v>
      </c>
      <c r="C108" s="20">
        <v>-195.83971</v>
      </c>
      <c r="D108" s="20" t="s">
        <v>338</v>
      </c>
    </row>
    <row r="109" spans="1:4" x14ac:dyDescent="0.25">
      <c r="A109" s="59" t="s">
        <v>106</v>
      </c>
      <c r="B109" s="20">
        <v>40.480119999999999</v>
      </c>
      <c r="C109" s="20">
        <v>-171.90446</v>
      </c>
      <c r="D109" s="20" t="s">
        <v>338</v>
      </c>
    </row>
    <row r="110" spans="1:4" x14ac:dyDescent="0.25">
      <c r="A110" s="59" t="s">
        <v>282</v>
      </c>
      <c r="B110" s="20">
        <v>-3.4722599999999999</v>
      </c>
      <c r="C110" s="20">
        <v>-148.85571999999999</v>
      </c>
      <c r="D110" s="20" t="s">
        <v>383</v>
      </c>
    </row>
    <row r="111" spans="1:4" x14ac:dyDescent="0.25">
      <c r="A111" s="59" t="s">
        <v>291</v>
      </c>
      <c r="B111" s="20">
        <v>-240.44147000000001</v>
      </c>
      <c r="C111" s="20">
        <v>-145.89354</v>
      </c>
      <c r="D111" s="20">
        <f>IF(OR(-240.44147="",-145.89354="",-240.44147=0),"-",-145.89354/-240.44147*100)</f>
        <v>60.677361521704221</v>
      </c>
    </row>
    <row r="112" spans="1:4" x14ac:dyDescent="0.25">
      <c r="A112" s="59" t="s">
        <v>283</v>
      </c>
      <c r="B112" s="20">
        <v>-26.24813</v>
      </c>
      <c r="C112" s="20">
        <v>-131.32785999999999</v>
      </c>
      <c r="D112" s="20" t="s">
        <v>352</v>
      </c>
    </row>
    <row r="113" spans="1:4" x14ac:dyDescent="0.25">
      <c r="A113" s="72" t="s">
        <v>300</v>
      </c>
      <c r="B113" s="45">
        <v>89.193029999999993</v>
      </c>
      <c r="C113" s="45">
        <v>-128.78001</v>
      </c>
      <c r="D113" s="20" t="s">
        <v>338</v>
      </c>
    </row>
    <row r="114" spans="1:4" x14ac:dyDescent="0.25">
      <c r="A114" s="59" t="s">
        <v>292</v>
      </c>
      <c r="B114" s="20">
        <v>-130.85771</v>
      </c>
      <c r="C114" s="20">
        <v>-121.89653</v>
      </c>
      <c r="D114" s="20">
        <f>IF(OR(-130.85771="",-121.89653="",-130.85771=0),"-",-121.89653/-130.85771*100)</f>
        <v>93.151966361019163</v>
      </c>
    </row>
    <row r="115" spans="1:4" x14ac:dyDescent="0.25">
      <c r="A115" s="59" t="s">
        <v>258</v>
      </c>
      <c r="B115" s="20">
        <v>-202.18371999999999</v>
      </c>
      <c r="C115" s="20">
        <v>-120.32724</v>
      </c>
      <c r="D115" s="20">
        <f>IF(OR(-202.18372="",-120.32724="",-202.18372=0),"-",-120.32724/-202.18372*100)</f>
        <v>59.513812486979667</v>
      </c>
    </row>
    <row r="116" spans="1:4" x14ac:dyDescent="0.25">
      <c r="A116" s="72" t="s">
        <v>320</v>
      </c>
      <c r="B116" s="45">
        <v>-118.41704</v>
      </c>
      <c r="C116" s="45">
        <v>-110.4139</v>
      </c>
      <c r="D116" s="20">
        <f>IF(OR(-118.41704="",-110.4139="",-118.41704=0),"-",-110.4139/-118.41704*100)</f>
        <v>93.241563883035752</v>
      </c>
    </row>
    <row r="117" spans="1:4" x14ac:dyDescent="0.25">
      <c r="A117" s="59" t="s">
        <v>299</v>
      </c>
      <c r="B117" s="20">
        <v>-58.344430000000003</v>
      </c>
      <c r="C117" s="20">
        <v>-105.79406</v>
      </c>
      <c r="D117" s="20" t="s">
        <v>329</v>
      </c>
    </row>
    <row r="118" spans="1:4" x14ac:dyDescent="0.25">
      <c r="A118" s="59" t="s">
        <v>318</v>
      </c>
      <c r="B118" s="20">
        <v>-78.417270000000002</v>
      </c>
      <c r="C118" s="20">
        <v>-99.952860000000001</v>
      </c>
      <c r="D118" s="20">
        <f>IF(OR(-78.41727="",-99.95286="",-78.41727=0),"-",-99.95286/-78.41727*100)</f>
        <v>127.46281527015668</v>
      </c>
    </row>
    <row r="119" spans="1:4" x14ac:dyDescent="0.25">
      <c r="A119" s="59" t="s">
        <v>288</v>
      </c>
      <c r="B119" s="20">
        <v>-72.179320000000004</v>
      </c>
      <c r="C119" s="20">
        <v>-82.438310000000001</v>
      </c>
      <c r="D119" s="20">
        <f>IF(OR(-72.17932="",-82.43831="",-72.17932=0),"-",-82.43831/-72.17932*100)</f>
        <v>114.21319846183088</v>
      </c>
    </row>
    <row r="120" spans="1:4" x14ac:dyDescent="0.25">
      <c r="A120" s="59" t="s">
        <v>343</v>
      </c>
      <c r="B120" s="20">
        <v>-2.0258799999999999</v>
      </c>
      <c r="C120" s="20">
        <v>-81.615830000000003</v>
      </c>
      <c r="D120" s="20" t="s">
        <v>384</v>
      </c>
    </row>
    <row r="121" spans="1:4" x14ac:dyDescent="0.25">
      <c r="A121" s="59" t="s">
        <v>293</v>
      </c>
      <c r="B121" s="20">
        <v>-41.4251</v>
      </c>
      <c r="C121" s="20">
        <v>-73.967349999999996</v>
      </c>
      <c r="D121" s="20" t="s">
        <v>329</v>
      </c>
    </row>
    <row r="122" spans="1:4" x14ac:dyDescent="0.25">
      <c r="A122" s="59" t="s">
        <v>349</v>
      </c>
      <c r="B122" s="20">
        <v>-132.21549999999999</v>
      </c>
      <c r="C122" s="20">
        <v>-70.118780000000001</v>
      </c>
      <c r="D122" s="20">
        <f>IF(OR(-132.2155="",-70.11878="",-132.2155=0),"-",-70.11878/-132.2155*100)</f>
        <v>53.033706335490173</v>
      </c>
    </row>
    <row r="123" spans="1:4" x14ac:dyDescent="0.25">
      <c r="A123" s="59" t="s">
        <v>319</v>
      </c>
      <c r="B123" s="20">
        <v>-35.037140000000001</v>
      </c>
      <c r="C123" s="20">
        <v>-65.018910000000005</v>
      </c>
      <c r="D123" s="20" t="s">
        <v>327</v>
      </c>
    </row>
    <row r="124" spans="1:4" x14ac:dyDescent="0.25">
      <c r="A124" s="59" t="s">
        <v>348</v>
      </c>
      <c r="B124" s="45">
        <v>70.731480000000005</v>
      </c>
      <c r="C124" s="20">
        <v>-58.367809999999999</v>
      </c>
      <c r="D124" s="20" t="s">
        <v>338</v>
      </c>
    </row>
    <row r="125" spans="1:4" x14ac:dyDescent="0.25">
      <c r="A125" s="59" t="s">
        <v>373</v>
      </c>
      <c r="B125" s="20">
        <v>-203.37371999999999</v>
      </c>
      <c r="C125" s="20">
        <v>-56.475839999999998</v>
      </c>
      <c r="D125" s="20">
        <f>IF(OR(-203.37372="",-56.47584="",-203.37372=0),"-",-56.47584/-203.37372*100)</f>
        <v>27.769487621114468</v>
      </c>
    </row>
    <row r="126" spans="1:4" x14ac:dyDescent="0.25">
      <c r="A126" s="59" t="s">
        <v>374</v>
      </c>
      <c r="B126" s="20">
        <v>-72.083359999999999</v>
      </c>
      <c r="C126" s="20">
        <v>-54.508850000000002</v>
      </c>
      <c r="D126" s="20">
        <f>IF(OR(-72.08336="",-54.50885="",-72.08336=0),"-",-54.50885/-72.08336*100)</f>
        <v>75.619185898104647</v>
      </c>
    </row>
    <row r="127" spans="1:4" x14ac:dyDescent="0.25">
      <c r="A127" s="59" t="s">
        <v>385</v>
      </c>
      <c r="B127" s="20">
        <v>-58.129739999999998</v>
      </c>
      <c r="C127" s="20">
        <v>-48.273710000000001</v>
      </c>
      <c r="D127" s="20">
        <f>IF(OR(-58.12974="",-48.27371="",-58.12974=0),"-",-48.27371/-58.12974*100)</f>
        <v>83.044771918814703</v>
      </c>
    </row>
    <row r="128" spans="1:4" x14ac:dyDescent="0.25">
      <c r="A128" s="72" t="s">
        <v>386</v>
      </c>
      <c r="B128" s="45">
        <v>-5.9541500000000003</v>
      </c>
      <c r="C128" s="45">
        <v>-46.693300000000001</v>
      </c>
      <c r="D128" s="20" t="s">
        <v>393</v>
      </c>
    </row>
    <row r="129" spans="1:5" x14ac:dyDescent="0.25">
      <c r="A129" s="59" t="s">
        <v>32</v>
      </c>
      <c r="B129" s="20">
        <v>-3677.7584299999999</v>
      </c>
      <c r="C129" s="20">
        <v>45.812150000000003</v>
      </c>
      <c r="D129" s="20" t="s">
        <v>338</v>
      </c>
    </row>
    <row r="130" spans="1:5" x14ac:dyDescent="0.25">
      <c r="A130" s="59" t="s">
        <v>315</v>
      </c>
      <c r="B130" s="20" t="s">
        <v>272</v>
      </c>
      <c r="C130" s="20">
        <v>115.36005</v>
      </c>
      <c r="D130" s="20" t="str">
        <f>IF(OR(0="",115.36005="",0=0),"-",115.36005/0*100)</f>
        <v>-</v>
      </c>
    </row>
    <row r="131" spans="1:5" x14ac:dyDescent="0.25">
      <c r="A131" s="72" t="s">
        <v>296</v>
      </c>
      <c r="B131" s="45">
        <v>-5.3813500000000003</v>
      </c>
      <c r="C131" s="45">
        <v>126.58301</v>
      </c>
      <c r="D131" s="20" t="s">
        <v>338</v>
      </c>
    </row>
    <row r="132" spans="1:5" x14ac:dyDescent="0.25">
      <c r="A132" s="59" t="s">
        <v>295</v>
      </c>
      <c r="B132" s="20">
        <v>-0.9</v>
      </c>
      <c r="C132" s="20">
        <v>162.13289</v>
      </c>
      <c r="D132" s="20" t="s">
        <v>338</v>
      </c>
    </row>
    <row r="133" spans="1:5" x14ac:dyDescent="0.25">
      <c r="A133" s="72" t="s">
        <v>286</v>
      </c>
      <c r="B133" s="45">
        <v>45.38449</v>
      </c>
      <c r="C133" s="45">
        <v>164.60524000000001</v>
      </c>
      <c r="D133" s="20" t="s">
        <v>328</v>
      </c>
    </row>
    <row r="134" spans="1:5" x14ac:dyDescent="0.25">
      <c r="A134" s="59" t="s">
        <v>279</v>
      </c>
      <c r="B134" s="20">
        <v>123.35785</v>
      </c>
      <c r="C134" s="20">
        <v>165.66922</v>
      </c>
      <c r="D134" s="20">
        <f>IF(OR(123.35785="",165.66922="",123.35785=0),"-",165.66922/123.35785*100)</f>
        <v>134.29969799246663</v>
      </c>
    </row>
    <row r="135" spans="1:5" x14ac:dyDescent="0.25">
      <c r="A135" s="59" t="s">
        <v>274</v>
      </c>
      <c r="B135" s="20">
        <v>102.60799</v>
      </c>
      <c r="C135" s="20">
        <v>175.10164</v>
      </c>
      <c r="D135" s="20" t="s">
        <v>326</v>
      </c>
      <c r="E135" s="8"/>
    </row>
    <row r="136" spans="1:5" x14ac:dyDescent="0.25">
      <c r="A136" s="59" t="s">
        <v>287</v>
      </c>
      <c r="B136" s="20">
        <v>118.28167000000001</v>
      </c>
      <c r="C136" s="20">
        <v>207.53995</v>
      </c>
      <c r="D136" s="20" t="s">
        <v>329</v>
      </c>
    </row>
    <row r="137" spans="1:5" x14ac:dyDescent="0.25">
      <c r="A137" s="59" t="s">
        <v>341</v>
      </c>
      <c r="B137" s="20">
        <v>36.9</v>
      </c>
      <c r="C137" s="20">
        <v>215.15779000000001</v>
      </c>
      <c r="D137" s="20" t="s">
        <v>344</v>
      </c>
    </row>
    <row r="138" spans="1:5" x14ac:dyDescent="0.25">
      <c r="A138" s="72" t="s">
        <v>294</v>
      </c>
      <c r="B138" s="45">
        <v>176.90536</v>
      </c>
      <c r="C138" s="45">
        <v>215.64302000000001</v>
      </c>
      <c r="D138" s="20">
        <f>IF(OR(176.90536="",215.64302="",176.90536=0),"-",215.64302/176.90536*100)</f>
        <v>121.89739191622007</v>
      </c>
    </row>
    <row r="139" spans="1:5" x14ac:dyDescent="0.25">
      <c r="A139" s="59" t="s">
        <v>101</v>
      </c>
      <c r="B139" s="20">
        <v>366.93045000000001</v>
      </c>
      <c r="C139" s="20">
        <v>229.15523999999999</v>
      </c>
      <c r="D139" s="20">
        <f>IF(OR(366.93045="",229.15524="",366.93045=0),"-",229.15524/366.93045*100)</f>
        <v>62.451955132096558</v>
      </c>
    </row>
    <row r="140" spans="1:5" x14ac:dyDescent="0.25">
      <c r="A140" s="59" t="s">
        <v>270</v>
      </c>
      <c r="B140" s="20">
        <v>297.41559999999998</v>
      </c>
      <c r="C140" s="20">
        <v>275.47025000000002</v>
      </c>
      <c r="D140" s="20">
        <f>IF(OR(297.4156="",275.47025="",297.4156=0),"-",275.47025/297.4156*100)</f>
        <v>92.621318451352266</v>
      </c>
    </row>
    <row r="141" spans="1:5" x14ac:dyDescent="0.25">
      <c r="A141" s="72" t="s">
        <v>271</v>
      </c>
      <c r="B141" s="45">
        <v>263.26969000000003</v>
      </c>
      <c r="C141" s="45">
        <v>280.63027</v>
      </c>
      <c r="D141" s="20">
        <f>IF(OR(263.26969="",280.63027="",263.26969=0),"-",280.63027/263.26969*100)</f>
        <v>106.59421903068294</v>
      </c>
    </row>
    <row r="142" spans="1:5" x14ac:dyDescent="0.25">
      <c r="A142" s="72" t="s">
        <v>280</v>
      </c>
      <c r="B142" s="45">
        <v>159.32383999999999</v>
      </c>
      <c r="C142" s="45">
        <v>322.13168000000002</v>
      </c>
      <c r="D142" s="20" t="s">
        <v>334</v>
      </c>
    </row>
    <row r="143" spans="1:5" x14ac:dyDescent="0.25">
      <c r="A143" s="59" t="s">
        <v>276</v>
      </c>
      <c r="B143" s="20">
        <v>1.3649100000000001</v>
      </c>
      <c r="C143" s="20">
        <v>406.16286000000002</v>
      </c>
      <c r="D143" s="20" t="s">
        <v>394</v>
      </c>
    </row>
    <row r="144" spans="1:5" x14ac:dyDescent="0.25">
      <c r="A144" s="59" t="s">
        <v>108</v>
      </c>
      <c r="B144" s="20">
        <v>773.62537999999995</v>
      </c>
      <c r="C144" s="20">
        <v>544.80609000000004</v>
      </c>
      <c r="D144" s="20">
        <f>IF(OR(773.62538="",544.80609="",773.62538=0),"-",544.80609/773.62538*100)</f>
        <v>70.422468559653524</v>
      </c>
    </row>
    <row r="145" spans="1:8" x14ac:dyDescent="0.25">
      <c r="A145" s="59" t="s">
        <v>314</v>
      </c>
      <c r="B145" s="20">
        <v>-2.8247</v>
      </c>
      <c r="C145" s="20">
        <v>667.87354000000005</v>
      </c>
      <c r="D145" s="20" t="s">
        <v>338</v>
      </c>
    </row>
    <row r="146" spans="1:8" x14ac:dyDescent="0.25">
      <c r="A146" s="59" t="s">
        <v>113</v>
      </c>
      <c r="B146" s="20">
        <v>488.18279000000001</v>
      </c>
      <c r="C146" s="20">
        <v>677.54165</v>
      </c>
      <c r="D146" s="20">
        <f>IF(OR(488.18279="",677.54165="",488.18279=0),"-",677.54165/488.18279*100)</f>
        <v>138.7885160802166</v>
      </c>
    </row>
    <row r="147" spans="1:8" x14ac:dyDescent="0.25">
      <c r="A147" s="59" t="s">
        <v>265</v>
      </c>
      <c r="B147" s="20">
        <v>1077.5953400000001</v>
      </c>
      <c r="C147" s="20">
        <v>678.13400999999999</v>
      </c>
      <c r="D147" s="20">
        <f>IF(OR(1077.59534="",678.13401="",1077.59534=0),"-",678.13401/1077.59534*100)</f>
        <v>62.93030276096033</v>
      </c>
    </row>
    <row r="148" spans="1:8" x14ac:dyDescent="0.25">
      <c r="A148" s="59" t="s">
        <v>115</v>
      </c>
      <c r="B148" s="20">
        <v>1388.4671800000001</v>
      </c>
      <c r="C148" s="20">
        <v>1230.3784900000001</v>
      </c>
      <c r="D148" s="20">
        <f>IF(OR(1388.46718="",1230.37849="",1388.46718=0),"-",1230.37849/1388.46718*100)</f>
        <v>88.614157232006022</v>
      </c>
    </row>
    <row r="149" spans="1:8" x14ac:dyDescent="0.25">
      <c r="A149" s="59" t="s">
        <v>68</v>
      </c>
      <c r="B149" s="20">
        <v>2284.8811300000002</v>
      </c>
      <c r="C149" s="20">
        <v>1265.4600700000001</v>
      </c>
      <c r="D149" s="20">
        <f>IF(OR(2284.88113="",1265.46007="",2284.88113=0),"-",1265.46007/2284.88113*100)</f>
        <v>55.384065866043542</v>
      </c>
    </row>
    <row r="150" spans="1:8" x14ac:dyDescent="0.25">
      <c r="A150" s="59" t="s">
        <v>31</v>
      </c>
      <c r="B150" s="20">
        <v>-442.99721</v>
      </c>
      <c r="C150" s="20">
        <v>1414.7727199999999</v>
      </c>
      <c r="D150" s="20" t="s">
        <v>338</v>
      </c>
    </row>
    <row r="151" spans="1:8" s="18" customFormat="1" ht="15" customHeight="1" x14ac:dyDescent="0.2">
      <c r="A151" s="59" t="s">
        <v>285</v>
      </c>
      <c r="B151" s="20">
        <v>84.655280000000005</v>
      </c>
      <c r="C151" s="20">
        <v>1782.94677</v>
      </c>
      <c r="D151" s="20" t="s">
        <v>342</v>
      </c>
      <c r="E151" s="10"/>
      <c r="F151" s="17"/>
      <c r="G151" s="17"/>
    </row>
    <row r="152" spans="1:8" x14ac:dyDescent="0.25">
      <c r="A152" s="59" t="s">
        <v>84</v>
      </c>
      <c r="B152" s="20">
        <v>1777.6987200000001</v>
      </c>
      <c r="C152" s="20">
        <v>2154.9557799999998</v>
      </c>
      <c r="D152" s="20">
        <f>IF(OR(1777.69872="",2154.95578="",1777.69872=0),"-",2154.95578/1777.69872*100)</f>
        <v>121.22165335192454</v>
      </c>
    </row>
    <row r="153" spans="1:8" x14ac:dyDescent="0.25">
      <c r="A153" s="72" t="s">
        <v>275</v>
      </c>
      <c r="B153" s="45">
        <v>-43.184640000000002</v>
      </c>
      <c r="C153" s="45">
        <v>3859.0506399999999</v>
      </c>
      <c r="D153" s="20" t="s">
        <v>338</v>
      </c>
    </row>
    <row r="154" spans="1:8" x14ac:dyDescent="0.25">
      <c r="A154" s="59" t="s">
        <v>56</v>
      </c>
      <c r="B154" s="20">
        <v>-3277.51064</v>
      </c>
      <c r="C154" s="20">
        <v>4112.2780400000001</v>
      </c>
      <c r="D154" s="20" t="s">
        <v>338</v>
      </c>
    </row>
    <row r="155" spans="1:8" x14ac:dyDescent="0.25">
      <c r="A155" s="59" t="s">
        <v>60</v>
      </c>
      <c r="B155" s="20">
        <v>4477.2555499999999</v>
      </c>
      <c r="C155" s="20">
        <v>4767.7638699999998</v>
      </c>
      <c r="D155" s="20">
        <f>IF(OR(4477.25555="",4767.76387="",4477.25555=0),"-",4767.76387/4477.25555*100)</f>
        <v>106.48853559408731</v>
      </c>
    </row>
    <row r="156" spans="1:8" x14ac:dyDescent="0.25">
      <c r="A156" s="59" t="s">
        <v>51</v>
      </c>
      <c r="B156" s="20">
        <v>16689.835129999999</v>
      </c>
      <c r="C156" s="20">
        <v>5135.4872299999997</v>
      </c>
      <c r="D156" s="20">
        <f>IF(OR(16689.83513="",5135.48723="",16689.83513=0),"-",5135.48723/16689.83513*100)</f>
        <v>30.770149555096292</v>
      </c>
    </row>
    <row r="157" spans="1:8" x14ac:dyDescent="0.25">
      <c r="A157" s="59" t="s">
        <v>52</v>
      </c>
      <c r="B157" s="20">
        <v>7932.5236999999997</v>
      </c>
      <c r="C157" s="20">
        <v>6503.7358199999999</v>
      </c>
      <c r="D157" s="20">
        <f>IF(OR(7932.5237="",6503.73582="",7932.5237=0),"-",6503.73582/7932.5237*100)</f>
        <v>81.988230555176273</v>
      </c>
    </row>
    <row r="158" spans="1:8" x14ac:dyDescent="0.25">
      <c r="A158" s="64" t="s">
        <v>54</v>
      </c>
      <c r="B158" s="46">
        <v>17718.814009999998</v>
      </c>
      <c r="C158" s="46">
        <v>27801.608919999999</v>
      </c>
      <c r="D158" s="46">
        <f>IF(OR(17718.81401="",27801.60892="",17718.81401=0),"-",27801.60892/17718.81401*100)</f>
        <v>156.90445706078043</v>
      </c>
    </row>
    <row r="159" spans="1:8" s="18" customFormat="1" ht="14.25" customHeight="1" x14ac:dyDescent="0.2">
      <c r="A159" s="9" t="s">
        <v>253</v>
      </c>
      <c r="B159" s="48"/>
      <c r="C159" s="48"/>
      <c r="D159" s="49"/>
      <c r="E159" s="10"/>
      <c r="F159" s="10"/>
      <c r="G159" s="17"/>
      <c r="H159" s="17"/>
    </row>
  </sheetData>
  <sortState xmlns:xlrd2="http://schemas.microsoft.com/office/spreadsheetml/2017/richdata2" ref="A48:E105">
    <sortCondition ref="C48:C105"/>
  </sortState>
  <mergeCells count="5">
    <mergeCell ref="A1:D1"/>
    <mergeCell ref="A2:D2"/>
    <mergeCell ref="B3:C3"/>
    <mergeCell ref="D3:D4"/>
    <mergeCell ref="A3:A4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F1"/>
    </sheetView>
  </sheetViews>
  <sheetFormatPr defaultRowHeight="15.75" x14ac:dyDescent="0.25"/>
  <cols>
    <col min="1" max="1" width="25" style="22" customWidth="1"/>
    <col min="2" max="3" width="12.875" style="22" customWidth="1"/>
    <col min="4" max="4" width="12" style="22" customWidth="1"/>
    <col min="5" max="5" width="9.75" style="22" customWidth="1"/>
    <col min="6" max="6" width="9.5" style="22" customWidth="1"/>
    <col min="7" max="10" width="9" style="22"/>
  </cols>
  <sheetData>
    <row r="1" spans="1:10" s="25" customFormat="1" ht="15" customHeight="1" x14ac:dyDescent="0.2">
      <c r="A1" s="74" t="s">
        <v>303</v>
      </c>
      <c r="B1" s="74"/>
      <c r="C1" s="74"/>
      <c r="D1" s="74"/>
      <c r="E1" s="74"/>
      <c r="F1" s="74"/>
      <c r="G1" s="24"/>
      <c r="H1" s="24"/>
      <c r="I1" s="24"/>
      <c r="J1" s="24"/>
    </row>
    <row r="2" spans="1:10" x14ac:dyDescent="0.25">
      <c r="A2" s="92"/>
      <c r="B2" s="92"/>
      <c r="C2" s="92"/>
      <c r="D2" s="92"/>
      <c r="E2" s="92"/>
      <c r="F2" s="92"/>
    </row>
    <row r="3" spans="1:10" ht="21.75" customHeight="1" x14ac:dyDescent="0.25">
      <c r="A3" s="75"/>
      <c r="B3" s="77" t="s">
        <v>339</v>
      </c>
      <c r="C3" s="84"/>
      <c r="D3" s="82" t="s">
        <v>361</v>
      </c>
      <c r="E3" s="77" t="s">
        <v>91</v>
      </c>
      <c r="F3" s="91"/>
    </row>
    <row r="4" spans="1:10" ht="20.25" customHeight="1" x14ac:dyDescent="0.25">
      <c r="A4" s="76"/>
      <c r="B4" s="13">
        <v>2022</v>
      </c>
      <c r="C4" s="13">
        <v>2023</v>
      </c>
      <c r="D4" s="83"/>
      <c r="E4" s="13">
        <v>2022</v>
      </c>
      <c r="F4" s="12">
        <v>2023</v>
      </c>
    </row>
    <row r="5" spans="1:10" s="25" customFormat="1" ht="15.75" customHeight="1" x14ac:dyDescent="0.2">
      <c r="A5" s="66" t="s">
        <v>107</v>
      </c>
      <c r="B5" s="54">
        <v>4332145.1178099997</v>
      </c>
      <c r="C5" s="54">
        <v>4048616.5172000001</v>
      </c>
      <c r="D5" s="53">
        <v>93.455237696346387</v>
      </c>
      <c r="E5" s="54">
        <v>100</v>
      </c>
      <c r="F5" s="54">
        <v>100</v>
      </c>
      <c r="G5" s="24"/>
      <c r="H5" s="24"/>
      <c r="I5" s="24"/>
      <c r="J5" s="24"/>
    </row>
    <row r="6" spans="1:10" ht="15.75" customHeight="1" x14ac:dyDescent="0.25">
      <c r="A6" s="63" t="s">
        <v>102</v>
      </c>
      <c r="B6" s="45"/>
      <c r="C6" s="45"/>
      <c r="D6" s="43"/>
      <c r="E6" s="19"/>
      <c r="F6" s="19"/>
    </row>
    <row r="7" spans="1:10" x14ac:dyDescent="0.25">
      <c r="A7" s="63" t="s">
        <v>92</v>
      </c>
      <c r="B7" s="20">
        <v>580329.37283000001</v>
      </c>
      <c r="C7" s="20">
        <v>546247.17648000002</v>
      </c>
      <c r="D7" s="20">
        <v>94.127094380248792</v>
      </c>
      <c r="E7" s="20">
        <f>IF(580329.37283="","-",580329.37283/4332145.11781*100)</f>
        <v>13.395889496965191</v>
      </c>
      <c r="F7" s="20">
        <f>IF(546247.17648="","-",546247.17648/4048616.5172*100)</f>
        <v>13.492193547088066</v>
      </c>
    </row>
    <row r="8" spans="1:10" x14ac:dyDescent="0.25">
      <c r="A8" s="63" t="s">
        <v>93</v>
      </c>
      <c r="B8" s="20">
        <v>340295.53788999998</v>
      </c>
      <c r="C8" s="20">
        <v>137531.92775999999</v>
      </c>
      <c r="D8" s="20">
        <v>40.415436715028861</v>
      </c>
      <c r="E8" s="20">
        <f>IF(340295.53789="","-",340295.53789/4332145.11781*100)</f>
        <v>7.855127855505156</v>
      </c>
      <c r="F8" s="20">
        <f>IF(137531.92776="","-",137531.92776/4048616.5172*100)</f>
        <v>3.3970104892798365</v>
      </c>
    </row>
    <row r="9" spans="1:10" x14ac:dyDescent="0.25">
      <c r="A9" s="63" t="s">
        <v>94</v>
      </c>
      <c r="B9" s="20">
        <v>3340703.1852299999</v>
      </c>
      <c r="C9" s="20">
        <v>3271976.6922300002</v>
      </c>
      <c r="D9" s="20">
        <v>97.942753690185498</v>
      </c>
      <c r="E9" s="20">
        <f>IF(3340703.18523="","-",3340703.18523/4332145.11781*100)</f>
        <v>77.114295444442618</v>
      </c>
      <c r="F9" s="20">
        <f>IF(3271976.69223="","-",3271976.69223/4048616.5172*100)</f>
        <v>80.817155152369935</v>
      </c>
    </row>
    <row r="10" spans="1:10" x14ac:dyDescent="0.25">
      <c r="A10" s="63" t="s">
        <v>95</v>
      </c>
      <c r="B10" s="20">
        <v>47152.815949999997</v>
      </c>
      <c r="C10" s="20">
        <v>44199.58124</v>
      </c>
      <c r="D10" s="20">
        <v>93.73688580310548</v>
      </c>
      <c r="E10" s="20">
        <f>IF(47152.81595="","-",47152.81595/4332145.11781*100)</f>
        <v>1.088440360784517</v>
      </c>
      <c r="F10" s="20">
        <f>IF(44199.58124="","-",44199.58124/4048616.5172*100)</f>
        <v>1.0917206174559644</v>
      </c>
    </row>
    <row r="11" spans="1:10" x14ac:dyDescent="0.25">
      <c r="A11" s="63" t="s">
        <v>96</v>
      </c>
      <c r="B11" s="20">
        <v>1309.26647</v>
      </c>
      <c r="C11" s="20">
        <v>1030.2617499999999</v>
      </c>
      <c r="D11" s="20">
        <v>78.689997308187372</v>
      </c>
      <c r="E11" s="20">
        <f>IF(1309.26647="","-",1309.26647/4332145.11781*100)</f>
        <v>3.0222128631320289E-2</v>
      </c>
      <c r="F11" s="20">
        <f>IF(1030.26175="","-",1030.26175/4048616.5172*100)</f>
        <v>2.5447254528135035E-2</v>
      </c>
    </row>
    <row r="12" spans="1:10" x14ac:dyDescent="0.25">
      <c r="A12" s="63" t="s">
        <v>97</v>
      </c>
      <c r="B12" s="20">
        <v>21929.543570000002</v>
      </c>
      <c r="C12" s="20">
        <v>45723.472430000002</v>
      </c>
      <c r="D12" s="20" t="s">
        <v>330</v>
      </c>
      <c r="E12" s="20">
        <f>IF(21929.54357="","-",21929.54357/4332145.11781*100)</f>
        <v>0.50620519335432368</v>
      </c>
      <c r="F12" s="20">
        <f>IF(45723.47243="","-",45723.47243/4048616.5172*100)</f>
        <v>1.1293604182008845</v>
      </c>
    </row>
    <row r="13" spans="1:10" x14ac:dyDescent="0.25">
      <c r="A13" s="63" t="s">
        <v>98</v>
      </c>
      <c r="B13" s="20">
        <v>425.39587</v>
      </c>
      <c r="C13" s="20">
        <v>1907.4053100000001</v>
      </c>
      <c r="D13" s="20" t="s">
        <v>376</v>
      </c>
      <c r="E13" s="20">
        <f>IF(425.39587="","-",425.39587/4332145.11781*100)</f>
        <v>9.8195203168782007E-3</v>
      </c>
      <c r="F13" s="20">
        <f>IF(1907.40531="","-",1907.40531/4048616.5172*100)</f>
        <v>4.711252107717899E-2</v>
      </c>
    </row>
    <row r="14" spans="1:10" ht="16.5" customHeight="1" x14ac:dyDescent="0.25">
      <c r="A14" s="58" t="s">
        <v>174</v>
      </c>
      <c r="B14" s="51">
        <v>2537508.5123399999</v>
      </c>
      <c r="C14" s="19">
        <v>2646779.0956100002</v>
      </c>
      <c r="D14" s="19">
        <v>104.30621543685916</v>
      </c>
      <c r="E14" s="19">
        <f>IF(2537508.51234="","-",2537508.51234/4332145.11781*100)</f>
        <v>58.573949933209292</v>
      </c>
      <c r="F14" s="19">
        <f>IF(2646779.09561="","-",2646779.09561/4048616.5172*100)</f>
        <v>65.374902373823673</v>
      </c>
    </row>
    <row r="15" spans="1:10" x14ac:dyDescent="0.25">
      <c r="A15" s="63" t="s">
        <v>102</v>
      </c>
      <c r="B15" s="45"/>
      <c r="C15" s="19"/>
      <c r="D15" s="19"/>
      <c r="E15" s="19"/>
      <c r="F15" s="19"/>
    </row>
    <row r="16" spans="1:10" x14ac:dyDescent="0.25">
      <c r="A16" s="63" t="s">
        <v>92</v>
      </c>
      <c r="B16" s="20">
        <v>399678.09935999999</v>
      </c>
      <c r="C16" s="20">
        <v>434842.13029</v>
      </c>
      <c r="D16" s="20">
        <v>108.7980880079013</v>
      </c>
      <c r="E16" s="20">
        <f>IF(399678.09936="","-",399678.09936/4332145.11781*100)</f>
        <v>9.2258705212083605</v>
      </c>
      <c r="F16" s="20">
        <f>IF(434842.13029="","-",434842.13029/4048616.5172*100)</f>
        <v>10.740511689428525</v>
      </c>
    </row>
    <row r="17" spans="1:7" x14ac:dyDescent="0.25">
      <c r="A17" s="63" t="s">
        <v>93</v>
      </c>
      <c r="B17" s="20">
        <v>53683.498379999997</v>
      </c>
      <c r="C17" s="20">
        <v>75888.935280000005</v>
      </c>
      <c r="D17" s="20">
        <v>141.36361744314473</v>
      </c>
      <c r="E17" s="20">
        <f>IF(53683.49838="","-",53683.49838/4332145.11781*100)</f>
        <v>1.2391897528847846</v>
      </c>
      <c r="F17" s="20">
        <f>IF(75888.93528="","-",75888.93528/4048616.5172*100)</f>
        <v>1.8744411815146265</v>
      </c>
    </row>
    <row r="18" spans="1:7" x14ac:dyDescent="0.25">
      <c r="A18" s="63" t="s">
        <v>94</v>
      </c>
      <c r="B18" s="20">
        <v>2075921.94603</v>
      </c>
      <c r="C18" s="20">
        <v>2104681.9871399999</v>
      </c>
      <c r="D18" s="20">
        <v>101.38541052398433</v>
      </c>
      <c r="E18" s="20">
        <f>IF(2075921.94603="","-",2075921.94603/4332145.11781*100)</f>
        <v>47.919030632090802</v>
      </c>
      <c r="F18" s="20">
        <f>IF(2104681.98714="","-",2104681.98714/4048616.5172*100)</f>
        <v>51.985214657860112</v>
      </c>
    </row>
    <row r="19" spans="1:7" x14ac:dyDescent="0.25">
      <c r="A19" s="63" t="s">
        <v>95</v>
      </c>
      <c r="B19" s="20">
        <v>7416.8756400000002</v>
      </c>
      <c r="C19" s="20">
        <v>7841.5615399999997</v>
      </c>
      <c r="D19" s="20">
        <v>105.72594068733771</v>
      </c>
      <c r="E19" s="20">
        <f>IF(7416.87564="","-",7416.87564/4332145.11781*100)</f>
        <v>0.17120561380800198</v>
      </c>
      <c r="F19" s="20">
        <f>IF(7841.56154="","-",7841.56154/4048616.5172*100)</f>
        <v>0.19368496637520954</v>
      </c>
    </row>
    <row r="20" spans="1:7" x14ac:dyDescent="0.25">
      <c r="A20" s="63" t="s">
        <v>96</v>
      </c>
      <c r="B20" s="20">
        <v>602.01034000000004</v>
      </c>
      <c r="C20" s="20">
        <v>345.70764000000003</v>
      </c>
      <c r="D20" s="20">
        <v>57.425531926910089</v>
      </c>
      <c r="E20" s="20">
        <f>IF(602.01034="","-",602.01034/4332145.11781*100)</f>
        <v>1.3896356738491031E-2</v>
      </c>
      <c r="F20" s="20">
        <f>IF(345.70764="","-",345.70764/4048616.5172*100)</f>
        <v>8.5389080079900839E-3</v>
      </c>
    </row>
    <row r="21" spans="1:7" x14ac:dyDescent="0.25">
      <c r="A21" s="63" t="s">
        <v>97</v>
      </c>
      <c r="B21" s="45">
        <v>25.98704</v>
      </c>
      <c r="C21" s="20">
        <v>23024.162359999998</v>
      </c>
      <c r="D21" s="20" t="s">
        <v>395</v>
      </c>
      <c r="E21" s="20">
        <f>IF(25.98704="","-",25.98704/4332145.11781*100)</f>
        <v>5.9986540832078711E-4</v>
      </c>
      <c r="F21" s="20">
        <f>IF(23024.16236="","-",23024.16236/4048616.5172*100)</f>
        <v>0.56869210166448103</v>
      </c>
    </row>
    <row r="22" spans="1:7" x14ac:dyDescent="0.25">
      <c r="A22" s="63" t="s">
        <v>98</v>
      </c>
      <c r="B22" s="45">
        <v>180.09555</v>
      </c>
      <c r="C22" s="20">
        <v>154.61135999999999</v>
      </c>
      <c r="D22" s="20">
        <v>85.849628155720666</v>
      </c>
      <c r="E22" s="20">
        <f>IF(180.09555="","-",180.09555/4332145.11781*100)</f>
        <v>4.1571910705300308E-3</v>
      </c>
      <c r="F22" s="20">
        <f>IF(154.61136="","-",154.61136/4048616.5172*100)</f>
        <v>3.8188689727257329E-3</v>
      </c>
    </row>
    <row r="23" spans="1:7" x14ac:dyDescent="0.25">
      <c r="A23" s="58" t="s">
        <v>175</v>
      </c>
      <c r="B23" s="19">
        <v>1043042.1371000001</v>
      </c>
      <c r="C23" s="19">
        <v>896899.54033999995</v>
      </c>
      <c r="D23" s="19">
        <v>85.988811807131356</v>
      </c>
      <c r="E23" s="19">
        <f>IF(1043042.1371="","-",1043042.1371/4332145.11781*100)</f>
        <v>24.076805110057858</v>
      </c>
      <c r="F23" s="19">
        <f>IF(896899.54034="","-",896899.54034/4048616.5172*100)</f>
        <v>22.153235223184105</v>
      </c>
    </row>
    <row r="24" spans="1:7" x14ac:dyDescent="0.25">
      <c r="A24" s="63" t="s">
        <v>102</v>
      </c>
      <c r="B24" s="45"/>
      <c r="C24" s="19"/>
      <c r="D24" s="19"/>
      <c r="E24" s="19"/>
      <c r="F24" s="19"/>
    </row>
    <row r="25" spans="1:7" x14ac:dyDescent="0.25">
      <c r="A25" s="63" t="s">
        <v>92</v>
      </c>
      <c r="B25" s="20">
        <v>441.99698000000001</v>
      </c>
      <c r="C25" s="20">
        <v>7496.9248200000002</v>
      </c>
      <c r="D25" s="20" t="s">
        <v>396</v>
      </c>
      <c r="E25" s="20">
        <f>IF(441.99698="","-",441.99698/4332145.11781*100)</f>
        <v>1.0202727932240639E-2</v>
      </c>
      <c r="F25" s="20">
        <f>IF(7496.92482="","-",7496.92482/4048616.5172*100)</f>
        <v>0.18517250987220765</v>
      </c>
    </row>
    <row r="26" spans="1:7" x14ac:dyDescent="0.25">
      <c r="A26" s="63" t="s">
        <v>93</v>
      </c>
      <c r="B26" s="20">
        <v>185232.73785</v>
      </c>
      <c r="C26" s="20">
        <v>48001.071750000003</v>
      </c>
      <c r="D26" s="20">
        <v>25.913924453716646</v>
      </c>
      <c r="E26" s="20">
        <f>IF(185232.73785="","-",185232.73785/4332145.11781*100)</f>
        <v>4.275774075260883</v>
      </c>
      <c r="F26" s="20">
        <f>IF(48001.07175="","-",48001.07175/4048616.5172*100)</f>
        <v>1.1856166556173926</v>
      </c>
    </row>
    <row r="27" spans="1:7" x14ac:dyDescent="0.25">
      <c r="A27" s="63" t="s">
        <v>94</v>
      </c>
      <c r="B27" s="20">
        <v>824341.96287000005</v>
      </c>
      <c r="C27" s="20">
        <v>804139.09068000002</v>
      </c>
      <c r="D27" s="20">
        <v>97.54921220804259</v>
      </c>
      <c r="E27" s="20">
        <f>IF(824341.96287="","-",824341.96287/4332145.11781*100)</f>
        <v>19.028493747382221</v>
      </c>
      <c r="F27" s="20">
        <f>IF(804139.09068="","-",804139.09068/4048616.5172*100)</f>
        <v>19.862071086844697</v>
      </c>
      <c r="G27" s="23"/>
    </row>
    <row r="28" spans="1:7" x14ac:dyDescent="0.25">
      <c r="A28" s="63" t="s">
        <v>95</v>
      </c>
      <c r="B28" s="20">
        <v>10840.61269</v>
      </c>
      <c r="C28" s="20">
        <v>13674.64798</v>
      </c>
      <c r="D28" s="20">
        <v>126.14275937202586</v>
      </c>
      <c r="E28" s="20">
        <f>IF(10840.61269="","-",10840.61269/4332145.11781*100)</f>
        <v>0.25023660092624467</v>
      </c>
      <c r="F28" s="20">
        <f>IF(13674.64798="","-",13674.64798/4048616.5172*100)</f>
        <v>0.33776100852983004</v>
      </c>
    </row>
    <row r="29" spans="1:7" x14ac:dyDescent="0.25">
      <c r="A29" s="63" t="s">
        <v>96</v>
      </c>
      <c r="B29" s="20">
        <v>65.404730000000001</v>
      </c>
      <c r="C29" s="20">
        <v>42.530099999999997</v>
      </c>
      <c r="D29" s="20">
        <v>65.026030991948133</v>
      </c>
      <c r="E29" s="20">
        <f>IF(65.40473="","-",65.40473/4332145.11781*100)</f>
        <v>1.5097539030055303E-3</v>
      </c>
      <c r="F29" s="20">
        <f>IF(42.5301="","-",42.5301/4048616.5172*100)</f>
        <v>1.0504847722503875E-3</v>
      </c>
    </row>
    <row r="30" spans="1:7" x14ac:dyDescent="0.25">
      <c r="A30" s="63" t="s">
        <v>97</v>
      </c>
      <c r="B30" s="20">
        <v>21903.556530000002</v>
      </c>
      <c r="C30" s="20">
        <v>22699.31007</v>
      </c>
      <c r="D30" s="20">
        <v>103.63298781597454</v>
      </c>
      <c r="E30" s="20">
        <f>IF(21903.55653="","-",21903.55653/4332145.11781*100)</f>
        <v>0.50560532794600288</v>
      </c>
      <c r="F30" s="20">
        <f>IF(22699.31007="","-",22699.31007/4048616.5172*100)</f>
        <v>0.56066831653640314</v>
      </c>
    </row>
    <row r="31" spans="1:7" x14ac:dyDescent="0.25">
      <c r="A31" s="63" t="s">
        <v>98</v>
      </c>
      <c r="B31" s="20">
        <v>215.86545000000001</v>
      </c>
      <c r="C31" s="20">
        <v>845.96493999999996</v>
      </c>
      <c r="D31" s="20" t="s">
        <v>397</v>
      </c>
      <c r="E31" s="20">
        <f>IF(215.86545="","-",215.86545/4332145.11781*100)</f>
        <v>4.9828767072587132E-3</v>
      </c>
      <c r="F31" s="20">
        <f>IF(845.96494="","-",845.96494/4048616.5172*100)</f>
        <v>2.0895161011324048E-2</v>
      </c>
    </row>
    <row r="32" spans="1:7" x14ac:dyDescent="0.25">
      <c r="A32" s="58" t="s">
        <v>257</v>
      </c>
      <c r="B32" s="19">
        <v>751594.46837000002</v>
      </c>
      <c r="C32" s="19">
        <v>504937.88124999998</v>
      </c>
      <c r="D32" s="19">
        <v>67.18222425785946</v>
      </c>
      <c r="E32" s="19">
        <f>IF(751594.46837="","-",751594.46837/4332145.11781*100)</f>
        <v>17.349244956732857</v>
      </c>
      <c r="F32" s="19">
        <f>IF(504937.88125="","-",504937.88125/4048616.5172*100)</f>
        <v>12.471862402992222</v>
      </c>
    </row>
    <row r="33" spans="1:10" x14ac:dyDescent="0.25">
      <c r="A33" s="63" t="s">
        <v>102</v>
      </c>
      <c r="B33" s="45"/>
      <c r="C33" s="19"/>
      <c r="D33" s="19"/>
      <c r="E33" s="19"/>
      <c r="F33" s="19"/>
    </row>
    <row r="34" spans="1:10" x14ac:dyDescent="0.25">
      <c r="A34" s="63" t="s">
        <v>92</v>
      </c>
      <c r="B34" s="20">
        <v>180209.27648999999</v>
      </c>
      <c r="C34" s="20">
        <v>103908.12136999999</v>
      </c>
      <c r="D34" s="20">
        <v>57.65969621201269</v>
      </c>
      <c r="E34" s="20">
        <f>IF(180209.27649="","-",180209.27649/4332145.11781*100)</f>
        <v>4.1598162478245877</v>
      </c>
      <c r="F34" s="20">
        <f>IF(103908.12137="","-",103908.12137/4048616.5172*100)</f>
        <v>2.566509347787334</v>
      </c>
    </row>
    <row r="35" spans="1:10" x14ac:dyDescent="0.25">
      <c r="A35" s="63" t="s">
        <v>93</v>
      </c>
      <c r="B35" s="20">
        <v>101379.30166</v>
      </c>
      <c r="C35" s="20">
        <v>13641.92073</v>
      </c>
      <c r="D35" s="20">
        <v>13.456317519084399</v>
      </c>
      <c r="E35" s="20">
        <f>IF(101379.30166="","-",101379.30166/4332145.11781*100)</f>
        <v>2.3401640273594899</v>
      </c>
      <c r="F35" s="20">
        <f>IF(13641.92073="","-",13641.92073/4048616.5172*100)</f>
        <v>0.3369526521478175</v>
      </c>
    </row>
    <row r="36" spans="1:10" x14ac:dyDescent="0.25">
      <c r="A36" s="63" t="s">
        <v>94</v>
      </c>
      <c r="B36" s="20">
        <v>440439.27633000002</v>
      </c>
      <c r="C36" s="20">
        <v>363155.61440999998</v>
      </c>
      <c r="D36" s="20">
        <v>82.453049472796081</v>
      </c>
      <c r="E36" s="20">
        <f>IF(440439.27633="","-",440439.27633/4332145.11781*100)</f>
        <v>10.166771064969595</v>
      </c>
      <c r="F36" s="20">
        <f>IF(363155.61441="","-",363155.61441/4048616.5172*100)</f>
        <v>8.9698694076651222</v>
      </c>
    </row>
    <row r="37" spans="1:10" x14ac:dyDescent="0.25">
      <c r="A37" s="63" t="s">
        <v>95</v>
      </c>
      <c r="B37" s="20">
        <v>28895.32762</v>
      </c>
      <c r="C37" s="20">
        <v>22683.371719999999</v>
      </c>
      <c r="D37" s="20">
        <v>78.501867216413302</v>
      </c>
      <c r="E37" s="20">
        <f>IF(28895.32762="","-",28895.32762/4332145.11781*100)</f>
        <v>0.66699814605027041</v>
      </c>
      <c r="F37" s="20">
        <f>IF(22683.37172="","-",22683.37172/4048616.5172*100)</f>
        <v>0.56027464255092474</v>
      </c>
    </row>
    <row r="38" spans="1:10" x14ac:dyDescent="0.25">
      <c r="A38" s="63" t="s">
        <v>96</v>
      </c>
      <c r="B38" s="20">
        <v>641.85140000000001</v>
      </c>
      <c r="C38" s="20">
        <v>642.02400999999998</v>
      </c>
      <c r="D38" s="20">
        <v>100.02689251748924</v>
      </c>
      <c r="E38" s="20">
        <f>IF(641.8514="","-",641.8514/4332145.11781*100)</f>
        <v>1.4816017989823731E-2</v>
      </c>
      <c r="F38" s="20">
        <f>IF(642.02401="","-",642.02401/4048616.5172*100)</f>
        <v>1.5857861747894563E-2</v>
      </c>
    </row>
    <row r="39" spans="1:10" x14ac:dyDescent="0.25">
      <c r="A39" s="67" t="s">
        <v>98</v>
      </c>
      <c r="B39" s="46">
        <v>29.43487</v>
      </c>
      <c r="C39" s="61">
        <v>906.82901000000004</v>
      </c>
      <c r="D39" s="46" t="s">
        <v>398</v>
      </c>
      <c r="E39" s="46">
        <f>IF(29.43487="","-",29.43487/4332145.11781*100)</f>
        <v>6.794525390894572E-4</v>
      </c>
      <c r="F39" s="46">
        <f>IF(906.82901="","-",906.82901/4048616.5172*100)</f>
        <v>2.2398491093129209E-2</v>
      </c>
    </row>
    <row r="40" spans="1:10" s="18" customFormat="1" ht="14.25" customHeight="1" x14ac:dyDescent="0.2">
      <c r="A40" s="26" t="s">
        <v>16</v>
      </c>
      <c r="B40" s="26"/>
      <c r="C40" s="26"/>
      <c r="D40" s="26"/>
      <c r="E40" s="27"/>
      <c r="F40" s="27"/>
      <c r="G40" s="27"/>
      <c r="H40" s="27"/>
      <c r="I40" s="27"/>
      <c r="J40" s="27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40"/>
  <sheetViews>
    <sheetView workbookViewId="0">
      <selection activeCell="D35" sqref="D35"/>
    </sheetView>
  </sheetViews>
  <sheetFormatPr defaultRowHeight="15.75" x14ac:dyDescent="0.25"/>
  <cols>
    <col min="1" max="1" width="24.875" style="22" customWidth="1"/>
    <col min="2" max="2" width="13.5" style="22" customWidth="1"/>
    <col min="3" max="3" width="13.125" style="22" customWidth="1"/>
    <col min="4" max="4" width="12.125" style="22" customWidth="1"/>
    <col min="5" max="6" width="9.375" style="22" customWidth="1"/>
    <col min="7" max="8" width="9" style="22"/>
  </cols>
  <sheetData>
    <row r="1" spans="1:8" x14ac:dyDescent="0.25">
      <c r="A1" s="74" t="s">
        <v>304</v>
      </c>
      <c r="B1" s="74"/>
      <c r="C1" s="74"/>
      <c r="D1" s="74"/>
      <c r="E1" s="74"/>
      <c r="F1" s="74"/>
    </row>
    <row r="2" spans="1:8" x14ac:dyDescent="0.25">
      <c r="A2" s="92"/>
      <c r="B2" s="92"/>
      <c r="C2" s="92"/>
      <c r="D2" s="92"/>
      <c r="E2" s="92"/>
      <c r="F2" s="92"/>
    </row>
    <row r="3" spans="1:8" ht="21.75" customHeight="1" x14ac:dyDescent="0.25">
      <c r="A3" s="75"/>
      <c r="B3" s="77" t="s">
        <v>339</v>
      </c>
      <c r="C3" s="84"/>
      <c r="D3" s="82" t="s">
        <v>361</v>
      </c>
      <c r="E3" s="77" t="s">
        <v>91</v>
      </c>
      <c r="F3" s="91"/>
    </row>
    <row r="4" spans="1:8" ht="21.75" customHeight="1" x14ac:dyDescent="0.25">
      <c r="A4" s="76"/>
      <c r="B4" s="13">
        <v>2022</v>
      </c>
      <c r="C4" s="13">
        <v>2023</v>
      </c>
      <c r="D4" s="83"/>
      <c r="E4" s="13">
        <v>2022</v>
      </c>
      <c r="F4" s="12">
        <v>2023</v>
      </c>
    </row>
    <row r="5" spans="1:8" s="25" customFormat="1" ht="15.75" customHeight="1" x14ac:dyDescent="0.2">
      <c r="A5" s="66" t="s">
        <v>404</v>
      </c>
      <c r="B5" s="54">
        <v>9218978.7700999994</v>
      </c>
      <c r="C5" s="54">
        <v>8673668.2763899993</v>
      </c>
      <c r="D5" s="54">
        <v>94.084914313084099</v>
      </c>
      <c r="E5" s="52">
        <v>100</v>
      </c>
      <c r="F5" s="52">
        <v>100</v>
      </c>
      <c r="G5" s="24"/>
      <c r="H5" s="24"/>
    </row>
    <row r="6" spans="1:8" ht="15.75" customHeight="1" x14ac:dyDescent="0.25">
      <c r="A6" s="63" t="s">
        <v>102</v>
      </c>
      <c r="B6" s="47"/>
      <c r="C6" s="50"/>
      <c r="D6" s="19"/>
      <c r="E6" s="50"/>
      <c r="F6" s="50"/>
    </row>
    <row r="7" spans="1:8" x14ac:dyDescent="0.25">
      <c r="A7" s="63" t="s">
        <v>92</v>
      </c>
      <c r="B7" s="20">
        <v>662932.68646999996</v>
      </c>
      <c r="C7" s="20">
        <v>616559.92506000004</v>
      </c>
      <c r="D7" s="20">
        <v>93.004906477469575</v>
      </c>
      <c r="E7" s="20">
        <f>IF(662932.68647="","-",662932.68647/9218978.7701*100)</f>
        <v>7.1909557772287735</v>
      </c>
      <c r="F7" s="20">
        <f>IF(616559.92506="","-",616559.92506/8673668.27639*100)</f>
        <v>7.1084102528833819</v>
      </c>
    </row>
    <row r="8" spans="1:8" x14ac:dyDescent="0.25">
      <c r="A8" s="63" t="s">
        <v>93</v>
      </c>
      <c r="B8" s="20">
        <v>474487.94368999999</v>
      </c>
      <c r="C8" s="20">
        <v>335437.34571999998</v>
      </c>
      <c r="D8" s="20">
        <v>70.694598288708733</v>
      </c>
      <c r="E8" s="20">
        <f>IF(474487.94369="","-",474487.94369/9218978.7701*100)</f>
        <v>5.1468601406146108</v>
      </c>
      <c r="F8" s="20">
        <f>IF(335437.34572="","-",335437.34572/8673668.27639*100)</f>
        <v>3.8673066000583756</v>
      </c>
    </row>
    <row r="9" spans="1:8" x14ac:dyDescent="0.25">
      <c r="A9" s="63" t="s">
        <v>94</v>
      </c>
      <c r="B9" s="20">
        <v>6913561.5827400004</v>
      </c>
      <c r="C9" s="20">
        <v>6875715.2109599998</v>
      </c>
      <c r="D9" s="20">
        <v>99.452577787482426</v>
      </c>
      <c r="E9" s="20">
        <f>IF(6913561.58274="","-",6913561.58274/9218978.7701*100)</f>
        <v>74.992705321795725</v>
      </c>
      <c r="F9" s="20">
        <f>IF(6875715.21096="","-",6875715.21096/8673668.27639*100)</f>
        <v>79.271134102233489</v>
      </c>
    </row>
    <row r="10" spans="1:8" x14ac:dyDescent="0.25">
      <c r="A10" s="63" t="s">
        <v>95</v>
      </c>
      <c r="B10" s="20">
        <v>153226.41808999999</v>
      </c>
      <c r="C10" s="20">
        <v>183538.74437999999</v>
      </c>
      <c r="D10" s="20">
        <v>119.78270240070192</v>
      </c>
      <c r="E10" s="20">
        <f>IF(153226.41809="","-",153226.41809/9218978.7701*100)</f>
        <v>1.6620758319452984</v>
      </c>
      <c r="F10" s="20">
        <f>IF(183538.74438="","-",183538.74438/8673668.27639*100)</f>
        <v>2.1160452363574738</v>
      </c>
    </row>
    <row r="11" spans="1:8" x14ac:dyDescent="0.25">
      <c r="A11" s="63" t="s">
        <v>96</v>
      </c>
      <c r="B11" s="20">
        <v>9799.5989499999996</v>
      </c>
      <c r="C11" s="20">
        <v>8478.8901399999995</v>
      </c>
      <c r="D11" s="20">
        <v>86.522827957158384</v>
      </c>
      <c r="E11" s="20">
        <f>IF(9799.59895="","-",9799.59895/9218978.7701*100)</f>
        <v>0.10629809650699198</v>
      </c>
      <c r="F11" s="20">
        <f>IF(8478.89014="","-",8478.89014/8673668.27639*100)</f>
        <v>9.7754374156546989E-2</v>
      </c>
    </row>
    <row r="12" spans="1:8" x14ac:dyDescent="0.25">
      <c r="A12" s="63" t="s">
        <v>97</v>
      </c>
      <c r="B12" s="20">
        <v>950542.52179000003</v>
      </c>
      <c r="C12" s="20">
        <v>589239.01852000004</v>
      </c>
      <c r="D12" s="20">
        <v>61.989759007349122</v>
      </c>
      <c r="E12" s="20">
        <f>IF(950542.52179="","-",950542.52179/9218978.7701*100)</f>
        <v>10.310713859900659</v>
      </c>
      <c r="F12" s="20">
        <f>IF(589239.01852="","-",589239.01852/8673668.27639*100)</f>
        <v>6.7934234944622833</v>
      </c>
    </row>
    <row r="13" spans="1:8" x14ac:dyDescent="0.25">
      <c r="A13" s="63" t="s">
        <v>98</v>
      </c>
      <c r="B13" s="20">
        <v>54428.018369999998</v>
      </c>
      <c r="C13" s="20">
        <v>64699.141609999999</v>
      </c>
      <c r="D13" s="20">
        <v>118.87102185160816</v>
      </c>
      <c r="E13" s="20">
        <f>IF(54428.01837="","-",54428.01837/9218978.7701*100)</f>
        <v>0.59039097200795065</v>
      </c>
      <c r="F13" s="20">
        <f>IF(64699.14161="","-",64699.14161/8673668.27639*100)</f>
        <v>0.74592593984846201</v>
      </c>
    </row>
    <row r="14" spans="1:8" ht="16.5" customHeight="1" x14ac:dyDescent="0.25">
      <c r="A14" s="58" t="s">
        <v>174</v>
      </c>
      <c r="B14" s="19">
        <v>4364825.9331900002</v>
      </c>
      <c r="C14" s="44">
        <v>4187969.5337</v>
      </c>
      <c r="D14" s="19">
        <v>95.948145419839321</v>
      </c>
      <c r="E14" s="19">
        <f>IF(4364825.93319="","-",4364825.93319/9218978.7701*100)</f>
        <v>47.346089431797814</v>
      </c>
      <c r="F14" s="19">
        <f>IF(4187969.5337="","-",4187969.5337/8673668.27639*100)</f>
        <v>48.283718033116237</v>
      </c>
    </row>
    <row r="15" spans="1:8" x14ac:dyDescent="0.25">
      <c r="A15" s="63" t="s">
        <v>102</v>
      </c>
      <c r="B15" s="45"/>
      <c r="C15" s="45"/>
      <c r="D15" s="19"/>
      <c r="E15" s="19"/>
      <c r="F15" s="19"/>
    </row>
    <row r="16" spans="1:8" x14ac:dyDescent="0.25">
      <c r="A16" s="63" t="s">
        <v>92</v>
      </c>
      <c r="B16" s="20">
        <v>209616.02591999999</v>
      </c>
      <c r="C16" s="20">
        <v>174623.41988</v>
      </c>
      <c r="D16" s="20">
        <v>83.306330760533115</v>
      </c>
      <c r="E16" s="20">
        <f>IF(209616.02592="","-",209616.02592/9218978.7701*100)</f>
        <v>2.2737445344797802</v>
      </c>
      <c r="F16" s="20">
        <f>IF(174623.41988="","-",174623.41988/8673668.27639*100)</f>
        <v>2.0132591461369405</v>
      </c>
    </row>
    <row r="17" spans="1:7" x14ac:dyDescent="0.25">
      <c r="A17" s="63" t="s">
        <v>93</v>
      </c>
      <c r="B17" s="20">
        <v>286627.91252000001</v>
      </c>
      <c r="C17" s="20">
        <v>186592.55736999999</v>
      </c>
      <c r="D17" s="20">
        <v>65.099227681456227</v>
      </c>
      <c r="E17" s="20">
        <f>IF(286627.91252="","-",286627.91252/9218978.7701*100)</f>
        <v>3.1091069810207506</v>
      </c>
      <c r="F17" s="20">
        <f>IF(186592.55737="","-",186592.55737/8673668.27639*100)</f>
        <v>2.1512530964310783</v>
      </c>
    </row>
    <row r="18" spans="1:7" x14ac:dyDescent="0.25">
      <c r="A18" s="63" t="s">
        <v>94</v>
      </c>
      <c r="B18" s="20">
        <v>3585668.3528499999</v>
      </c>
      <c r="C18" s="20">
        <v>3561456.2972800001</v>
      </c>
      <c r="D18" s="20">
        <v>99.32475474061188</v>
      </c>
      <c r="E18" s="20">
        <f>IF(3585668.35285="","-",3585668.35285/9218978.7701*100)</f>
        <v>38.89442032863154</v>
      </c>
      <c r="F18" s="20">
        <f>IF(3561456.29728="","-",3561456.29728/8673668.27639*100)</f>
        <v>41.06055458651096</v>
      </c>
    </row>
    <row r="19" spans="1:7" x14ac:dyDescent="0.25">
      <c r="A19" s="63" t="s">
        <v>95</v>
      </c>
      <c r="B19" s="20">
        <v>35203.737439999997</v>
      </c>
      <c r="C19" s="20">
        <v>53088.854270000003</v>
      </c>
      <c r="D19" s="20">
        <v>150.8045967007985</v>
      </c>
      <c r="E19" s="20">
        <f>IF(35203.73744="","-",35203.73744/9218978.7701*100)</f>
        <v>0.38186157401920273</v>
      </c>
      <c r="F19" s="20">
        <f>IF(53088.85427="","-",53088.85427/8673668.27639*100)</f>
        <v>0.61206922582581991</v>
      </c>
    </row>
    <row r="20" spans="1:7" x14ac:dyDescent="0.25">
      <c r="A20" s="63" t="s">
        <v>96</v>
      </c>
      <c r="B20" s="20">
        <v>6386.99118</v>
      </c>
      <c r="C20" s="20">
        <v>5266.5415700000003</v>
      </c>
      <c r="D20" s="20">
        <v>82.457317093085464</v>
      </c>
      <c r="E20" s="20">
        <f>IF(6386.99118="","-",6386.99118/9218978.7701*100)</f>
        <v>6.9280896933128736E-2</v>
      </c>
      <c r="F20" s="20">
        <f>IF(5266.54157="","-",5266.54157/8673668.27639*100)</f>
        <v>6.071873401402373E-2</v>
      </c>
    </row>
    <row r="21" spans="1:7" x14ac:dyDescent="0.25">
      <c r="A21" s="63" t="s">
        <v>97</v>
      </c>
      <c r="B21" s="45">
        <v>192680.35376999999</v>
      </c>
      <c r="C21" s="20">
        <v>149814.46353000001</v>
      </c>
      <c r="D21" s="20">
        <v>77.752848486479095</v>
      </c>
      <c r="E21" s="20">
        <f>IF(192680.35377="","-",192680.35377/9218978.7701*100)</f>
        <v>2.0900401072071237</v>
      </c>
      <c r="F21" s="20">
        <f>IF(149814.46353="","-",149814.46353/8673668.27639*100)</f>
        <v>1.7272330317012439</v>
      </c>
    </row>
    <row r="22" spans="1:7" x14ac:dyDescent="0.25">
      <c r="A22" s="63" t="s">
        <v>98</v>
      </c>
      <c r="B22" s="45">
        <v>48642.559509999999</v>
      </c>
      <c r="C22" s="20">
        <v>57127.399799999999</v>
      </c>
      <c r="D22" s="20">
        <v>117.44324389068316</v>
      </c>
      <c r="E22" s="20">
        <f>IF(48642.55951="","-",48642.55951/9218978.7701*100)</f>
        <v>0.52763500950629005</v>
      </c>
      <c r="F22" s="20">
        <f>IF(57127.3998="","-",57127.3998/8673668.27639*100)</f>
        <v>0.65863021249616616</v>
      </c>
      <c r="G22" s="19"/>
    </row>
    <row r="23" spans="1:7" x14ac:dyDescent="0.25">
      <c r="A23" s="58" t="s">
        <v>175</v>
      </c>
      <c r="B23" s="44">
        <v>2185551.4602899998</v>
      </c>
      <c r="C23" s="19">
        <v>1609661.19997</v>
      </c>
      <c r="D23" s="51">
        <v>73.650116650944227</v>
      </c>
      <c r="E23" s="19">
        <f>IF(2185551.46029="","-",2185551.46029/9218978.7701*100)</f>
        <v>23.707088548445512</v>
      </c>
      <c r="F23" s="19">
        <f>IF(1609661.19997="","-",1609661.19997/8673668.27639*100)</f>
        <v>18.55802122789903</v>
      </c>
      <c r="G23" s="19"/>
    </row>
    <row r="24" spans="1:7" x14ac:dyDescent="0.25">
      <c r="A24" s="63" t="s">
        <v>102</v>
      </c>
      <c r="B24" s="45"/>
      <c r="C24" s="19"/>
      <c r="D24" s="45"/>
      <c r="E24" s="19"/>
      <c r="F24" s="19"/>
      <c r="G24" s="20"/>
    </row>
    <row r="25" spans="1:7" x14ac:dyDescent="0.25">
      <c r="A25" s="63" t="s">
        <v>92</v>
      </c>
      <c r="B25" s="43">
        <v>158633.44198</v>
      </c>
      <c r="C25" s="20">
        <v>116934.01514</v>
      </c>
      <c r="D25" s="45">
        <v>73.713344223308638</v>
      </c>
      <c r="E25" s="20">
        <f>IF(158633.44198="","-",158633.44198/9218978.7701*100)</f>
        <v>1.7207268390127695</v>
      </c>
      <c r="F25" s="20">
        <f>IF(116934.01514="","-",116934.01514/8673668.27639*100)</f>
        <v>1.3481494958516929</v>
      </c>
      <c r="G25" s="20"/>
    </row>
    <row r="26" spans="1:7" x14ac:dyDescent="0.25">
      <c r="A26" s="63" t="s">
        <v>93</v>
      </c>
      <c r="B26" s="43">
        <v>177112.92392</v>
      </c>
      <c r="C26" s="20">
        <v>130902.36446</v>
      </c>
      <c r="D26" s="45">
        <v>73.908985049068008</v>
      </c>
      <c r="E26" s="20">
        <f>IF(177112.92392="","-",177112.92392/9218978.7701*100)</f>
        <v>1.9211772620025116</v>
      </c>
      <c r="F26" s="20">
        <f>IF(130902.36446="","-",130902.36446/8673668.27639*100)</f>
        <v>1.5091926540045393</v>
      </c>
      <c r="G26" s="20"/>
    </row>
    <row r="27" spans="1:7" x14ac:dyDescent="0.25">
      <c r="A27" s="63" t="s">
        <v>94</v>
      </c>
      <c r="B27" s="43">
        <v>1072526.3287500001</v>
      </c>
      <c r="C27" s="20">
        <v>899564.61607999995</v>
      </c>
      <c r="D27" s="45">
        <v>83.87342967406849</v>
      </c>
      <c r="E27" s="20">
        <f>IF(1072526.32875="","-",1072526.32875/9218978.7701*100)</f>
        <v>11.633895201370187</v>
      </c>
      <c r="F27" s="20">
        <f>IF(899564.61608="","-",899564.61608/8673668.27639*100)</f>
        <v>10.371213048677957</v>
      </c>
      <c r="G27" s="20"/>
    </row>
    <row r="28" spans="1:7" x14ac:dyDescent="0.25">
      <c r="A28" s="63" t="s">
        <v>95</v>
      </c>
      <c r="B28" s="43">
        <v>18403.100399999999</v>
      </c>
      <c r="C28" s="20">
        <v>22467.29522</v>
      </c>
      <c r="D28" s="45">
        <v>122.0842941225273</v>
      </c>
      <c r="E28" s="20">
        <f>IF(18403.1004="","-",18403.1004/9218978.7701*100)</f>
        <v>0.19962189803155797</v>
      </c>
      <c r="F28" s="20">
        <f>IF(22467.29522="","-",22467.29522/8673668.27639*100)</f>
        <v>0.25902875812252002</v>
      </c>
      <c r="G28" s="20"/>
    </row>
    <row r="29" spans="1:7" x14ac:dyDescent="0.25">
      <c r="A29" s="63" t="s">
        <v>96</v>
      </c>
      <c r="B29" s="43">
        <v>291.75499000000002</v>
      </c>
      <c r="C29" s="20">
        <v>56.07985</v>
      </c>
      <c r="D29" s="45">
        <v>19.221556416224448</v>
      </c>
      <c r="E29" s="20">
        <f>IF(291.75499="","-",291.75499/9218978.7701*100)</f>
        <v>3.1647213566241383E-3</v>
      </c>
      <c r="F29" s="20">
        <f>IF(56.07985="","-",56.07985/8673668.27639*100)</f>
        <v>6.4655285645003437E-4</v>
      </c>
      <c r="G29" s="20"/>
    </row>
    <row r="30" spans="1:7" x14ac:dyDescent="0.25">
      <c r="A30" s="63" t="s">
        <v>97</v>
      </c>
      <c r="B30" s="43">
        <v>757862.16801999998</v>
      </c>
      <c r="C30" s="20">
        <v>439424.55498999998</v>
      </c>
      <c r="D30" s="45">
        <v>57.982120434649211</v>
      </c>
      <c r="E30" s="20">
        <f>IF(757862.16802="","-",757862.16802/9218978.7701*100)</f>
        <v>8.2206737526935356</v>
      </c>
      <c r="F30" s="20">
        <f>IF(439424.55499="","-",439424.55499/8673668.27639*100)</f>
        <v>5.0661904627610399</v>
      </c>
    </row>
    <row r="31" spans="1:7" x14ac:dyDescent="0.25">
      <c r="A31" s="63" t="s">
        <v>98</v>
      </c>
      <c r="B31" s="20">
        <v>721.74222999999995</v>
      </c>
      <c r="C31" s="20">
        <v>312.27422999999999</v>
      </c>
      <c r="D31" s="43">
        <v>43.266725573200837</v>
      </c>
      <c r="E31" s="20">
        <f>IF(721.74223="","-",721.74223/9218978.7701*100)</f>
        <v>7.8288739783286335E-3</v>
      </c>
      <c r="F31" s="20">
        <f>IF(312.27423="","-",312.27423/8673668.27639*100)</f>
        <v>3.6002556248320027E-3</v>
      </c>
    </row>
    <row r="32" spans="1:7" x14ac:dyDescent="0.25">
      <c r="A32" s="58" t="s">
        <v>176</v>
      </c>
      <c r="B32" s="19">
        <v>2668601.3766200002</v>
      </c>
      <c r="C32" s="44">
        <v>2876037.5427199998</v>
      </c>
      <c r="D32" s="19">
        <v>107.77321663390336</v>
      </c>
      <c r="E32" s="19">
        <f>IF(2668601.37662="","-",2668601.37662/9218978.7701*100)</f>
        <v>28.946822019756681</v>
      </c>
      <c r="F32" s="19">
        <f>IF(2876037.54272="","-",2876037.54272/8673668.27639*100)</f>
        <v>33.158260738984744</v>
      </c>
    </row>
    <row r="33" spans="1:8" x14ac:dyDescent="0.25">
      <c r="A33" s="63" t="s">
        <v>102</v>
      </c>
      <c r="B33" s="45"/>
      <c r="C33" s="45"/>
      <c r="D33" s="19"/>
      <c r="E33" s="19"/>
      <c r="F33" s="19"/>
    </row>
    <row r="34" spans="1:8" x14ac:dyDescent="0.25">
      <c r="A34" s="63" t="s">
        <v>92</v>
      </c>
      <c r="B34" s="20">
        <v>294683.21857000003</v>
      </c>
      <c r="C34" s="20">
        <v>325002.49004</v>
      </c>
      <c r="D34" s="20">
        <v>110.28876758477438</v>
      </c>
      <c r="E34" s="20">
        <f>IF(294683.21857="","-",294683.21857/9218978.7701*100)</f>
        <v>3.1964844037362239</v>
      </c>
      <c r="F34" s="20">
        <f>IF(325002.49004="","-",325002.49004/8673668.27639*100)</f>
        <v>3.7470016108947477</v>
      </c>
    </row>
    <row r="35" spans="1:8" x14ac:dyDescent="0.25">
      <c r="A35" s="63" t="s">
        <v>93</v>
      </c>
      <c r="B35" s="45">
        <v>10747.107249999999</v>
      </c>
      <c r="C35" s="20">
        <v>17942.423889999998</v>
      </c>
      <c r="D35" s="20" t="s">
        <v>326</v>
      </c>
      <c r="E35" s="20">
        <f>IF(10747.10725="","-",10747.10725/9218978.7701*100)</f>
        <v>0.1165758975913492</v>
      </c>
      <c r="F35" s="20">
        <f>IF(17942.42389="","-",17942.42389/8673668.27639*100)</f>
        <v>0.20686084962275819</v>
      </c>
    </row>
    <row r="36" spans="1:8" x14ac:dyDescent="0.25">
      <c r="A36" s="63" t="s">
        <v>94</v>
      </c>
      <c r="B36" s="45">
        <v>2255366.9011400002</v>
      </c>
      <c r="C36" s="20">
        <v>2414694.2976000002</v>
      </c>
      <c r="D36" s="20">
        <v>107.06436706060846</v>
      </c>
      <c r="E36" s="20">
        <f>IF(2255366.90114="","-",2255366.90114/9218978.7701*100)</f>
        <v>24.464389791794002</v>
      </c>
      <c r="F36" s="20">
        <f>IF(2414694.2976="","-",2414694.2976/8673668.27639*100)</f>
        <v>27.83936646704457</v>
      </c>
    </row>
    <row r="37" spans="1:8" x14ac:dyDescent="0.25">
      <c r="A37" s="63" t="s">
        <v>95</v>
      </c>
      <c r="B37" s="20">
        <v>99619.580249999999</v>
      </c>
      <c r="C37" s="20">
        <v>107982.59488999999</v>
      </c>
      <c r="D37" s="20">
        <v>108.39495069042914</v>
      </c>
      <c r="E37" s="20">
        <f>IF(99619.58025="","-",99619.58025/9218978.7701*100)</f>
        <v>1.0805923598945377</v>
      </c>
      <c r="F37" s="20">
        <f>IF(107982.59489="","-",107982.59489/8673668.27639*100)</f>
        <v>1.2449472524091341</v>
      </c>
    </row>
    <row r="38" spans="1:8" x14ac:dyDescent="0.25">
      <c r="A38" s="63" t="s">
        <v>96</v>
      </c>
      <c r="B38" s="20">
        <v>3120.8527800000002</v>
      </c>
      <c r="C38" s="20">
        <v>3156.26872</v>
      </c>
      <c r="D38" s="20">
        <v>101.13481610625669</v>
      </c>
      <c r="E38" s="20">
        <f>IF(3120.85278="","-",3120.85278/9218978.7701*100)</f>
        <v>3.3852478217239107E-2</v>
      </c>
      <c r="F38" s="20">
        <f>IF(3156.26872="","-",3156.26872/8673668.27639*100)</f>
        <v>3.6389087286073228E-2</v>
      </c>
    </row>
    <row r="39" spans="1:8" x14ac:dyDescent="0.25">
      <c r="A39" s="67" t="s">
        <v>98</v>
      </c>
      <c r="B39" s="46">
        <v>5063.7166299999999</v>
      </c>
      <c r="C39" s="46">
        <v>7259.4675800000005</v>
      </c>
      <c r="D39" s="46">
        <v>143.36243732501282</v>
      </c>
      <c r="E39" s="46">
        <f>IF(5063.71663="","-",5063.71663/9218978.7701*100)</f>
        <v>5.4927088523331884E-2</v>
      </c>
      <c r="F39" s="46">
        <f>IF(7259.46758="","-",7259.46758/8673668.27639*100)</f>
        <v>8.3695471727463944E-2</v>
      </c>
    </row>
    <row r="40" spans="1:8" s="18" customFormat="1" ht="14.25" customHeight="1" x14ac:dyDescent="0.2">
      <c r="A40" s="26" t="s">
        <v>16</v>
      </c>
      <c r="B40" s="26"/>
      <c r="C40" s="17"/>
      <c r="D40" s="17"/>
      <c r="E40" s="17"/>
      <c r="F40" s="17"/>
      <c r="G40" s="27"/>
      <c r="H40" s="27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82"/>
  <sheetViews>
    <sheetView zoomScaleNormal="100" workbookViewId="0">
      <selection activeCell="H86" sqref="H86"/>
    </sheetView>
  </sheetViews>
  <sheetFormatPr defaultRowHeight="15.75" x14ac:dyDescent="0.25"/>
  <cols>
    <col min="1" max="1" width="6.75" style="22" customWidth="1"/>
    <col min="2" max="2" width="41" style="22" customWidth="1"/>
    <col min="3" max="4" width="13.75" style="22" customWidth="1"/>
    <col min="5" max="5" width="11.125" style="22" customWidth="1"/>
    <col min="6" max="7" width="9.75" style="22" customWidth="1"/>
    <col min="8" max="8" width="11.375" style="22" customWidth="1"/>
    <col min="9" max="9" width="11" style="22" customWidth="1"/>
    <col min="10" max="12" width="9" style="22"/>
  </cols>
  <sheetData>
    <row r="1" spans="1:12" s="25" customFormat="1" ht="12.75" x14ac:dyDescent="0.2">
      <c r="A1" s="24"/>
      <c r="B1" s="85" t="s">
        <v>305</v>
      </c>
      <c r="C1" s="85"/>
      <c r="D1" s="85"/>
      <c r="E1" s="85"/>
      <c r="F1" s="85"/>
      <c r="G1" s="85"/>
      <c r="H1" s="85"/>
      <c r="I1" s="85"/>
      <c r="J1" s="24"/>
      <c r="K1" s="24"/>
      <c r="L1" s="24"/>
    </row>
    <row r="2" spans="1:12" s="25" customFormat="1" ht="12.75" x14ac:dyDescent="0.2">
      <c r="A2" s="24"/>
      <c r="B2" s="85" t="s">
        <v>252</v>
      </c>
      <c r="C2" s="85"/>
      <c r="D2" s="85"/>
      <c r="E2" s="85"/>
      <c r="F2" s="85"/>
      <c r="G2" s="85"/>
      <c r="H2" s="85"/>
      <c r="I2" s="85"/>
      <c r="J2" s="24"/>
      <c r="K2" s="24"/>
      <c r="L2" s="24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</row>
    <row r="4" spans="1:12" ht="44.25" customHeight="1" x14ac:dyDescent="0.25">
      <c r="A4" s="93" t="s">
        <v>178</v>
      </c>
      <c r="B4" s="75"/>
      <c r="C4" s="77" t="s">
        <v>339</v>
      </c>
      <c r="D4" s="84"/>
      <c r="E4" s="82" t="s">
        <v>362</v>
      </c>
      <c r="F4" s="77" t="s">
        <v>91</v>
      </c>
      <c r="G4" s="78"/>
      <c r="H4" s="87" t="s">
        <v>306</v>
      </c>
      <c r="I4" s="95"/>
    </row>
    <row r="5" spans="1:12" ht="20.25" customHeight="1" x14ac:dyDescent="0.25">
      <c r="A5" s="94"/>
      <c r="B5" s="76"/>
      <c r="C5" s="13">
        <v>2022</v>
      </c>
      <c r="D5" s="13">
        <v>2023</v>
      </c>
      <c r="E5" s="83"/>
      <c r="F5" s="13">
        <v>2022</v>
      </c>
      <c r="G5" s="13">
        <v>2023</v>
      </c>
      <c r="H5" s="13" t="s">
        <v>357</v>
      </c>
      <c r="I5" s="12" t="s">
        <v>359</v>
      </c>
    </row>
    <row r="6" spans="1:12" s="25" customFormat="1" ht="15" customHeight="1" x14ac:dyDescent="0.2">
      <c r="A6" s="35"/>
      <c r="B6" s="57" t="s">
        <v>87</v>
      </c>
      <c r="C6" s="52">
        <v>4332145.1178099997</v>
      </c>
      <c r="D6" s="53">
        <v>4048616.5172000001</v>
      </c>
      <c r="E6" s="53">
        <f>IF(4332145.11781="","-",4048616.5172/4332145.11781*100)</f>
        <v>93.455237696346387</v>
      </c>
      <c r="F6" s="53">
        <v>100</v>
      </c>
      <c r="G6" s="53">
        <v>100</v>
      </c>
      <c r="H6" s="53">
        <f>IF(3144504.53867="","-",(4332145.11781-3144504.53867)/3144504.53867*100)</f>
        <v>37.768766574664383</v>
      </c>
      <c r="I6" s="53">
        <f>IF(4332145.11781="","-",(4048616.5172-4332145.11781)/4332145.11781*100)</f>
        <v>-6.5447623036536218</v>
      </c>
      <c r="J6" s="24"/>
      <c r="K6" s="24"/>
      <c r="L6" s="24"/>
    </row>
    <row r="7" spans="1:12" s="25" customFormat="1" ht="12.75" x14ac:dyDescent="0.2">
      <c r="A7" s="40"/>
      <c r="B7" s="41" t="s">
        <v>322</v>
      </c>
      <c r="C7" s="44"/>
      <c r="D7" s="19"/>
      <c r="E7" s="19"/>
      <c r="F7" s="19"/>
      <c r="G7" s="19"/>
      <c r="H7" s="19"/>
      <c r="I7" s="19"/>
      <c r="J7" s="24"/>
      <c r="K7" s="24"/>
      <c r="L7" s="24"/>
    </row>
    <row r="8" spans="1:12" x14ac:dyDescent="0.25">
      <c r="A8" s="28" t="s">
        <v>179</v>
      </c>
      <c r="B8" s="29" t="s">
        <v>153</v>
      </c>
      <c r="C8" s="44">
        <v>926039.96066999994</v>
      </c>
      <c r="D8" s="19">
        <v>951628.89612000005</v>
      </c>
      <c r="E8" s="19">
        <f>IF(926039.96067="","-",951628.89612/926039.96067*100)</f>
        <v>102.76326471176107</v>
      </c>
      <c r="F8" s="19">
        <f>IF(926039.96067="","-",926039.96067/4332145.11781*100)</f>
        <v>21.376014318239982</v>
      </c>
      <c r="G8" s="19">
        <f>IF(951628.89612="","-",951628.89612/4048616.5172*100)</f>
        <v>23.505039118353967</v>
      </c>
      <c r="H8" s="19">
        <f>IF(3144504.53867="","-",(926039.96067-810985.03706)/3144504.53867*100)</f>
        <v>3.6589205769969593</v>
      </c>
      <c r="I8" s="19">
        <f>IF(4332145.11781="","-",(951628.89612-926039.96067)/4332145.11781*100)</f>
        <v>0.590675860436917</v>
      </c>
    </row>
    <row r="9" spans="1:12" x14ac:dyDescent="0.25">
      <c r="A9" s="30" t="s">
        <v>180</v>
      </c>
      <c r="B9" s="31" t="s">
        <v>17</v>
      </c>
      <c r="C9" s="43">
        <v>6125.9258600000003</v>
      </c>
      <c r="D9" s="20">
        <v>8752.0478399999993</v>
      </c>
      <c r="E9" s="20">
        <f>IF(OR(6125.92586="",8752.04784=""),"-",8752.04784/6125.92586*100)</f>
        <v>142.86898078782821</v>
      </c>
      <c r="F9" s="20">
        <f>IF(6125.92586="","-",6125.92586/4332145.11781*100)</f>
        <v>0.14140629395851814</v>
      </c>
      <c r="G9" s="20">
        <f>IF(8752.04784="","-",8752.04784/4048616.5172*100)</f>
        <v>0.21617379178339333</v>
      </c>
      <c r="H9" s="20">
        <f>IF(OR(3144504.53867="",7186.10106="",6125.92586=""),"-",(6125.92586-7186.10106)/3144504.53867*100)</f>
        <v>-3.3715174742549793E-2</v>
      </c>
      <c r="I9" s="20">
        <f>IF(OR(4332145.11781="",8752.04784="",6125.92586=""),"-",(8752.04784-6125.92586)/4332145.11781*100)</f>
        <v>6.0619436989857001E-2</v>
      </c>
      <c r="J9" s="28"/>
    </row>
    <row r="10" spans="1:12" x14ac:dyDescent="0.25">
      <c r="A10" s="30" t="s">
        <v>181</v>
      </c>
      <c r="B10" s="31" t="s">
        <v>154</v>
      </c>
      <c r="C10" s="43">
        <v>4624.4686199999996</v>
      </c>
      <c r="D10" s="20">
        <v>4713.5154199999997</v>
      </c>
      <c r="E10" s="20">
        <f>IF(OR(4624.46862="",4713.51542=""),"-",4713.51542/4624.46862*100)</f>
        <v>101.92555744923619</v>
      </c>
      <c r="F10" s="20">
        <f>IF(4624.46862="","-",4624.46862/4332145.11781*100)</f>
        <v>0.10674777723830675</v>
      </c>
      <c r="G10" s="20">
        <f>IF(4713.51542="","-",4713.51542/4048616.5172*100)</f>
        <v>0.11642286692195387</v>
      </c>
      <c r="H10" s="20">
        <f>IF(OR(3144504.53867="",8122.7079="",4624.46862=""),"-",(4624.46862-8122.7079)/3144504.53867*100)</f>
        <v>-0.1112492997539007</v>
      </c>
      <c r="I10" s="20">
        <f>IF(OR(4332145.11781="",4713.51542="",4624.46862=""),"-",(4713.51542-4624.46862)/4332145.11781*100)</f>
        <v>2.0554897765062705E-3</v>
      </c>
      <c r="J10" s="30"/>
    </row>
    <row r="11" spans="1:12" s="2" customFormat="1" x14ac:dyDescent="0.25">
      <c r="A11" s="30" t="s">
        <v>182</v>
      </c>
      <c r="B11" s="31" t="s">
        <v>155</v>
      </c>
      <c r="C11" s="43">
        <v>16482.41718</v>
      </c>
      <c r="D11" s="20">
        <v>16030.066790000001</v>
      </c>
      <c r="E11" s="20">
        <f>IF(OR(16482.41718="",16030.06679=""),"-",16030.06679/16482.41718*100)</f>
        <v>97.255557937528195</v>
      </c>
      <c r="F11" s="20">
        <f>IF(16482.41718="","-",16482.41718/4332145.11781*100)</f>
        <v>0.38046779901805888</v>
      </c>
      <c r="G11" s="20">
        <f>IF(16030.06679="","-",16030.06679/4048616.5172*100)</f>
        <v>0.39593937143462293</v>
      </c>
      <c r="H11" s="20">
        <f>IF(OR(3144504.53867="",12314.35013="",16482.41718=""),"-",(16482.41718-12314.35013)/3144504.53867*100)</f>
        <v>0.13255083587072594</v>
      </c>
      <c r="I11" s="20">
        <f>IF(OR(4332145.11781="",16030.06679="",16482.41718=""),"-",(16030.06679-16482.41718)/4332145.11781*100)</f>
        <v>-1.0441718310412308E-2</v>
      </c>
      <c r="J11" s="30"/>
      <c r="K11" s="15"/>
      <c r="L11" s="15"/>
    </row>
    <row r="12" spans="1:12" s="2" customFormat="1" x14ac:dyDescent="0.25">
      <c r="A12" s="30" t="s">
        <v>183</v>
      </c>
      <c r="B12" s="31" t="s">
        <v>156</v>
      </c>
      <c r="C12" s="43">
        <v>56.987340000000003</v>
      </c>
      <c r="D12" s="20">
        <v>265.65008</v>
      </c>
      <c r="E12" s="20" t="s">
        <v>377</v>
      </c>
      <c r="F12" s="20">
        <f>IF(56.98734="","-",56.98734/4332145.11781*100)</f>
        <v>1.3154531635082537E-3</v>
      </c>
      <c r="G12" s="20">
        <f>IF(265.65008="","-",265.65008/4048616.5172*100)</f>
        <v>6.5615026484089449E-3</v>
      </c>
      <c r="H12" s="20">
        <f>IF(OR(3144504.53867="",40.01104="",56.98734=""),"-",(56.98734-40.01104)/3144504.53867*100)</f>
        <v>5.3987201453302089E-4</v>
      </c>
      <c r="I12" s="20">
        <f>IF(OR(4332145.11781="",265.65008="",56.98734=""),"-",(265.65008-56.98734)/4332145.11781*100)</f>
        <v>4.8166147330143882E-3</v>
      </c>
      <c r="J12" s="30"/>
      <c r="K12" s="15"/>
      <c r="L12" s="15"/>
    </row>
    <row r="13" spans="1:12" s="2" customFormat="1" x14ac:dyDescent="0.25">
      <c r="A13" s="30" t="s">
        <v>184</v>
      </c>
      <c r="B13" s="31" t="s">
        <v>157</v>
      </c>
      <c r="C13" s="43">
        <v>437921.83597000001</v>
      </c>
      <c r="D13" s="20">
        <v>429273.51877999998</v>
      </c>
      <c r="E13" s="20">
        <f>IF(OR(437921.83597="",429273.51878=""),"-",429273.51878/437921.83597*100)</f>
        <v>98.025145932528361</v>
      </c>
      <c r="F13" s="20">
        <f>IF(437921.83597="","-",437921.83597/4332145.11781*100)</f>
        <v>10.108660353265813</v>
      </c>
      <c r="G13" s="20">
        <f>IF(429273.51878="","-",429273.51878/4048616.5172*100)</f>
        <v>10.602968123957639</v>
      </c>
      <c r="H13" s="20">
        <f>IF(OR(3144504.53867="",388688.8284="",437921.83597=""),"-",(437921.83597-388688.8284)/3144504.53867*100)</f>
        <v>1.5656840994996182</v>
      </c>
      <c r="I13" s="20">
        <f>IF(OR(4332145.11781="",429273.51878="",437921.83597=""),"-",(429273.51878-437921.83597)/4332145.11781*100)</f>
        <v>-0.19963129015336303</v>
      </c>
      <c r="J13" s="30"/>
      <c r="K13" s="15"/>
      <c r="L13" s="15"/>
    </row>
    <row r="14" spans="1:12" s="2" customFormat="1" x14ac:dyDescent="0.25">
      <c r="A14" s="30" t="s">
        <v>185</v>
      </c>
      <c r="B14" s="31" t="s">
        <v>158</v>
      </c>
      <c r="C14" s="43">
        <v>359900.44870000001</v>
      </c>
      <c r="D14" s="20">
        <v>384602.45364999998</v>
      </c>
      <c r="E14" s="20">
        <f>IF(OR(359900.4487="",384602.45365=""),"-",384602.45365/359900.4487*100)</f>
        <v>106.86356603311454</v>
      </c>
      <c r="F14" s="20">
        <f>IF(359900.4487="","-",359900.4487/4332145.11781*100)</f>
        <v>8.3076729636872848</v>
      </c>
      <c r="G14" s="20">
        <f>IF(384602.45365="","-",384602.45365/4048616.5172*100)</f>
        <v>9.4996019508409475</v>
      </c>
      <c r="H14" s="20">
        <f>IF(OR(3144504.53867="",314955.54215="",359900.4487=""),"-",(359900.4487-314955.54215)/3144504.53867*100)</f>
        <v>1.4293160018465076</v>
      </c>
      <c r="I14" s="20">
        <f>IF(OR(4332145.11781="",384602.45365="",359900.4487=""),"-",(384602.45365-359900.4487)/4332145.11781*100)</f>
        <v>0.57020261967787933</v>
      </c>
      <c r="J14" s="30"/>
      <c r="K14" s="15"/>
      <c r="L14" s="15"/>
    </row>
    <row r="15" spans="1:12" s="2" customFormat="1" x14ac:dyDescent="0.25">
      <c r="A15" s="30" t="s">
        <v>186</v>
      </c>
      <c r="B15" s="31" t="s">
        <v>116</v>
      </c>
      <c r="C15" s="43">
        <v>26447.832859999999</v>
      </c>
      <c r="D15" s="20">
        <v>19307.53584</v>
      </c>
      <c r="E15" s="20">
        <f>IF(OR(26447.83286="",19307.53584=""),"-",19307.53584/26447.83286*100)</f>
        <v>73.002336116547895</v>
      </c>
      <c r="F15" s="20">
        <f>IF(26447.83286="","-",26447.83286/4332145.11781*100)</f>
        <v>0.61050200629867157</v>
      </c>
      <c r="G15" s="20">
        <f>IF(19307.53584="","-",19307.53584/4048616.5172*100)</f>
        <v>0.47689218670068023</v>
      </c>
      <c r="H15" s="20">
        <f>IF(OR(3144504.53867="",32712.44378="",26447.83286=""),"-",(26447.83286-32712.44378)/3144504.53867*100)</f>
        <v>-0.199224101697423</v>
      </c>
      <c r="I15" s="20">
        <f>IF(OR(4332145.11781="",19307.53584="",26447.83286=""),"-",(19307.53584-26447.83286)/4332145.11781*100)</f>
        <v>-0.16482127966224697</v>
      </c>
      <c r="J15" s="30"/>
      <c r="K15" s="15"/>
      <c r="L15" s="15"/>
    </row>
    <row r="16" spans="1:12" s="2" customFormat="1" ht="17.25" customHeight="1" x14ac:dyDescent="0.25">
      <c r="A16" s="30" t="s">
        <v>187</v>
      </c>
      <c r="B16" s="31" t="s">
        <v>159</v>
      </c>
      <c r="C16" s="43">
        <v>12188.768340000001</v>
      </c>
      <c r="D16" s="20">
        <v>12860.779710000001</v>
      </c>
      <c r="E16" s="20">
        <f>IF(OR(12188.76834="",12860.77971=""),"-",12860.77971/12188.76834*100)</f>
        <v>105.51336567612542</v>
      </c>
      <c r="F16" s="20">
        <f>IF(12188.76834="","-",12188.76834/4332145.11781*100)</f>
        <v>0.2813564183224247</v>
      </c>
      <c r="G16" s="20">
        <f>IF(12860.77971="","-",12860.77971/4048616.5172*100)</f>
        <v>0.31765862870347727</v>
      </c>
      <c r="H16" s="20">
        <f>IF(OR(3144504.53867="",10800.28922="",12188.76834=""),"-",(12188.76834-10800.28922)/3144504.53867*100)</f>
        <v>4.4155735917216103E-2</v>
      </c>
      <c r="I16" s="20">
        <f>IF(OR(4332145.11781="",12860.77971="",12188.76834=""),"-",(12860.77971-12188.76834)/4332145.11781*100)</f>
        <v>1.5512208195364368E-2</v>
      </c>
      <c r="J16" s="30"/>
      <c r="K16" s="15"/>
      <c r="L16" s="15"/>
    </row>
    <row r="17" spans="1:12" s="2" customFormat="1" ht="15.75" customHeight="1" x14ac:dyDescent="0.25">
      <c r="A17" s="30" t="s">
        <v>188</v>
      </c>
      <c r="B17" s="31" t="s">
        <v>117</v>
      </c>
      <c r="C17" s="43">
        <v>53989.760390000003</v>
      </c>
      <c r="D17" s="20">
        <v>65115.465360000002</v>
      </c>
      <c r="E17" s="20">
        <f>IF(OR(53989.76039="",65115.46536=""),"-",65115.46536/53989.76039*100)</f>
        <v>120.60706491311026</v>
      </c>
      <c r="F17" s="20">
        <f>IF(53989.76039="","-",53989.76039/4332145.11781*100)</f>
        <v>1.2462592762195623</v>
      </c>
      <c r="G17" s="20">
        <f>IF(65115.46536="","-",65115.46536/4048616.5172*100)</f>
        <v>1.608338677752406</v>
      </c>
      <c r="H17" s="20">
        <f>IF(OR(3144504.53867="",30560.51819="",53989.76039=""),"-",(53989.76039-30560.51819)/3144504.53867*100)</f>
        <v>0.74508533576197788</v>
      </c>
      <c r="I17" s="20">
        <f>IF(OR(4332145.11781="",65115.46536="",53989.76039=""),"-",(65115.46536-53989.76039)/4332145.11781*100)</f>
        <v>0.25681745803622341</v>
      </c>
      <c r="J17" s="30"/>
      <c r="K17" s="15"/>
      <c r="L17" s="15"/>
    </row>
    <row r="18" spans="1:12" s="2" customFormat="1" x14ac:dyDescent="0.25">
      <c r="A18" s="30" t="s">
        <v>189</v>
      </c>
      <c r="B18" s="31" t="s">
        <v>160</v>
      </c>
      <c r="C18" s="43">
        <v>8301.51541</v>
      </c>
      <c r="D18" s="20">
        <v>10707.862649999999</v>
      </c>
      <c r="E18" s="20">
        <f>IF(OR(8301.51541="",10707.86265=""),"-",10707.86265/8301.51541*100)</f>
        <v>128.98684301785809</v>
      </c>
      <c r="F18" s="20">
        <f>IF(8301.51541="","-",8301.51541/4332145.11781*100)</f>
        <v>0.19162597706783677</v>
      </c>
      <c r="G18" s="20">
        <f>IF(10707.86265="","-",10707.86265/4048616.5172*100)</f>
        <v>0.26448201761043783</v>
      </c>
      <c r="H18" s="20">
        <f>IF(OR(3144504.53867="",5604.24519="",8301.51541=""),"-",(8301.51541-5604.24519)/3144504.53867*100)</f>
        <v>8.5777272280256833E-2</v>
      </c>
      <c r="I18" s="20">
        <f>IF(OR(4332145.11781="",10707.86265="",8301.51541=""),"-",(10707.86265-8301.51541)/4332145.11781*100)</f>
        <v>5.5546321154090604E-2</v>
      </c>
      <c r="J18" s="30"/>
      <c r="K18" s="15"/>
      <c r="L18" s="15"/>
    </row>
    <row r="19" spans="1:12" s="2" customFormat="1" x14ac:dyDescent="0.25">
      <c r="A19" s="28" t="s">
        <v>190</v>
      </c>
      <c r="B19" s="29" t="s">
        <v>161</v>
      </c>
      <c r="C19" s="44">
        <v>192979.34095000001</v>
      </c>
      <c r="D19" s="19">
        <v>216286.34440999999</v>
      </c>
      <c r="E19" s="19">
        <f>IF(192979.34095="","-",216286.34441/192979.34095*100)</f>
        <v>112.07746038786541</v>
      </c>
      <c r="F19" s="19">
        <f>IF(192979.34095="","-",192979.34095/4332145.11781*100)</f>
        <v>4.4545908713130906</v>
      </c>
      <c r="G19" s="19">
        <f>IF(216286.34441="","-",216286.34441/4048616.5172*100)</f>
        <v>5.3422284746193345</v>
      </c>
      <c r="H19" s="19">
        <f>IF(3144504.53867="","-",(192979.34095-209509.97483)/3144504.53867*100)</f>
        <v>-0.52569915790268751</v>
      </c>
      <c r="I19" s="19">
        <f>IF(4332145.11781="","-",(216286.34441-192979.34095)/4332145.11781*100)</f>
        <v>0.53800144792430715</v>
      </c>
      <c r="J19" s="30"/>
      <c r="K19" s="15"/>
      <c r="L19" s="15"/>
    </row>
    <row r="20" spans="1:12" s="2" customFormat="1" x14ac:dyDescent="0.25">
      <c r="A20" s="30" t="s">
        <v>191</v>
      </c>
      <c r="B20" s="31" t="s">
        <v>162</v>
      </c>
      <c r="C20" s="43">
        <v>181188.23551</v>
      </c>
      <c r="D20" s="20">
        <v>207639.57852000001</v>
      </c>
      <c r="E20" s="20">
        <f>IF(OR(181188.23551="",207639.57852=""),"-",207639.57852/181188.23551*100)</f>
        <v>114.59881925310771</v>
      </c>
      <c r="F20" s="20">
        <f>IF(181188.23551="","-",181188.23551/4332145.11781*100)</f>
        <v>4.1824138061560339</v>
      </c>
      <c r="G20" s="20">
        <f>IF(207639.57852="","-",207639.57852/4048616.5172*100)</f>
        <v>5.1286551254699306</v>
      </c>
      <c r="H20" s="20">
        <f>IF(OR(3144504.53867="",196797.54587="",181188.23551=""),"-",(181188.23551-196797.54587)/3144504.53867*100)</f>
        <v>-0.4963996765799587</v>
      </c>
      <c r="I20" s="20">
        <f>IF(OR(4332145.11781="",207639.57852="",181188.23551=""),"-",(207639.57852-181188.23551)/4332145.11781*100)</f>
        <v>0.61058303197774189</v>
      </c>
      <c r="J20" s="28"/>
      <c r="K20" s="15"/>
      <c r="L20" s="15"/>
    </row>
    <row r="21" spans="1:12" s="2" customFormat="1" x14ac:dyDescent="0.25">
      <c r="A21" s="30" t="s">
        <v>192</v>
      </c>
      <c r="B21" s="31" t="s">
        <v>163</v>
      </c>
      <c r="C21" s="43">
        <v>11791.105439999999</v>
      </c>
      <c r="D21" s="20">
        <v>8646.7658900000006</v>
      </c>
      <c r="E21" s="20">
        <f>IF(OR(11791.10544="",8646.76589=""),"-",8646.76589/11791.10544*100)</f>
        <v>73.332953674273995</v>
      </c>
      <c r="F21" s="20">
        <f>IF(11791.10544="","-",11791.10544/4332145.11781*100)</f>
        <v>0.27217706515705725</v>
      </c>
      <c r="G21" s="20">
        <f>IF(8646.76589="","-",8646.76589/4048616.5172*100)</f>
        <v>0.21357334914940412</v>
      </c>
      <c r="H21" s="20">
        <f>IF(OR(3144504.53867="",12712.42896="",11791.10544=""),"-",(11791.10544-12712.42896)/3144504.53867*100)</f>
        <v>-2.9299481322729561E-2</v>
      </c>
      <c r="I21" s="20">
        <f>IF(OR(4332145.11781="",8646.76589="",11791.10544=""),"-",(8646.76589-11791.10544)/4332145.11781*100)</f>
        <v>-7.2581584053433915E-2</v>
      </c>
      <c r="J21" s="30"/>
      <c r="K21" s="15"/>
      <c r="L21" s="15"/>
    </row>
    <row r="22" spans="1:12" s="2" customFormat="1" x14ac:dyDescent="0.25">
      <c r="A22" s="28" t="s">
        <v>193</v>
      </c>
      <c r="B22" s="29" t="s">
        <v>18</v>
      </c>
      <c r="C22" s="44">
        <v>482433.14403000002</v>
      </c>
      <c r="D22" s="19">
        <v>352870.30345000001</v>
      </c>
      <c r="E22" s="19">
        <f>IF(482433.14403="","-",352870.30345/482433.14403*100)</f>
        <v>73.143876579934314</v>
      </c>
      <c r="F22" s="19">
        <f>IF(482433.14403="","-",482433.14403/4332145.11781*100)</f>
        <v>11.136126120213657</v>
      </c>
      <c r="G22" s="19">
        <f>IF(352870.30345="","-",352870.30345/4048616.5172*100)</f>
        <v>8.7158243303824463</v>
      </c>
      <c r="H22" s="19">
        <f>IF(3144504.53867="","-",(482433.14403-364785.05908)/3144504.53867*100)</f>
        <v>3.7413870294415439</v>
      </c>
      <c r="I22" s="19">
        <f>IF(4332145.11781="","-",(352870.30345-482433.14403)/4332145.11781*100)</f>
        <v>-2.9907317750587508</v>
      </c>
      <c r="J22" s="30"/>
      <c r="K22" s="15"/>
      <c r="L22" s="15"/>
    </row>
    <row r="23" spans="1:12" s="2" customFormat="1" x14ac:dyDescent="0.25">
      <c r="A23" s="30" t="s">
        <v>194</v>
      </c>
      <c r="B23" s="31" t="s">
        <v>170</v>
      </c>
      <c r="C23" s="43">
        <v>1113.1694199999999</v>
      </c>
      <c r="D23" s="20">
        <v>1252.3929700000001</v>
      </c>
      <c r="E23" s="20">
        <f>IF(OR(1113.16942="",1252.39297=""),"-",1252.39297/1113.16942*100)</f>
        <v>112.50695064907552</v>
      </c>
      <c r="F23" s="20">
        <f>IF(1113.16942="","-",1113.16942/4332145.11781*100)</f>
        <v>2.5695570894511795E-2</v>
      </c>
      <c r="G23" s="20">
        <f>IF(1252.39297="","-",1252.39297/4048616.5172*100)</f>
        <v>3.0933850234503013E-2</v>
      </c>
      <c r="H23" s="20">
        <f>IF(OR(3144504.53867="",1167.08022="",1113.16942=""),"-",(1113.16942-1167.08022)/3144504.53867*100)</f>
        <v>-1.714444973350308E-3</v>
      </c>
      <c r="I23" s="20">
        <f>IF(OR(4332145.11781="",1252.39297="",1113.16942=""),"-",(1252.39297-1113.16942)/4332145.11781*100)</f>
        <v>3.2137323707748027E-3</v>
      </c>
      <c r="J23" s="28"/>
      <c r="K23" s="15"/>
      <c r="L23" s="15"/>
    </row>
    <row r="24" spans="1:12" s="2" customFormat="1" x14ac:dyDescent="0.25">
      <c r="A24" s="30" t="s">
        <v>195</v>
      </c>
      <c r="B24" s="31" t="s">
        <v>164</v>
      </c>
      <c r="C24" s="43">
        <v>391319.98839999997</v>
      </c>
      <c r="D24" s="20">
        <v>282312.42533</v>
      </c>
      <c r="E24" s="20">
        <f>IF(OR(391319.9884="",282312.42533=""),"-",282312.42533/391319.9884*100)</f>
        <v>72.143625089098578</v>
      </c>
      <c r="F24" s="20">
        <f>IF(391319.9884="","-",391319.9884/4332145.11781*100)</f>
        <v>9.0329381347645477</v>
      </c>
      <c r="G24" s="20">
        <f>IF(282312.42533="","-",282312.42533/4048616.5172*100)</f>
        <v>6.9730591704754898</v>
      </c>
      <c r="H24" s="20">
        <f>IF(OR(3144504.53867="",256287.58593="",391319.9884=""),"-",(391319.9884-256287.58593)/3144504.53867*100)</f>
        <v>4.2942346181860911</v>
      </c>
      <c r="I24" s="20">
        <f>IF(OR(4332145.11781="",282312.42533="",391319.9884=""),"-",(282312.42533-391319.9884)/4332145.11781*100)</f>
        <v>-2.516249112289799</v>
      </c>
      <c r="J24" s="30"/>
      <c r="K24" s="15"/>
      <c r="L24" s="15"/>
    </row>
    <row r="25" spans="1:12" s="2" customFormat="1" x14ac:dyDescent="0.25">
      <c r="A25" s="30" t="s">
        <v>248</v>
      </c>
      <c r="B25" s="31" t="s">
        <v>165</v>
      </c>
      <c r="C25" s="43">
        <v>83.861919999999998</v>
      </c>
      <c r="D25" s="20">
        <v>23.587050000000001</v>
      </c>
      <c r="E25" s="20">
        <f>IF(OR(83.86192="",23.58705=""),"-",23.58705/83.86192*100)</f>
        <v>28.126055306150878</v>
      </c>
      <c r="F25" s="20">
        <f>IF(83.86192="","-",83.86192/4332145.11781*100)</f>
        <v>1.9358058818305271E-3</v>
      </c>
      <c r="G25" s="20">
        <f>IF(23.58705="","-",23.58705/4048616.5172*100)</f>
        <v>5.8259531125740374E-4</v>
      </c>
      <c r="H25" s="20">
        <f>IF(OR(3144504.53867="",1.09912="",83.86192=""),"-",(83.86192-1.09912)/3144504.53867*100)</f>
        <v>2.631982208396028E-3</v>
      </c>
      <c r="I25" s="20">
        <f>IF(OR(4332145.11781="",23.58705="",83.86192=""),"-",(23.58705-83.86192)/4332145.11781*100)</f>
        <v>-1.3913400488871515E-3</v>
      </c>
      <c r="J25" s="30"/>
      <c r="K25" s="15"/>
      <c r="L25" s="15"/>
    </row>
    <row r="26" spans="1:12" s="2" customFormat="1" x14ac:dyDescent="0.25">
      <c r="A26" s="30" t="s">
        <v>196</v>
      </c>
      <c r="B26" s="31" t="s">
        <v>166</v>
      </c>
      <c r="C26" s="43">
        <v>3919.2075100000002</v>
      </c>
      <c r="D26" s="20">
        <v>2713.1956300000002</v>
      </c>
      <c r="E26" s="20">
        <f>IF(OR(3919.20751="",2713.19563=""),"-",2713.19563/3919.20751*100)</f>
        <v>69.228169804155129</v>
      </c>
      <c r="F26" s="20">
        <f>IF(3919.20751="","-",3919.20751/4332145.11781*100)</f>
        <v>9.0468056896054555E-2</v>
      </c>
      <c r="G26" s="20">
        <f>IF(2713.19563="","-",2713.19563/4048616.5172*100)</f>
        <v>6.7015377190537934E-2</v>
      </c>
      <c r="H26" s="20">
        <f>IF(OR(3144504.53867="",2379.15321="",3919.20751=""),"-",(3919.20751-2379.15321)/3144504.53867*100)</f>
        <v>4.8976055879740646E-2</v>
      </c>
      <c r="I26" s="20">
        <f>IF(OR(4332145.11781="",2713.19563="",3919.20751=""),"-",(2713.19563-3919.20751)/4332145.11781*100)</f>
        <v>-2.7838676849534234E-2</v>
      </c>
      <c r="J26" s="30"/>
      <c r="K26" s="15"/>
      <c r="L26" s="15"/>
    </row>
    <row r="27" spans="1:12" s="2" customFormat="1" x14ac:dyDescent="0.25">
      <c r="A27" s="30" t="s">
        <v>197</v>
      </c>
      <c r="B27" s="31" t="s">
        <v>118</v>
      </c>
      <c r="C27" s="43">
        <v>4594.4917999999998</v>
      </c>
      <c r="D27" s="20">
        <v>3786.2919700000002</v>
      </c>
      <c r="E27" s="20">
        <f>IF(OR(4594.4918="",3786.29197=""),"-",3786.29197/4594.4918*100)</f>
        <v>82.409374851860662</v>
      </c>
      <c r="F27" s="20">
        <f>IF(4594.4918="","-",4594.4918/4332145.11781*100)</f>
        <v>0.1060558147304775</v>
      </c>
      <c r="G27" s="20">
        <f>IF(3786.29197="","-",3786.29197/4048616.5172*100)</f>
        <v>9.3520637331652681E-2</v>
      </c>
      <c r="H27" s="20">
        <f>IF(OR(3144504.53867="",5278.57428="",4594.4918=""),"-",(4594.4918-5278.57428)/3144504.53867*100)</f>
        <v>-2.1754857453293409E-2</v>
      </c>
      <c r="I27" s="20">
        <f>IF(OR(4332145.11781="",3786.29197="",4594.4918=""),"-",(3786.29197-4594.4918)/4332145.11781*100)</f>
        <v>-1.865588081704344E-2</v>
      </c>
      <c r="J27" s="30"/>
      <c r="K27" s="15"/>
      <c r="L27" s="15"/>
    </row>
    <row r="28" spans="1:12" s="2" customFormat="1" ht="27.75" customHeight="1" x14ac:dyDescent="0.25">
      <c r="A28" s="30" t="s">
        <v>198</v>
      </c>
      <c r="B28" s="31" t="s">
        <v>119</v>
      </c>
      <c r="C28" s="43">
        <v>266.75657999999999</v>
      </c>
      <c r="D28" s="20">
        <v>234.5215</v>
      </c>
      <c r="E28" s="20">
        <f>IF(OR(266.75658="",234.5215=""),"-",234.5215/266.75658*100)</f>
        <v>87.915919449859501</v>
      </c>
      <c r="F28" s="20">
        <f>IF(266.75658="","-",266.75658/4332145.11781*100)</f>
        <v>6.1576095155106824E-3</v>
      </c>
      <c r="G28" s="20">
        <f>IF(234.5215="","-",234.5215/4048616.5172*100)</f>
        <v>5.7926330884554541E-3</v>
      </c>
      <c r="H28" s="20">
        <f>IF(OR(3144504.53867="",320.31112="",266.75658=""),"-",(266.75658-320.31112)/3144504.53867*100)</f>
        <v>-1.7031153665515604E-3</v>
      </c>
      <c r="I28" s="20">
        <f>IF(OR(4332145.11781="",234.5215="",266.75658=""),"-",(234.5215-266.75658)/4332145.11781*100)</f>
        <v>-7.4409049381742704E-4</v>
      </c>
      <c r="J28" s="30"/>
      <c r="K28" s="15"/>
      <c r="L28" s="15"/>
    </row>
    <row r="29" spans="1:12" s="2" customFormat="1" ht="29.25" customHeight="1" x14ac:dyDescent="0.25">
      <c r="A29" s="30" t="s">
        <v>199</v>
      </c>
      <c r="B29" s="31" t="s">
        <v>120</v>
      </c>
      <c r="C29" s="43">
        <v>20630.453860000001</v>
      </c>
      <c r="D29" s="20">
        <v>19508.36607</v>
      </c>
      <c r="E29" s="20">
        <f>IF(OR(20630.45386="",19508.36607=""),"-",19508.36607/20630.45386*100)</f>
        <v>94.561012580650996</v>
      </c>
      <c r="F29" s="20">
        <f>IF(20630.45386="","-",20630.45386/4332145.11781*100)</f>
        <v>0.47621797744460553</v>
      </c>
      <c r="G29" s="20">
        <f>IF(19508.36607="","-",19508.36607/4048616.5172*100)</f>
        <v>0.48185265231027297</v>
      </c>
      <c r="H29" s="20">
        <f>IF(OR(3144504.53867="",7482.81373="",20630.45386=""),"-",(20630.45386-7482.81373)/3144504.53867*100)</f>
        <v>0.41811484029725487</v>
      </c>
      <c r="I29" s="20">
        <f>IF(OR(4332145.11781="",19508.36607="",20630.45386=""),"-",(19508.36607-20630.45386)/4332145.11781*100)</f>
        <v>-2.5901435881890374E-2</v>
      </c>
      <c r="J29" s="30"/>
      <c r="K29" s="15"/>
      <c r="L29" s="15"/>
    </row>
    <row r="30" spans="1:12" s="2" customFormat="1" ht="15.75" customHeight="1" x14ac:dyDescent="0.25">
      <c r="A30" s="30" t="s">
        <v>200</v>
      </c>
      <c r="B30" s="31" t="s">
        <v>121</v>
      </c>
      <c r="C30" s="43">
        <v>55769.281499999997</v>
      </c>
      <c r="D30" s="20">
        <v>37574.719949999999</v>
      </c>
      <c r="E30" s="20">
        <f>IF(OR(55769.2815="",37574.71995=""),"-",37574.71995/55769.2815*100)</f>
        <v>67.375298622055951</v>
      </c>
      <c r="F30" s="20">
        <f>IF(55769.2815="","-",55769.2815/4332145.11781*100)</f>
        <v>1.2873364114864341</v>
      </c>
      <c r="G30" s="20">
        <f>IF(37574.71995="","-",37574.71995/4048616.5172*100)</f>
        <v>0.92808789843070782</v>
      </c>
      <c r="H30" s="20">
        <f>IF(OR(3144504.53867="",87298.03001="",55769.2815=""),"-",(55769.2815-87298.03001)/3144504.53867*100)</f>
        <v>-1.0026618859114578</v>
      </c>
      <c r="I30" s="20">
        <f>IF(OR(4332145.11781="",37574.71995="",55769.2815=""),"-",(37574.71995-55769.2815)/4332145.11781*100)</f>
        <v>-0.41998965997699023</v>
      </c>
      <c r="J30" s="30"/>
      <c r="K30" s="15"/>
      <c r="L30" s="15"/>
    </row>
    <row r="31" spans="1:12" s="2" customFormat="1" x14ac:dyDescent="0.25">
      <c r="A31" s="30" t="s">
        <v>201</v>
      </c>
      <c r="B31" s="31" t="s">
        <v>122</v>
      </c>
      <c r="C31" s="43">
        <v>4735.9330399999999</v>
      </c>
      <c r="D31" s="20">
        <v>5464.8029800000004</v>
      </c>
      <c r="E31" s="20">
        <f>IF(OR(4735.93304="",5464.80298=""),"-",5464.80298/4735.93304*100)</f>
        <v>115.39020788182428</v>
      </c>
      <c r="F31" s="20">
        <f>IF(4735.93304="","-",4735.93304/4332145.11781*100)</f>
        <v>0.10932073859968303</v>
      </c>
      <c r="G31" s="20">
        <f>IF(5464.80298="","-",5464.80298/4048616.5172*100)</f>
        <v>0.13497951600956831</v>
      </c>
      <c r="H31" s="20">
        <f>IF(OR(3144504.53867="",4570.41146="",4735.93304=""),"-",(4735.93304-4570.41146)/3144504.53867*100)</f>
        <v>5.263836574712296E-3</v>
      </c>
      <c r="I31" s="20">
        <f>IF(OR(4332145.11781="",5464.80298="",4735.93304=""),"-",(5464.80298-4735.93304)/4332145.11781*100)</f>
        <v>1.6824688928436943E-2</v>
      </c>
      <c r="J31" s="30"/>
      <c r="K31" s="15"/>
      <c r="L31" s="15"/>
    </row>
    <row r="32" spans="1:12" s="2" customFormat="1" x14ac:dyDescent="0.25">
      <c r="A32" s="28" t="s">
        <v>202</v>
      </c>
      <c r="B32" s="29" t="s">
        <v>123</v>
      </c>
      <c r="C32" s="44">
        <v>592084.42888000002</v>
      </c>
      <c r="D32" s="19">
        <v>455362.96229</v>
      </c>
      <c r="E32" s="19">
        <f>IF(592084.42888="","-",455362.96229/592084.42888*100)</f>
        <v>76.908450903087356</v>
      </c>
      <c r="F32" s="19">
        <f>IF(592084.42888="","-",592084.42888/4332145.11781*100)</f>
        <v>13.667234424947253</v>
      </c>
      <c r="G32" s="19">
        <f>IF(455362.96229="","-",455362.96229/4048616.5172*100)</f>
        <v>11.247372043152321</v>
      </c>
      <c r="H32" s="19">
        <f>IF(3144504.53867="","-",(592084.42888-15650.43725)/3144504.53867*100)</f>
        <v>18.331472718236515</v>
      </c>
      <c r="I32" s="19">
        <f>IF(4332145.11781="","-",(455362.96229-592084.42888)/4332145.11781*100)</f>
        <v>-3.1559761474268413</v>
      </c>
      <c r="J32" s="30"/>
      <c r="K32" s="15"/>
      <c r="L32" s="15"/>
    </row>
    <row r="33" spans="1:12" s="2" customFormat="1" x14ac:dyDescent="0.25">
      <c r="A33" s="30" t="s">
        <v>203</v>
      </c>
      <c r="B33" s="31" t="s">
        <v>167</v>
      </c>
      <c r="C33" s="43">
        <v>813.15363000000002</v>
      </c>
      <c r="D33" s="20">
        <v>167.21185</v>
      </c>
      <c r="E33" s="20">
        <f>IF(OR(813.15363="",167.21185=""),"-",167.21185/813.15363*100)</f>
        <v>20.563377427215077</v>
      </c>
      <c r="F33" s="20">
        <f>IF(813.15363="","-",813.15363/4332145.11781*100)</f>
        <v>1.8770230633711277E-2</v>
      </c>
      <c r="G33" s="20">
        <f>IF(167.21185="","-",167.21185/4048616.5172*100)</f>
        <v>4.1300984988235619E-3</v>
      </c>
      <c r="H33" s="20">
        <f>IF(OR(3144504.53867="",390.11579="",813.15363=""),"-",(813.15363-390.11579)/3144504.53867*100)</f>
        <v>1.3453243103885872E-2</v>
      </c>
      <c r="I33" s="20">
        <f>IF(OR(4332145.11781="",167.21185="",813.15363=""),"-",(167.21185-813.15363)/4332145.11781*100)</f>
        <v>-1.4910437264542482E-2</v>
      </c>
      <c r="J33" s="28"/>
      <c r="K33" s="15"/>
      <c r="L33" s="15"/>
    </row>
    <row r="34" spans="1:12" s="2" customFormat="1" x14ac:dyDescent="0.25">
      <c r="A34" s="30" t="s">
        <v>204</v>
      </c>
      <c r="B34" s="31" t="s">
        <v>124</v>
      </c>
      <c r="C34" s="43">
        <v>560739.11525000003</v>
      </c>
      <c r="D34" s="20">
        <v>398770.46104000002</v>
      </c>
      <c r="E34" s="20">
        <f>IF(OR(560739.11525="",398770.46104=""),"-",398770.46104/560739.11525*100)</f>
        <v>71.11514966495821</v>
      </c>
      <c r="F34" s="20">
        <f>IF(560739.11525="","-",560739.11525/4332145.11781*100)</f>
        <v>12.943682632992376</v>
      </c>
      <c r="G34" s="20">
        <f>IF(398770.46104="","-",398770.46104/4048616.5172*100)</f>
        <v>9.8495488359017855</v>
      </c>
      <c r="H34" s="20">
        <f>IF(OR(3144504.53867="",15254.12759="",560739.11525=""),"-",(560739.11525-15254.12759)/3144504.53867*100)</f>
        <v>17.347247585488248</v>
      </c>
      <c r="I34" s="20">
        <f>IF(OR(4332145.11781="",398770.46104="",560739.11525=""),"-",(398770.46104-560739.11525)/4332145.11781*100)</f>
        <v>-3.7387633563826439</v>
      </c>
      <c r="J34" s="30"/>
      <c r="K34" s="15"/>
      <c r="L34" s="15"/>
    </row>
    <row r="35" spans="1:12" s="2" customFormat="1" x14ac:dyDescent="0.25">
      <c r="A35" s="32" t="s">
        <v>249</v>
      </c>
      <c r="B35" s="31" t="s">
        <v>268</v>
      </c>
      <c r="C35" s="43">
        <v>8602.61643</v>
      </c>
      <c r="D35" s="20">
        <v>10701.81697</v>
      </c>
      <c r="E35" s="20">
        <f>IF(OR(8602.61643="",10701.81697=""),"-",10701.81697/8602.61643*100)</f>
        <v>124.40188467173121</v>
      </c>
      <c r="F35" s="20">
        <f>IF(8602.61643="","-",8602.61643/4332145.11781*100)</f>
        <v>0.1985763679668428</v>
      </c>
      <c r="G35" s="20">
        <f>IF(10701.81697="","-",10701.81697/4048616.5172*100)</f>
        <v>0.26433269055082836</v>
      </c>
      <c r="H35" s="20" t="str">
        <f>IF(OR(3144504.53867="",""="",8602.61643=""),"-",(8602.61643-"")/3144504.53867*100)</f>
        <v>-</v>
      </c>
      <c r="I35" s="20">
        <f>IF(OR(4332145.11781="",10701.81697="",8602.61643=""),"-",(10701.81697-8602.61643)/4332145.11781*100)</f>
        <v>4.8456376296581553E-2</v>
      </c>
      <c r="J35" s="30"/>
      <c r="K35" s="15"/>
      <c r="L35" s="15"/>
    </row>
    <row r="36" spans="1:12" s="2" customFormat="1" x14ac:dyDescent="0.25">
      <c r="A36" s="30" t="s">
        <v>254</v>
      </c>
      <c r="B36" s="31" t="s">
        <v>255</v>
      </c>
      <c r="C36" s="43">
        <v>21929.543570000002</v>
      </c>
      <c r="D36" s="20">
        <v>45723.472430000002</v>
      </c>
      <c r="E36" s="20" t="s">
        <v>330</v>
      </c>
      <c r="F36" s="20">
        <f>IF(21929.54357="","-",21929.54357/4332145.11781*100)</f>
        <v>0.50620519335432368</v>
      </c>
      <c r="G36" s="20">
        <f>IF(45723.47243="","-",45723.47243/4048616.5172*100)</f>
        <v>1.1293604182008845</v>
      </c>
      <c r="H36" s="20">
        <f>IF(OR(3144504.53867="",6.19387="",21929.54357=""),"-",(21929.54357-6.19387)/3144504.53867*100)</f>
        <v>0.69719567678769201</v>
      </c>
      <c r="I36" s="20">
        <f>IF(OR(4332145.11781="",45723.47243="",21929.54357=""),"-",(45723.47243-21929.54357)/4332145.11781*100)</f>
        <v>0.54924126992376443</v>
      </c>
      <c r="J36" s="30"/>
      <c r="K36" s="15"/>
      <c r="L36" s="15"/>
    </row>
    <row r="37" spans="1:12" s="2" customFormat="1" ht="14.25" customHeight="1" x14ac:dyDescent="0.25">
      <c r="A37" s="28" t="s">
        <v>205</v>
      </c>
      <c r="B37" s="29" t="s">
        <v>125</v>
      </c>
      <c r="C37" s="44">
        <v>376035.04360999999</v>
      </c>
      <c r="D37" s="19">
        <v>248328.43627000001</v>
      </c>
      <c r="E37" s="19">
        <f>IF(376035.04361="","-",248328.43627/376035.04361*100)</f>
        <v>66.0386420068739</v>
      </c>
      <c r="F37" s="19">
        <f>IF(376035.04361="","-",376035.04361/4332145.11781*100)</f>
        <v>8.6801118933913841</v>
      </c>
      <c r="G37" s="19">
        <f>IF(248328.43627="","-",248328.43627/4048616.5172*100)</f>
        <v>6.133661590694258</v>
      </c>
      <c r="H37" s="19">
        <f>IF(3144504.53867="","-",(376035.04361-121090.94646)/3144504.53867*100)</f>
        <v>8.1076078604685744</v>
      </c>
      <c r="I37" s="19">
        <f>IF(4332145.11781="","-",(248328.43627-376035.04361)/4332145.11781*100)</f>
        <v>-2.9478838743185651</v>
      </c>
      <c r="J37" s="30"/>
      <c r="K37" s="15"/>
      <c r="L37" s="15"/>
    </row>
    <row r="38" spans="1:12" s="2" customFormat="1" x14ac:dyDescent="0.25">
      <c r="A38" s="30" t="s">
        <v>206</v>
      </c>
      <c r="B38" s="31" t="s">
        <v>171</v>
      </c>
      <c r="C38" s="43">
        <v>2.7789799999999998</v>
      </c>
      <c r="D38" s="20">
        <v>1.9330099999999999</v>
      </c>
      <c r="E38" s="20">
        <f>IF(OR(2.77898="",1.93301=""),"-",1.93301/2.77898*100)</f>
        <v>69.558255187154998</v>
      </c>
      <c r="F38" s="20">
        <f>IF(2.77898="","-",2.77898/4332145.11781*100)</f>
        <v>6.4147897275538152E-5</v>
      </c>
      <c r="G38" s="20">
        <f>IF(1.93301="","-",1.93301/4048616.5172*100)</f>
        <v>4.7744951683812684E-5</v>
      </c>
      <c r="H38" s="20">
        <f>IF(OR(3144504.53867="",10.8626="",2.77898=""),"-",(2.77898-10.8626)/3144504.53867*100)</f>
        <v>-2.5707134146542044E-4</v>
      </c>
      <c r="I38" s="20">
        <f>IF(OR(4332145.11781="",1.93301="",2.77898=""),"-",(1.93301-2.77898)/4332145.11781*100)</f>
        <v>-1.9527739191425275E-5</v>
      </c>
      <c r="J38" s="28"/>
      <c r="K38" s="15"/>
      <c r="L38" s="15"/>
    </row>
    <row r="39" spans="1:12" s="2" customFormat="1" ht="28.5" customHeight="1" x14ac:dyDescent="0.25">
      <c r="A39" s="30" t="s">
        <v>207</v>
      </c>
      <c r="B39" s="31" t="s">
        <v>126</v>
      </c>
      <c r="C39" s="43">
        <v>376020.14695999998</v>
      </c>
      <c r="D39" s="20">
        <v>248252.04702</v>
      </c>
      <c r="E39" s="20">
        <f>IF(OR(376020.14696="",248252.04702=""),"-",248252.04702/376020.14696*100)</f>
        <v>66.020943033780682</v>
      </c>
      <c r="F39" s="20">
        <f>IF(376020.14696="","-",376020.14696/4332145.11781*100)</f>
        <v>8.6797680302567262</v>
      </c>
      <c r="G39" s="20">
        <f>IF(248252.04702="","-",248252.04702/4048616.5172*100)</f>
        <v>6.1317747918414778</v>
      </c>
      <c r="H39" s="20">
        <f>IF(OR(3144504.53867="",121076.52153="",376020.14696=""),"-",(376020.14696-121076.52153)/3144504.53867*100)</f>
        <v>8.1075928590591548</v>
      </c>
      <c r="I39" s="20">
        <f>IF(OR(4332145.11781="",248252.04702="",376020.14696=""),"-",(248252.04702-376020.14696)/4332145.11781*100)</f>
        <v>-2.9493033235366255</v>
      </c>
      <c r="J39" s="30"/>
      <c r="K39" s="15"/>
      <c r="L39" s="15"/>
    </row>
    <row r="40" spans="1:12" s="2" customFormat="1" ht="40.5" customHeight="1" x14ac:dyDescent="0.25">
      <c r="A40" s="30" t="s">
        <v>208</v>
      </c>
      <c r="B40" s="31" t="s">
        <v>169</v>
      </c>
      <c r="C40" s="43">
        <v>12.11767</v>
      </c>
      <c r="D40" s="20">
        <v>74.456239999999994</v>
      </c>
      <c r="E40" s="20" t="s">
        <v>351</v>
      </c>
      <c r="F40" s="20">
        <f>IF(12.11767="","-",12.11767/4332145.11781*100)</f>
        <v>2.7971523738165458E-4</v>
      </c>
      <c r="G40" s="20">
        <f>IF(74.45624="","-",74.45624/4048616.5172*100)</f>
        <v>1.8390539010964047E-3</v>
      </c>
      <c r="H40" s="20">
        <f>IF(OR(3144504.53867="",3.56233="",12.11767=""),"-",(12.11767-3.56233)/3144504.53867*100)</f>
        <v>2.7207275088299179E-4</v>
      </c>
      <c r="I40" s="20">
        <f>IF(OR(4332145.11781="",74.45624="",12.11767=""),"-",(74.45624-12.11767)/4332145.11781*100)</f>
        <v>1.4389769572519212E-3</v>
      </c>
      <c r="J40" s="30"/>
      <c r="K40" s="15"/>
      <c r="L40" s="15"/>
    </row>
    <row r="41" spans="1:12" s="2" customFormat="1" ht="27" customHeight="1" x14ac:dyDescent="0.25">
      <c r="A41" s="28" t="s">
        <v>209</v>
      </c>
      <c r="B41" s="29" t="s">
        <v>127</v>
      </c>
      <c r="C41" s="44">
        <v>146415.47661000001</v>
      </c>
      <c r="D41" s="19">
        <v>133702.61616999999</v>
      </c>
      <c r="E41" s="19">
        <f>IF(146415.47661="","-",133702.61617/146415.47661*100)</f>
        <v>91.317270049352317</v>
      </c>
      <c r="F41" s="19">
        <f>IF(146415.47661="","-",146415.47661/4332145.11781*100)</f>
        <v>3.3797454293040032</v>
      </c>
      <c r="G41" s="19">
        <f>IF(133702.61617="","-",133702.61617/4048616.5172*100)</f>
        <v>3.3024272761320437</v>
      </c>
      <c r="H41" s="19">
        <f>IF(3144504.53867="","-",(146415.47661-152637.46066)/3144504.53867*100)</f>
        <v>-0.1978685027636071</v>
      </c>
      <c r="I41" s="19">
        <f>IF(4332145.11781="","-",(133702.61617-146415.47661)/4332145.11781*100)</f>
        <v>-0.29345416864582474</v>
      </c>
      <c r="J41" s="30"/>
      <c r="K41" s="15"/>
      <c r="L41" s="15"/>
    </row>
    <row r="42" spans="1:12" s="2" customFormat="1" x14ac:dyDescent="0.25">
      <c r="A42" s="30" t="s">
        <v>210</v>
      </c>
      <c r="B42" s="31" t="s">
        <v>19</v>
      </c>
      <c r="C42" s="43">
        <v>49998.401129999998</v>
      </c>
      <c r="D42" s="20">
        <v>29814.22853</v>
      </c>
      <c r="E42" s="20">
        <f>IF(OR(49998.40113="",29814.22853=""),"-",29814.22853/49998.40113*100)</f>
        <v>59.630363883998072</v>
      </c>
      <c r="F42" s="20">
        <f>IF(49998.40113="","-",49998.40113/4332145.11781*100)</f>
        <v>1.1541257222536292</v>
      </c>
      <c r="G42" s="20">
        <f>IF(29814.22853="","-",29814.22853/4048616.5172*100)</f>
        <v>0.73640534744000274</v>
      </c>
      <c r="H42" s="20">
        <f>IF(OR(3144504.53867="",36498.47034="",49998.40113=""),"-",(49998.40113-36498.47034)/3144504.53867*100)</f>
        <v>0.42931821608086879</v>
      </c>
      <c r="I42" s="20">
        <f>IF(OR(4332145.11781="",29814.22853="",49998.40113=""),"-",(29814.22853-49998.40113)/4332145.11781*100)</f>
        <v>-0.46591635439496926</v>
      </c>
      <c r="J42" s="30"/>
      <c r="K42" s="15"/>
      <c r="L42" s="15"/>
    </row>
    <row r="43" spans="1:12" s="2" customFormat="1" x14ac:dyDescent="0.25">
      <c r="A43" s="30" t="s">
        <v>211</v>
      </c>
      <c r="B43" s="31" t="s">
        <v>20</v>
      </c>
      <c r="C43" s="43">
        <v>8349.4222599999994</v>
      </c>
      <c r="D43" s="20">
        <v>9297.3401900000008</v>
      </c>
      <c r="E43" s="20">
        <f>IF(OR(8349.42226="",9297.34019=""),"-",9297.34019/8349.42226*100)</f>
        <v>111.35309606439765</v>
      </c>
      <c r="F43" s="20">
        <f>IF(8349.42226="","-",8349.42226/4332145.11781*100)</f>
        <v>0.19273182298705699</v>
      </c>
      <c r="G43" s="20">
        <f>IF(9297.34019="","-",9297.34019/4048616.5172*100)</f>
        <v>0.22964240131169519</v>
      </c>
      <c r="H43" s="20">
        <f>IF(OR(3144504.53867="",1484.16094="",8349.42226=""),"-",(8349.42226-1484.16094)/3144504.53867*100)</f>
        <v>0.21832569282611786</v>
      </c>
      <c r="I43" s="20">
        <f>IF(OR(4332145.11781="",9297.34019="",8349.42226=""),"-",(9297.34019-8349.42226)/4332145.11781*100)</f>
        <v>2.1881029010385415E-2</v>
      </c>
      <c r="J43" s="30"/>
      <c r="K43" s="15"/>
      <c r="L43" s="15"/>
    </row>
    <row r="44" spans="1:12" s="2" customFormat="1" x14ac:dyDescent="0.25">
      <c r="A44" s="30" t="s">
        <v>212</v>
      </c>
      <c r="B44" s="31" t="s">
        <v>128</v>
      </c>
      <c r="C44" s="43">
        <v>3293.6201900000001</v>
      </c>
      <c r="D44" s="20">
        <v>4781.3501100000003</v>
      </c>
      <c r="E44" s="20">
        <f>IF(OR(3293.62019="",4781.35011=""),"-",4781.35011/3293.62019*100)</f>
        <v>145.17005101307689</v>
      </c>
      <c r="F44" s="20">
        <f>IF(3293.62019="","-",3293.62019/4332145.11781*100)</f>
        <v>7.6027466772973715E-2</v>
      </c>
      <c r="G44" s="20">
        <f>IF(4781.35011="","-",4781.35011/4048616.5172*100)</f>
        <v>0.11809836989221084</v>
      </c>
      <c r="H44" s="20">
        <f>IF(OR(3144504.53867="",2953.04481="",3293.62019=""),"-",(3293.62019-2953.04481)/3144504.53867*100)</f>
        <v>1.0830812161716582E-2</v>
      </c>
      <c r="I44" s="20">
        <f>IF(OR(4332145.11781="",4781.35011="",3293.62019=""),"-",(4781.35011-3293.62019)/4332145.11781*100)</f>
        <v>3.4341645525302306E-2</v>
      </c>
      <c r="J44" s="30"/>
      <c r="K44" s="15"/>
      <c r="L44" s="15"/>
    </row>
    <row r="45" spans="1:12" s="2" customFormat="1" x14ac:dyDescent="0.25">
      <c r="A45" s="30" t="s">
        <v>213</v>
      </c>
      <c r="B45" s="31" t="s">
        <v>129</v>
      </c>
      <c r="C45" s="43">
        <v>45578.515019999999</v>
      </c>
      <c r="D45" s="20">
        <v>44752.830620000001</v>
      </c>
      <c r="E45" s="20">
        <f>IF(OR(45578.51502="",44752.83062=""),"-",44752.83062/45578.51502*100)</f>
        <v>98.188435056215226</v>
      </c>
      <c r="F45" s="20">
        <f>IF(45578.51502="","-",45578.51502/4332145.11781*100)</f>
        <v>1.0521003747686319</v>
      </c>
      <c r="G45" s="20">
        <f>IF(44752.83062="","-",44752.83062/4048616.5172*100)</f>
        <v>1.1053857639979892</v>
      </c>
      <c r="H45" s="20">
        <f>IF(OR(3144504.53867="",86373.07162="",45578.51502=""),"-",(45578.51502-86373.07162)/3144504.53867*100)</f>
        <v>-1.2973285965506818</v>
      </c>
      <c r="I45" s="20">
        <f>IF(OR(4332145.11781="",44752.83062="",45578.51502=""),"-",(44752.83062-45578.51502)/4332145.11781*100)</f>
        <v>-1.9059481562736777E-2</v>
      </c>
      <c r="J45" s="30"/>
      <c r="K45" s="15"/>
      <c r="L45" s="15"/>
    </row>
    <row r="46" spans="1:12" ht="28.5" customHeight="1" x14ac:dyDescent="0.25">
      <c r="A46" s="30" t="s">
        <v>214</v>
      </c>
      <c r="B46" s="31" t="s">
        <v>130</v>
      </c>
      <c r="C46" s="43">
        <v>19271.294839999999</v>
      </c>
      <c r="D46" s="20">
        <v>17667.247820000001</v>
      </c>
      <c r="E46" s="20">
        <f>IF(OR(19271.29484="",17667.24782=""),"-",17667.24782/19271.29484*100)</f>
        <v>91.676495879920864</v>
      </c>
      <c r="F46" s="20">
        <f>IF(19271.29484="","-",19271.29484/4332145.11781*100)</f>
        <v>0.44484416647940195</v>
      </c>
      <c r="G46" s="20">
        <f>IF(17667.24782="","-",17667.24782/4048616.5172*100)</f>
        <v>0.43637740805885383</v>
      </c>
      <c r="H46" s="20">
        <f>IF(OR(3144504.53867="",13168.75099="",19271.29484=""),"-",(19271.29484-13168.75099)/3144504.53867*100)</f>
        <v>0.19407012376522537</v>
      </c>
      <c r="I46" s="20">
        <f>IF(OR(4332145.11781="",17667.24782="",19271.29484=""),"-",(17667.24782-19271.29484)/4332145.11781*100)</f>
        <v>-3.7026622524844718E-2</v>
      </c>
      <c r="J46" s="30"/>
    </row>
    <row r="47" spans="1:12" ht="18" customHeight="1" x14ac:dyDescent="0.25">
      <c r="A47" s="30" t="s">
        <v>215</v>
      </c>
      <c r="B47" s="31" t="s">
        <v>131</v>
      </c>
      <c r="C47" s="43">
        <v>266.11606</v>
      </c>
      <c r="D47" s="20">
        <v>399.27728000000002</v>
      </c>
      <c r="E47" s="20">
        <f>IF(OR(266.11606="",399.27728=""),"-",399.27728/266.11606*100)</f>
        <v>150.0387763143645</v>
      </c>
      <c r="F47" s="20">
        <f>IF(266.11606="","-",266.11606/4332145.11781*100)</f>
        <v>6.142824230563353E-3</v>
      </c>
      <c r="G47" s="20">
        <f>IF(399.27728="","-",399.27728/4048616.5172*100)</f>
        <v>9.8620671605652074E-3</v>
      </c>
      <c r="H47" s="20">
        <f>IF(OR(3144504.53867="",176.44687="",266.11606=""),"-",(266.11606-176.44687)/3144504.53867*100)</f>
        <v>2.8516158554481369E-3</v>
      </c>
      <c r="I47" s="20">
        <f>IF(OR(4332145.11781="",399.27728="",266.11606=""),"-",(399.27728-266.11606)/4332145.11781*100)</f>
        <v>3.0737940761161784E-3</v>
      </c>
      <c r="J47" s="30"/>
    </row>
    <row r="48" spans="1:12" x14ac:dyDescent="0.25">
      <c r="A48" s="30" t="s">
        <v>216</v>
      </c>
      <c r="B48" s="31" t="s">
        <v>21</v>
      </c>
      <c r="C48" s="43">
        <v>6042.6541900000002</v>
      </c>
      <c r="D48" s="20">
        <v>15866.738880000001</v>
      </c>
      <c r="E48" s="20" t="s">
        <v>366</v>
      </c>
      <c r="F48" s="20">
        <f>IF(6042.65419="","-",6042.65419/4332145.11781*100)</f>
        <v>0.13948411296652738</v>
      </c>
      <c r="G48" s="20">
        <f>IF(15866.73888="","-",15866.73888/4048616.5172*100)</f>
        <v>0.39190520545950214</v>
      </c>
      <c r="H48" s="20">
        <f>IF(OR(3144504.53867="",3056.14151="",6042.65419=""),"-",(6042.65419-3056.14151)/3144504.53867*100)</f>
        <v>9.497561995134457E-2</v>
      </c>
      <c r="I48" s="20">
        <f>IF(OR(4332145.11781="",15866.73888="",6042.65419=""),"-",(15866.73888-6042.65419)/4332145.11781*100)</f>
        <v>0.226771828340005</v>
      </c>
      <c r="J48" s="30"/>
    </row>
    <row r="49" spans="1:10" x14ac:dyDescent="0.25">
      <c r="A49" s="30" t="s">
        <v>217</v>
      </c>
      <c r="B49" s="31" t="s">
        <v>22</v>
      </c>
      <c r="C49" s="43">
        <v>7901.8815299999997</v>
      </c>
      <c r="D49" s="20">
        <v>4706.7297699999999</v>
      </c>
      <c r="E49" s="20">
        <f>IF(OR(7901.88153="",4706.72977=""),"-",4706.72977/7901.88153*100)</f>
        <v>59.564671428324999</v>
      </c>
      <c r="F49" s="20">
        <f>IF(7901.88153="","-",7901.88153/4332145.11781*100)</f>
        <v>0.18240112727328453</v>
      </c>
      <c r="G49" s="20">
        <f>IF(4706.72977="","-",4706.72977/4048616.5172*100)</f>
        <v>0.11625526275467421</v>
      </c>
      <c r="H49" s="20">
        <f>IF(OR(3144504.53867="",3656.08428="",7901.88153=""),"-",(7901.88153-3656.08428)/3144504.53867*100)</f>
        <v>0.13502277378794314</v>
      </c>
      <c r="I49" s="20">
        <f>IF(OR(4332145.11781="",4706.72977="",7901.88153=""),"-",(4706.72977-7901.88153)/4332145.11781*100)</f>
        <v>-7.3754495131391706E-2</v>
      </c>
      <c r="J49" s="30"/>
    </row>
    <row r="50" spans="1:10" x14ac:dyDescent="0.25">
      <c r="A50" s="30" t="s">
        <v>218</v>
      </c>
      <c r="B50" s="31" t="s">
        <v>132</v>
      </c>
      <c r="C50" s="43">
        <v>5713.5713900000001</v>
      </c>
      <c r="D50" s="20">
        <v>6416.8729700000004</v>
      </c>
      <c r="E50" s="20">
        <f>IF(OR(5713.57139="",6416.87297=""),"-",6416.87297/5713.57139*100)</f>
        <v>112.30931639763759</v>
      </c>
      <c r="F50" s="20">
        <f>IF(5713.57139="","-",5713.57139/4332145.11781*100)</f>
        <v>0.13188781157193422</v>
      </c>
      <c r="G50" s="20">
        <f>IF(6416.87297="","-",6416.87297/4048616.5172*100)</f>
        <v>0.158495450056551</v>
      </c>
      <c r="H50" s="20">
        <f>IF(OR(3144504.53867="",5271.2893="",5713.57139=""),"-",(5713.57139-5271.2893)/3144504.53867*100)</f>
        <v>1.4065239358409937E-2</v>
      </c>
      <c r="I50" s="20">
        <f>IF(OR(4332145.11781="",6416.87297="",5713.57139=""),"-",(6416.87297-5713.57139)/4332145.11781*100)</f>
        <v>1.6234488016309473E-2</v>
      </c>
      <c r="J50" s="28"/>
    </row>
    <row r="51" spans="1:10" ht="26.25" customHeight="1" x14ac:dyDescent="0.25">
      <c r="A51" s="28" t="s">
        <v>219</v>
      </c>
      <c r="B51" s="29" t="s">
        <v>321</v>
      </c>
      <c r="C51" s="44">
        <v>290802.64750000002</v>
      </c>
      <c r="D51" s="19">
        <v>274678.72227999999</v>
      </c>
      <c r="E51" s="19">
        <f>IF(290802.6475="","-",274678.72228/290802.6475*100)</f>
        <v>94.455371930546121</v>
      </c>
      <c r="F51" s="19">
        <f>IF(290802.6475="","-",290802.6475/4332145.11781*100)</f>
        <v>6.7126709653486287</v>
      </c>
      <c r="G51" s="19">
        <f>IF(274678.72228="","-",274678.72228/4048616.5172*100)</f>
        <v>6.7845082662945364</v>
      </c>
      <c r="H51" s="19">
        <f>IF(3144504.53867="","-",(290802.6475-243392.00173)/3144504.53867*100)</f>
        <v>1.507730238165051</v>
      </c>
      <c r="I51" s="19">
        <f>IF(4332145.11781="","-",(274678.72228-290802.6475)/4332145.11781*100)</f>
        <v>-0.37219263855480106</v>
      </c>
      <c r="J51" s="30"/>
    </row>
    <row r="52" spans="1:10" x14ac:dyDescent="0.25">
      <c r="A52" s="30" t="s">
        <v>220</v>
      </c>
      <c r="B52" s="31" t="s">
        <v>133</v>
      </c>
      <c r="C52" s="43">
        <v>3146.6422699999998</v>
      </c>
      <c r="D52" s="20">
        <v>1358.79205</v>
      </c>
      <c r="E52" s="20">
        <f>IF(OR(3146.64227="",1358.79205=""),"-",1358.79205/3146.64227*100)</f>
        <v>43.182285541470208</v>
      </c>
      <c r="F52" s="20">
        <f>IF(3146.64227="","-",3146.64227/4332145.11781*100)</f>
        <v>7.2634738320832171E-2</v>
      </c>
      <c r="G52" s="20">
        <f>IF(1358.79205="","-",1358.79205/4048616.5172*100)</f>
        <v>3.3561885751030154E-2</v>
      </c>
      <c r="H52" s="20">
        <f>IF(OR(3144504.53867="",1045.16368="",3146.64227=""),"-",(3146.64227-1045.16368)/3144504.53867*100)</f>
        <v>6.6830197385844489E-2</v>
      </c>
      <c r="I52" s="20">
        <f>IF(OR(4332145.11781="",1358.79205="",3146.64227=""),"-",(1358.79205-3146.64227)/4332145.11781*100)</f>
        <v>-4.1269398216830733E-2</v>
      </c>
      <c r="J52" s="30"/>
    </row>
    <row r="53" spans="1:10" x14ac:dyDescent="0.25">
      <c r="A53" s="30" t="s">
        <v>221</v>
      </c>
      <c r="B53" s="31" t="s">
        <v>23</v>
      </c>
      <c r="C53" s="43">
        <v>2238.7311800000002</v>
      </c>
      <c r="D53" s="20">
        <v>2780.6566699999998</v>
      </c>
      <c r="E53" s="20">
        <f>IF(OR(2238.73118="",2780.65667=""),"-",2780.65667/2238.73118*100)</f>
        <v>124.20681387927959</v>
      </c>
      <c r="F53" s="20">
        <f>IF(2238.73118="","-",2238.73118/4332145.11781*100)</f>
        <v>5.167719730339345E-2</v>
      </c>
      <c r="G53" s="20">
        <f>IF(2780.65667="","-",2780.65667/4048616.5172*100)</f>
        <v>6.8681651082209333E-2</v>
      </c>
      <c r="H53" s="20">
        <f>IF(OR(3144504.53867="",1333.18517="",2238.73118=""),"-",(2238.73118-1333.18517)/3144504.53867*100)</f>
        <v>2.8797732643216663E-2</v>
      </c>
      <c r="I53" s="20">
        <f>IF(OR(4332145.11781="",2780.65667="",2238.73118=""),"-",(2780.65667-2238.73118)/4332145.11781*100)</f>
        <v>1.2509402969260541E-2</v>
      </c>
      <c r="J53" s="30"/>
    </row>
    <row r="54" spans="1:10" x14ac:dyDescent="0.25">
      <c r="A54" s="30" t="s">
        <v>222</v>
      </c>
      <c r="B54" s="31" t="s">
        <v>134</v>
      </c>
      <c r="C54" s="43">
        <v>25879.603449999999</v>
      </c>
      <c r="D54" s="20">
        <v>19929.654750000002</v>
      </c>
      <c r="E54" s="20">
        <f>IF(OR(25879.60345="",19929.65475=""),"-",19929.65475/25879.60345*100)</f>
        <v>77.009119511837042</v>
      </c>
      <c r="F54" s="20">
        <f>IF(25879.60345="","-",25879.60345/4332145.11781*100)</f>
        <v>0.59738542330001032</v>
      </c>
      <c r="G54" s="20">
        <f>IF(19929.65475="","-",19929.65475/4048616.5172*100)</f>
        <v>0.49225839654932879</v>
      </c>
      <c r="H54" s="20">
        <f>IF(OR(3144504.53867="",25549.12331="",25879.60345=""),"-",(25879.60345-25549.12331)/3144504.53867*100)</f>
        <v>1.0509768261927189E-2</v>
      </c>
      <c r="I54" s="20">
        <f>IF(OR(4332145.11781="",19929.65475="",25879.60345=""),"-",(19929.65475-25879.60345)/4332145.11781*100)</f>
        <v>-0.13734416872461178</v>
      </c>
      <c r="J54" s="30"/>
    </row>
    <row r="55" spans="1:10" ht="27" customHeight="1" x14ac:dyDescent="0.25">
      <c r="A55" s="30" t="s">
        <v>223</v>
      </c>
      <c r="B55" s="31" t="s">
        <v>135</v>
      </c>
      <c r="C55" s="43">
        <v>19763.302350000002</v>
      </c>
      <c r="D55" s="20">
        <v>21343.661459999999</v>
      </c>
      <c r="E55" s="20">
        <f>IF(OR(19763.30235="",21343.66146=""),"-",21343.66146/19763.30235*100)</f>
        <v>107.99643238772794</v>
      </c>
      <c r="F55" s="20">
        <f>IF(19763.30235="","-",19763.30235/4332145.11781*100)</f>
        <v>0.45620130010766607</v>
      </c>
      <c r="G55" s="20">
        <f>IF(21343.66146="","-",21343.66146/4048616.5172*100)</f>
        <v>0.52718407311051418</v>
      </c>
      <c r="H55" s="20">
        <f>IF(OR(3144504.53867="",11579.33187="",19763.30235=""),"-",(19763.30235-11579.33187)/3144504.53867*100)</f>
        <v>0.26026263849698544</v>
      </c>
      <c r="I55" s="20">
        <f>IF(OR(4332145.11781="",21343.66146="",19763.30235=""),"-",(21343.66146-19763.30235)/4332145.11781*100)</f>
        <v>3.6479828515045359E-2</v>
      </c>
      <c r="J55" s="30"/>
    </row>
    <row r="56" spans="1:10" ht="26.25" customHeight="1" x14ac:dyDescent="0.25">
      <c r="A56" s="30" t="s">
        <v>224</v>
      </c>
      <c r="B56" s="31" t="s">
        <v>136</v>
      </c>
      <c r="C56" s="43">
        <v>92857.993040000001</v>
      </c>
      <c r="D56" s="20">
        <v>81268.370729999995</v>
      </c>
      <c r="E56" s="20">
        <f>IF(OR(92857.99304="",81268.37073=""),"-",81268.37073/92857.99304*100)</f>
        <v>87.518982555429986</v>
      </c>
      <c r="F56" s="20">
        <f>IF(92857.99304="","-",92857.99304/4332145.11781*100)</f>
        <v>2.1434645081082113</v>
      </c>
      <c r="G56" s="20">
        <f>IF(81268.37073="","-",81268.37073/4048616.5172*100)</f>
        <v>2.007312136991545</v>
      </c>
      <c r="H56" s="20">
        <f>IF(OR(3144504.53867="",80695.40961="",92857.99304=""),"-",(92857.99304-80695.40961)/3144504.53867*100)</f>
        <v>0.38678854746205221</v>
      </c>
      <c r="I56" s="20">
        <f>IF(OR(4332145.11781="",81268.37073="",92857.99304=""),"-",(81268.37073-92857.99304)/4332145.11781*100)</f>
        <v>-0.26752617917515265</v>
      </c>
      <c r="J56" s="30"/>
    </row>
    <row r="57" spans="1:10" x14ac:dyDescent="0.25">
      <c r="A57" s="30" t="s">
        <v>225</v>
      </c>
      <c r="B57" s="31" t="s">
        <v>24</v>
      </c>
      <c r="C57" s="43">
        <v>94053.384659999996</v>
      </c>
      <c r="D57" s="20">
        <v>102750.71243</v>
      </c>
      <c r="E57" s="20">
        <f>IF(OR(94053.38466="",102750.71243=""),"-",102750.71243/94053.38466*100)</f>
        <v>109.24722464953342</v>
      </c>
      <c r="F57" s="20">
        <f>IF(94053.38466="","-",94053.38466/4332145.11781*100)</f>
        <v>2.1710580348136208</v>
      </c>
      <c r="G57" s="20">
        <f>IF(102750.71243="","-",102750.71243/4048616.5172*100)</f>
        <v>2.5379215836688283</v>
      </c>
      <c r="H57" s="20">
        <f>IF(OR(3144504.53867="",66811.21003="",94053.38466=""),"-",(94053.38466-66811.21003)/3144504.53867*100)</f>
        <v>0.86634235361995515</v>
      </c>
      <c r="I57" s="20">
        <f>IF(OR(4332145.11781="",102750.71243="",94053.38466=""),"-",(102750.71243-94053.38466)/4332145.11781*100)</f>
        <v>0.20076261375096099</v>
      </c>
      <c r="J57" s="30"/>
    </row>
    <row r="58" spans="1:10" x14ac:dyDescent="0.25">
      <c r="A58" s="30" t="s">
        <v>226</v>
      </c>
      <c r="B58" s="31" t="s">
        <v>137</v>
      </c>
      <c r="C58" s="43">
        <v>9840.9108099999994</v>
      </c>
      <c r="D58" s="20">
        <v>10584.73668</v>
      </c>
      <c r="E58" s="20">
        <f>IF(OR(9840.91081="",10584.73668=""),"-",10584.73668/9840.91081*100)</f>
        <v>107.55850636553022</v>
      </c>
      <c r="F58" s="20">
        <f>IF(9840.91081="","-",9840.91081/4332145.11781*100)</f>
        <v>0.22716022991803214</v>
      </c>
      <c r="G58" s="20">
        <f>IF(10584.73668="","-",10584.73668/4048616.5172*100)</f>
        <v>0.2614408313316951</v>
      </c>
      <c r="H58" s="20">
        <f>IF(OR(3144504.53867="",12821.65028="",9840.91081=""),"-",(9840.91081-12821.65028)/3144504.53867*100)</f>
        <v>-9.4792023142085666E-2</v>
      </c>
      <c r="I58" s="20">
        <f>IF(OR(4332145.11781="",10584.73668="",9840.91081=""),"-",(10584.73668-9840.91081)/4332145.11781*100)</f>
        <v>1.716992043830752E-2</v>
      </c>
      <c r="J58" s="30"/>
    </row>
    <row r="59" spans="1:10" x14ac:dyDescent="0.25">
      <c r="A59" s="30" t="s">
        <v>227</v>
      </c>
      <c r="B59" s="31" t="s">
        <v>25</v>
      </c>
      <c r="C59" s="43">
        <v>1757.46767</v>
      </c>
      <c r="D59" s="20">
        <v>1181.72226</v>
      </c>
      <c r="E59" s="20">
        <f>IF(OR(1757.46767="",1181.72226=""),"-",1181.72226/1757.46767*100)</f>
        <v>67.2400568256257</v>
      </c>
      <c r="F59" s="20">
        <f>IF(1757.46767="","-",1757.46767/4332145.11781*100)</f>
        <v>4.056807014092919E-2</v>
      </c>
      <c r="G59" s="20">
        <f>IF(1181.72226="","-",1181.72226/4048616.5172*100)</f>
        <v>2.918829815023509E-2</v>
      </c>
      <c r="H59" s="20">
        <f>IF(OR(3144504.53867="",1983.54381="",1757.46767=""),"-",(1757.46767-1983.54381)/3144504.53867*100)</f>
        <v>-7.1895631639196517E-3</v>
      </c>
      <c r="I59" s="20">
        <f>IF(OR(4332145.11781="",1181.72226="",1757.46767=""),"-",(1181.72226-1757.46767)/4332145.11781*100)</f>
        <v>-1.3290076725108707E-2</v>
      </c>
      <c r="J59" s="30"/>
    </row>
    <row r="60" spans="1:10" x14ac:dyDescent="0.25">
      <c r="A60" s="30" t="s">
        <v>228</v>
      </c>
      <c r="B60" s="31" t="s">
        <v>26</v>
      </c>
      <c r="C60" s="43">
        <v>41264.612070000003</v>
      </c>
      <c r="D60" s="20">
        <v>33480.415249999998</v>
      </c>
      <c r="E60" s="20">
        <f>IF(OR(41264.61207="",33480.41525=""),"-",33480.41525/41264.61207*100)</f>
        <v>81.135902097431241</v>
      </c>
      <c r="F60" s="20">
        <f>IF(41264.61207="","-",41264.61207/4332145.11781*100)</f>
        <v>0.95252146333593324</v>
      </c>
      <c r="G60" s="20">
        <f>IF(33480.41525="","-",33480.41525/4048616.5172*100)</f>
        <v>0.82695940965915093</v>
      </c>
      <c r="H60" s="20">
        <f>IF(OR(3144504.53867="",41573.38397="",41264.61207=""),"-",(41264.61207-41573.38397)/3144504.53867*100)</f>
        <v>-9.8194133989260492E-3</v>
      </c>
      <c r="I60" s="20">
        <f>IF(OR(4332145.11781="",33480.41525="",41264.61207=""),"-",(33480.41525-41264.61207)/4332145.11781*100)</f>
        <v>-0.17968458138667104</v>
      </c>
      <c r="J60" s="28"/>
    </row>
    <row r="61" spans="1:10" x14ac:dyDescent="0.25">
      <c r="A61" s="28" t="s">
        <v>229</v>
      </c>
      <c r="B61" s="29" t="s">
        <v>138</v>
      </c>
      <c r="C61" s="44">
        <v>691769.45808999997</v>
      </c>
      <c r="D61" s="19">
        <v>794776.90526999999</v>
      </c>
      <c r="E61" s="19">
        <f>IF(691769.45809="","-",794776.90527/691769.45809*100)</f>
        <v>114.89043003783475</v>
      </c>
      <c r="F61" s="19">
        <f>IF(691769.45809="","-",691769.45809/4332145.11781*100)</f>
        <v>15.968289133391394</v>
      </c>
      <c r="G61" s="19">
        <f>IF(794776.90527="","-",794776.90527/4048616.5172*100)</f>
        <v>19.630827021860377</v>
      </c>
      <c r="H61" s="19">
        <f>IF(3144504.53867="","-",(691769.45809-635226.79853)/3144504.53867*100)</f>
        <v>1.7981420877171077</v>
      </c>
      <c r="I61" s="19">
        <f>IF(4332145.11781="","-",(794776.90527-691769.45809)/4332145.11781*100)</f>
        <v>2.3777469216468141</v>
      </c>
      <c r="J61" s="30"/>
    </row>
    <row r="62" spans="1:10" x14ac:dyDescent="0.25">
      <c r="A62" s="30" t="s">
        <v>230</v>
      </c>
      <c r="B62" s="31" t="s">
        <v>139</v>
      </c>
      <c r="C62" s="43">
        <v>5458.6887500000003</v>
      </c>
      <c r="D62" s="20">
        <v>5805.6526700000004</v>
      </c>
      <c r="E62" s="20">
        <f>IF(OR(5458.68875="",5805.65267=""),"-",5805.65267/5458.68875*100)</f>
        <v>106.35617702145043</v>
      </c>
      <c r="F62" s="20">
        <f>IF(5458.68875="","-",5458.68875/4332145.11781*100)</f>
        <v>0.12600429121265205</v>
      </c>
      <c r="G62" s="20">
        <f>IF(5805.65267="","-",5805.65267/4048616.5172*100)</f>
        <v>0.14339843364604846</v>
      </c>
      <c r="H62" s="20">
        <f>IF(OR(3144504.53867="",2303.95944="",5458.68875=""),"-",(5458.68875-2303.95944)/3144504.53867*100)</f>
        <v>0.10032516319198333</v>
      </c>
      <c r="I62" s="20">
        <f>IF(OR(4332145.11781="",5805.65267="",5458.68875=""),"-",(5805.65267-5458.68875)/4332145.11781*100)</f>
        <v>8.0090558041000827E-3</v>
      </c>
      <c r="J62" s="30"/>
    </row>
    <row r="63" spans="1:10" ht="13.5" customHeight="1" x14ac:dyDescent="0.25">
      <c r="A63" s="30" t="s">
        <v>231</v>
      </c>
      <c r="B63" s="31" t="s">
        <v>140</v>
      </c>
      <c r="C63" s="43">
        <v>15908.037329999999</v>
      </c>
      <c r="D63" s="20">
        <v>33793.778160000002</v>
      </c>
      <c r="E63" s="20" t="s">
        <v>330</v>
      </c>
      <c r="F63" s="20">
        <f>IF(15908.03733="","-",15908.03733/4332145.11781*100)</f>
        <v>0.36720924385935355</v>
      </c>
      <c r="G63" s="20">
        <f>IF(33793.77816="","-",33793.77816/4048616.5172*100)</f>
        <v>0.83469940945090015</v>
      </c>
      <c r="H63" s="20">
        <f>IF(OR(3144504.53867="",13572.59788="",15908.03733=""),"-",(15908.03733-13572.59788)/3144504.53867*100)</f>
        <v>7.4270506570418171E-2</v>
      </c>
      <c r="I63" s="20">
        <f>IF(OR(4332145.11781="",33793.77816="",15908.03733=""),"-",(33793.77816-15908.03733)/4332145.11781*100)</f>
        <v>0.41286107329298477</v>
      </c>
      <c r="J63" s="30"/>
    </row>
    <row r="64" spans="1:10" ht="17.25" customHeight="1" x14ac:dyDescent="0.25">
      <c r="A64" s="30" t="s">
        <v>232</v>
      </c>
      <c r="B64" s="31" t="s">
        <v>141</v>
      </c>
      <c r="C64" s="43">
        <v>4599.8283799999999</v>
      </c>
      <c r="D64" s="20">
        <v>5035.5072899999996</v>
      </c>
      <c r="E64" s="20">
        <f>IF(OR(4599.82838="",5035.50729=""),"-",5035.50729/4599.82838*100)</f>
        <v>109.47163402648512</v>
      </c>
      <c r="F64" s="20">
        <f>IF(4599.82838="","-",4599.82838/4332145.11781*100)</f>
        <v>0.10617900035457077</v>
      </c>
      <c r="G64" s="20">
        <f>IF(5035.50729="","-",5035.50729/4048616.5172*100)</f>
        <v>0.12437600026101084</v>
      </c>
      <c r="H64" s="20">
        <f>IF(OR(3144504.53867="",4181.49643="",4599.82838=""),"-",(4599.82838-4181.49643)/3144504.53867*100)</f>
        <v>1.3303588684815111E-2</v>
      </c>
      <c r="I64" s="20">
        <f>IF(OR(4332145.11781="",5035.50729="",4599.82838=""),"-",(5035.50729-4599.82838)/4332145.11781*100)</f>
        <v>1.005688632656529E-2</v>
      </c>
      <c r="J64" s="30"/>
    </row>
    <row r="65" spans="1:10" ht="27.75" customHeight="1" x14ac:dyDescent="0.25">
      <c r="A65" s="30" t="s">
        <v>233</v>
      </c>
      <c r="B65" s="31" t="s">
        <v>142</v>
      </c>
      <c r="C65" s="43">
        <v>27501.349760000001</v>
      </c>
      <c r="D65" s="20">
        <v>40900.182569999997</v>
      </c>
      <c r="E65" s="20">
        <f>IF(OR(27501.34976="",40900.18257=""),"-",40900.18257/27501.34976*100)</f>
        <v>148.7206370848323</v>
      </c>
      <c r="F65" s="20">
        <f>IF(27501.34976="","-",27501.34976/4332145.11781*100)</f>
        <v>0.63482060300654408</v>
      </c>
      <c r="G65" s="20">
        <f>IF(40900.18257="","-",40900.18257/4048616.5172*100)</f>
        <v>1.0102261450606917</v>
      </c>
      <c r="H65" s="20">
        <f>IF(OR(3144504.53867="",25208.26865="",27501.34976=""),"-",(27501.34976-25208.26865)/3144504.53867*100)</f>
        <v>7.2923447296720414E-2</v>
      </c>
      <c r="I65" s="20">
        <f>IF(OR(4332145.11781="",40900.18257="",27501.34976=""),"-",(40900.18257-27501.34976)/4332145.11781*100)</f>
        <v>0.30928864213056229</v>
      </c>
      <c r="J65" s="30"/>
    </row>
    <row r="66" spans="1:10" ht="27" customHeight="1" x14ac:dyDescent="0.25">
      <c r="A66" s="30" t="s">
        <v>234</v>
      </c>
      <c r="B66" s="31" t="s">
        <v>143</v>
      </c>
      <c r="C66" s="43">
        <v>7038.7016999999996</v>
      </c>
      <c r="D66" s="20">
        <v>11327.752920000001</v>
      </c>
      <c r="E66" s="20" t="s">
        <v>336</v>
      </c>
      <c r="F66" s="20">
        <f>IF(7038.7017="","-",7038.7017/4332145.11781*100)</f>
        <v>0.16247612922898177</v>
      </c>
      <c r="G66" s="20">
        <f>IF(11327.75292="","-",11327.75292/4048616.5172*100)</f>
        <v>0.27979318050686136</v>
      </c>
      <c r="H66" s="20">
        <f>IF(OR(3144504.53867="",1939.04486="",7038.7017=""),"-",(7038.7017-1939.04486)/3144504.53867*100)</f>
        <v>0.16217680010590638</v>
      </c>
      <c r="I66" s="20">
        <f>IF(OR(4332145.11781="",11327.75292="",7038.7017=""),"-",(11327.75292-7038.7017)/4332145.11781*100)</f>
        <v>9.9005252671873017E-2</v>
      </c>
      <c r="J66" s="30"/>
    </row>
    <row r="67" spans="1:10" ht="27" customHeight="1" x14ac:dyDescent="0.25">
      <c r="A67" s="30" t="s">
        <v>235</v>
      </c>
      <c r="B67" s="31" t="s">
        <v>144</v>
      </c>
      <c r="C67" s="43">
        <v>3434.93831</v>
      </c>
      <c r="D67" s="20">
        <v>6688.5020999999997</v>
      </c>
      <c r="E67" s="20" t="s">
        <v>327</v>
      </c>
      <c r="F67" s="20">
        <f>IF(3434.93831="","-",3434.93831/4332145.11781*100)</f>
        <v>7.9289548632120649E-2</v>
      </c>
      <c r="G67" s="20">
        <f>IF(6688.5021="","-",6688.5021/4048616.5172*100)</f>
        <v>0.16520463401719582</v>
      </c>
      <c r="H67" s="20">
        <f>IF(OR(3144504.53867="",2699.70727="",3434.93831=""),"-",(3434.93831-2699.70727)/3144504.53867*100)</f>
        <v>2.3381459017100783E-2</v>
      </c>
      <c r="I67" s="20">
        <f>IF(OR(4332145.11781="",6688.5021="",3434.93831=""),"-",(6688.5021-3434.93831)/4332145.11781*100)</f>
        <v>7.5102834774028807E-2</v>
      </c>
      <c r="J67" s="30"/>
    </row>
    <row r="68" spans="1:10" ht="37.5" customHeight="1" x14ac:dyDescent="0.25">
      <c r="A68" s="30" t="s">
        <v>236</v>
      </c>
      <c r="B68" s="31" t="s">
        <v>145</v>
      </c>
      <c r="C68" s="43">
        <v>528343.43382000003</v>
      </c>
      <c r="D68" s="20">
        <v>622864.05758999998</v>
      </c>
      <c r="E68" s="20">
        <f>IF(OR(528343.43382="",622864.05759=""),"-",622864.05759/528343.43382*100)</f>
        <v>117.88999686938513</v>
      </c>
      <c r="F68" s="20">
        <f>IF(528343.43382="","-",528343.43382/4332145.11781*100)</f>
        <v>12.195884935800349</v>
      </c>
      <c r="G68" s="20">
        <f>IF(622864.05759="","-",622864.05759/4048616.5172*100)</f>
        <v>15.38461484173288</v>
      </c>
      <c r="H68" s="20">
        <f>IF(OR(3144504.53867="",522086.00464="",528343.43382=""),"-",(528343.43382-522086.00464)/3144504.53867*100)</f>
        <v>0.19899571150393944</v>
      </c>
      <c r="I68" s="20">
        <f>IF(OR(4332145.11781="",622864.05759="",528343.43382=""),"-",(622864.05759-528343.43382)/4332145.11781*100)</f>
        <v>2.1818434332084959</v>
      </c>
      <c r="J68" s="30"/>
    </row>
    <row r="69" spans="1:10" ht="15" customHeight="1" x14ac:dyDescent="0.25">
      <c r="A69" s="30" t="s">
        <v>237</v>
      </c>
      <c r="B69" s="31" t="s">
        <v>146</v>
      </c>
      <c r="C69" s="43">
        <v>96195.821660000001</v>
      </c>
      <c r="D69" s="20">
        <v>60990.634310000001</v>
      </c>
      <c r="E69" s="20">
        <f>IF(OR(96195.82166="",60990.63431=""),"-",60990.63431/96195.82166*100)</f>
        <v>63.402581585683393</v>
      </c>
      <c r="F69" s="20">
        <f>IF(96195.82166="","-",96195.82166/4332145.11781*100)</f>
        <v>2.2205124492373707</v>
      </c>
      <c r="G69" s="20">
        <f>IF(60990.63431="","-",60990.63431/4048616.5172*100)</f>
        <v>1.5064561943787349</v>
      </c>
      <c r="H69" s="20">
        <f>IF(OR(3144504.53867="",61989.2131="",96195.82166=""),"-",(96195.82166-61989.2131)/3144504.53867*100)</f>
        <v>1.087821885430257</v>
      </c>
      <c r="I69" s="20">
        <f>IF(OR(4332145.11781="",60990.63431="",96195.82166=""),"-",(60990.63431-96195.82166)/4332145.11781*100)</f>
        <v>-0.81265023198939002</v>
      </c>
      <c r="J69" s="30"/>
    </row>
    <row r="70" spans="1:10" x14ac:dyDescent="0.25">
      <c r="A70" s="30" t="s">
        <v>238</v>
      </c>
      <c r="B70" s="31" t="s">
        <v>27</v>
      </c>
      <c r="C70" s="43">
        <v>3288.6583799999999</v>
      </c>
      <c r="D70" s="20">
        <v>7370.8376600000001</v>
      </c>
      <c r="E70" s="20" t="s">
        <v>332</v>
      </c>
      <c r="F70" s="20">
        <f>IF(3288.65838="","-",3288.65838/4332145.11781*100)</f>
        <v>7.5912932059452654E-2</v>
      </c>
      <c r="G70" s="20">
        <f>IF(7370.83766="","-",7370.83766/4048616.5172*100)</f>
        <v>0.18205818280605221</v>
      </c>
      <c r="H70" s="20">
        <f>IF(OR(3144504.53867="",1246.50626="",3288.65838=""),"-",(3288.65838-1246.50626)/3144504.53867*100)</f>
        <v>6.4943525915969857E-2</v>
      </c>
      <c r="I70" s="20">
        <f>IF(OR(4332145.11781="",7370.83766="",3288.65838=""),"-",(7370.83766-3288.65838)/4332145.11781*100)</f>
        <v>9.4229975427592247E-2</v>
      </c>
      <c r="J70" s="28"/>
    </row>
    <row r="71" spans="1:10" ht="14.25" customHeight="1" x14ac:dyDescent="0.25">
      <c r="A71" s="28" t="s">
        <v>239</v>
      </c>
      <c r="B71" s="29" t="s">
        <v>28</v>
      </c>
      <c r="C71" s="44">
        <v>629674.88803999999</v>
      </c>
      <c r="D71" s="19">
        <v>614019.82408000005</v>
      </c>
      <c r="E71" s="19">
        <f>IF(629674.88804="","-",614019.82408/629674.88804*100)</f>
        <v>97.513786200251729</v>
      </c>
      <c r="F71" s="19">
        <f>IF(629674.88804="","-",629674.88804/4332145.11781*100)</f>
        <v>14.534944488616652</v>
      </c>
      <c r="G71" s="19">
        <f>IF(614019.82408="","-",614019.82408/4048616.5172*100)</f>
        <v>15.166164082753204</v>
      </c>
      <c r="H71" s="19">
        <f>IF(3144504.53867="","-",(629674.88804-590356.996)/3144504.53867*100)</f>
        <v>1.2503684302720022</v>
      </c>
      <c r="I71" s="19">
        <f>IF(4332145.11781="","-",(614019.82408-629674.88804)/4332145.11781*100)</f>
        <v>-0.36136979566173766</v>
      </c>
      <c r="J71" s="30"/>
    </row>
    <row r="72" spans="1:10" ht="27.75" customHeight="1" x14ac:dyDescent="0.25">
      <c r="A72" s="30" t="s">
        <v>240</v>
      </c>
      <c r="B72" s="31" t="s">
        <v>172</v>
      </c>
      <c r="C72" s="43">
        <v>19136.28513</v>
      </c>
      <c r="D72" s="20">
        <v>13657.93721</v>
      </c>
      <c r="E72" s="20">
        <f>IF(OR(19136.28513="",13657.93721=""),"-",13657.93721/19136.28513*100)</f>
        <v>71.37193617892126</v>
      </c>
      <c r="F72" s="20">
        <f>IF(19136.28513="","-",19136.28513/4332145.11781*100)</f>
        <v>0.44172770324171035</v>
      </c>
      <c r="G72" s="20">
        <f>IF(13657.93721="","-",13657.93721/4048616.5172*100)</f>
        <v>0.33734825592831774</v>
      </c>
      <c r="H72" s="20">
        <f>IF(OR(3144504.53867="",15234.63496="",19136.28513=""),"-",(19136.28513-15234.63496)/3144504.53867*100)</f>
        <v>0.12407837616447656</v>
      </c>
      <c r="I72" s="20">
        <f>IF(OR(4332145.11781="",13657.93721="",19136.28513=""),"-",(13657.93721-19136.28513)/4332145.11781*100)</f>
        <v>-0.12645808879942214</v>
      </c>
      <c r="J72" s="30"/>
    </row>
    <row r="73" spans="1:10" ht="16.5" customHeight="1" x14ac:dyDescent="0.25">
      <c r="A73" s="30" t="s">
        <v>241</v>
      </c>
      <c r="B73" s="31" t="s">
        <v>147</v>
      </c>
      <c r="C73" s="43">
        <v>145457.71953</v>
      </c>
      <c r="D73" s="20">
        <v>144031.72829999999</v>
      </c>
      <c r="E73" s="20">
        <f>IF(OR(145457.71953="",144031.7283=""),"-",144031.7283/145457.71953*100)</f>
        <v>99.01965242229312</v>
      </c>
      <c r="F73" s="20">
        <f>IF(145457.71953="","-",145457.71953/4332145.11781*100)</f>
        <v>3.3576372807089223</v>
      </c>
      <c r="G73" s="20">
        <f>IF(144031.7283="","-",144031.7283/4048616.5172*100)</f>
        <v>3.5575542333560279</v>
      </c>
      <c r="H73" s="20">
        <f>IF(OR(3144504.53867="",157215.49064="",145457.71953=""),"-",(145457.71953-157215.49064)/3144504.53867*100)</f>
        <v>-0.37391490345798861</v>
      </c>
      <c r="I73" s="20">
        <f>IF(OR(4332145.11781="",144031.7283="",145457.71953=""),"-",(144031.7283-145457.71953)/4332145.11781*100)</f>
        <v>-3.2916515749612886E-2</v>
      </c>
      <c r="J73" s="30"/>
    </row>
    <row r="74" spans="1:10" x14ac:dyDescent="0.25">
      <c r="A74" s="30" t="s">
        <v>242</v>
      </c>
      <c r="B74" s="31" t="s">
        <v>148</v>
      </c>
      <c r="C74" s="43">
        <v>15517.25707</v>
      </c>
      <c r="D74" s="20">
        <v>13183.85103</v>
      </c>
      <c r="E74" s="20">
        <f>IF(OR(15517.25707="",13183.85103=""),"-",13183.85103/15517.25707*100)</f>
        <v>84.962509614464992</v>
      </c>
      <c r="F74" s="20">
        <f>IF(15517.25707="","-",15517.25707/4332145.11781*100)</f>
        <v>0.35818876441157477</v>
      </c>
      <c r="G74" s="20">
        <f>IF(13183.85103="","-",13183.85103/4048616.5172*100)</f>
        <v>0.32563842423677791</v>
      </c>
      <c r="H74" s="20">
        <f>IF(OR(3144504.53867="",14456.2756="",15517.25707=""),"-",(15517.25707-14456.2756)/3144504.53867*100)</f>
        <v>3.3740815347932419E-2</v>
      </c>
      <c r="I74" s="20">
        <f>IF(OR(4332145.11781="",13183.85103="",15517.25707=""),"-",(13183.85103-15517.25707)/4332145.11781*100)</f>
        <v>-5.3862601010457166E-2</v>
      </c>
      <c r="J74" s="30"/>
    </row>
    <row r="75" spans="1:10" ht="17.25" customHeight="1" x14ac:dyDescent="0.25">
      <c r="A75" s="30" t="s">
        <v>243</v>
      </c>
      <c r="B75" s="31" t="s">
        <v>149</v>
      </c>
      <c r="C75" s="43">
        <v>296355.07688000001</v>
      </c>
      <c r="D75" s="20">
        <v>288112.86682</v>
      </c>
      <c r="E75" s="20">
        <f>IF(OR(296355.07688="",288112.86682=""),"-",288112.86682/296355.07688*100)</f>
        <v>97.218805850477324</v>
      </c>
      <c r="F75" s="20">
        <f>IF(296355.07688="","-",296355.07688/4332145.11781*100)</f>
        <v>6.8408390952012805</v>
      </c>
      <c r="G75" s="20">
        <f>IF(288112.86682="","-",288112.86682/4048616.5172*100)</f>
        <v>7.1163288890412666</v>
      </c>
      <c r="H75" s="20">
        <f>IF(OR(3144504.53867="",275939.85388="",296355.07688=""),"-",(296355.07688-275939.85388)/3144504.53867*100)</f>
        <v>0.64923496687445781</v>
      </c>
      <c r="I75" s="20">
        <f>IF(OR(4332145.11781="",288112.86682="",296355.07688=""),"-",(288112.86682-296355.07688)/4332145.11781*100)</f>
        <v>-0.1902570166939985</v>
      </c>
      <c r="J75" s="30"/>
    </row>
    <row r="76" spans="1:10" ht="16.5" customHeight="1" x14ac:dyDescent="0.25">
      <c r="A76" s="30" t="s">
        <v>244</v>
      </c>
      <c r="B76" s="31" t="s">
        <v>150</v>
      </c>
      <c r="C76" s="43">
        <v>41433.522360000003</v>
      </c>
      <c r="D76" s="20">
        <v>27561.252059999999</v>
      </c>
      <c r="E76" s="20">
        <f>IF(OR(41433.52236="",27561.25206=""),"-",27561.25206/41433.52236*100)</f>
        <v>66.519210750490473</v>
      </c>
      <c r="F76" s="20">
        <f>IF(41433.52236="","-",41433.52236/4332145.11781*100)</f>
        <v>0.95642046222462684</v>
      </c>
      <c r="G76" s="20">
        <f>IF(27561.25206="","-",27561.25206/4048616.5172*100)</f>
        <v>0.68075728938292235</v>
      </c>
      <c r="H76" s="20">
        <f>IF(OR(3144504.53867="",37129.63126="",41433.52236=""),"-",(41433.52236-37129.63126)/3144504.53867*100)</f>
        <v>0.13687024607763407</v>
      </c>
      <c r="I76" s="20">
        <f>IF(OR(4332145.11781="",27561.25206="",41433.52236=""),"-",(27561.25206-41433.52236)/4332145.11781*100)</f>
        <v>-0.32021711929661212</v>
      </c>
      <c r="J76" s="30"/>
    </row>
    <row r="77" spans="1:10" ht="15" customHeight="1" x14ac:dyDescent="0.25">
      <c r="A77" s="30" t="s">
        <v>245</v>
      </c>
      <c r="B77" s="31" t="s">
        <v>277</v>
      </c>
      <c r="C77" s="43">
        <v>23895.924800000001</v>
      </c>
      <c r="D77" s="20">
        <v>30972.877759999999</v>
      </c>
      <c r="E77" s="20">
        <f>IF(OR(23895.9248="",30972.87776=""),"-",30972.87776/23895.9248*100)</f>
        <v>129.61573163303558</v>
      </c>
      <c r="F77" s="20">
        <f>IF(23895.9248="","-",23895.9248/4332145.11781*100)</f>
        <v>0.55159566796968118</v>
      </c>
      <c r="G77" s="20">
        <f>IF(30972.87776="","-",30972.87776/4048616.5172*100)</f>
        <v>0.76502374646785909</v>
      </c>
      <c r="H77" s="20">
        <f>IF(OR(3144504.53867="",22955.05819="",23895.9248=""),"-",(23895.9248-22955.05819)/3144504.53867*100)</f>
        <v>2.9920981141211837E-2</v>
      </c>
      <c r="I77" s="20">
        <f>IF(OR(4332145.11781="",30972.87776="",23895.9248=""),"-",(30972.87776-23895.9248)/4332145.11781*100)</f>
        <v>0.16335909272535087</v>
      </c>
      <c r="J77" s="30"/>
    </row>
    <row r="78" spans="1:10" ht="27" customHeight="1" x14ac:dyDescent="0.25">
      <c r="A78" s="30" t="s">
        <v>246</v>
      </c>
      <c r="B78" s="31" t="s">
        <v>151</v>
      </c>
      <c r="C78" s="43">
        <v>6490.8480799999998</v>
      </c>
      <c r="D78" s="20">
        <v>7468.5436200000004</v>
      </c>
      <c r="E78" s="20">
        <f>IF(OR(6490.84808="",7468.54362=""),"-",7468.54362/6490.84808*100)</f>
        <v>115.06267791126612</v>
      </c>
      <c r="F78" s="20">
        <f>IF(6490.84808="","-",6490.84808/4332145.11781*100)</f>
        <v>0.14982988573755984</v>
      </c>
      <c r="G78" s="20">
        <f>IF(7468.54362="","-",7468.54362/4048616.5172*100)</f>
        <v>0.18447150003639273</v>
      </c>
      <c r="H78" s="20">
        <f>IF(OR(3144504.53867="",3933.08152="",6490.84808=""),"-",(6490.84808-3933.08152)/3144504.53867*100)</f>
        <v>8.134084491039828E-2</v>
      </c>
      <c r="I78" s="20">
        <f>IF(OR(4332145.11781="",7468.54362="",6490.84808=""),"-",(7468.54362-6490.84808)/4332145.11781*100)</f>
        <v>2.2568393103466682E-2</v>
      </c>
      <c r="J78" s="30"/>
    </row>
    <row r="79" spans="1:10" x14ac:dyDescent="0.25">
      <c r="A79" s="30" t="s">
        <v>247</v>
      </c>
      <c r="B79" s="31" t="s">
        <v>29</v>
      </c>
      <c r="C79" s="43">
        <v>81388.254190000007</v>
      </c>
      <c r="D79" s="20">
        <v>89030.76728</v>
      </c>
      <c r="E79" s="20">
        <f>IF(OR(81388.25419="",89030.76728=""),"-",89030.76728/81388.25419*100)</f>
        <v>109.39019170033876</v>
      </c>
      <c r="F79" s="20">
        <f>IF(81388.25419="","-",81388.25419/4332145.11781*100)</f>
        <v>1.8787056291212991</v>
      </c>
      <c r="G79" s="20">
        <f>IF(89030.76728="","-",89030.76728/4048616.5172*100)</f>
        <v>2.1990417443036359</v>
      </c>
      <c r="H79" s="20">
        <f>IF(OR(3144504.53867="",63492.96995="",81388.25419=""),"-",(81388.25419-63492.96995)/3144504.53867*100)</f>
        <v>0.56909710321388185</v>
      </c>
      <c r="I79" s="20">
        <f>IF(OR(4332145.11781="",89030.76728="",81388.25419=""),"-",(89030.76728-81388.25419)/4332145.11781*100)</f>
        <v>0.17641406005954532</v>
      </c>
      <c r="J79" s="30"/>
    </row>
    <row r="80" spans="1:10" x14ac:dyDescent="0.25">
      <c r="A80" s="33" t="s">
        <v>250</v>
      </c>
      <c r="B80" s="34" t="s">
        <v>152</v>
      </c>
      <c r="C80" s="69">
        <v>3910.7294299999999</v>
      </c>
      <c r="D80" s="38">
        <v>6961.5068600000004</v>
      </c>
      <c r="E80" s="38" t="s">
        <v>329</v>
      </c>
      <c r="F80" s="38">
        <f>IF(3910.72943="","-",3910.72943/4332145.11781*100)</f>
        <v>9.0272355233957741E-2</v>
      </c>
      <c r="G80" s="38">
        <f>IF(6961.50686="","-",6961.50686/4048616.5172*100)</f>
        <v>0.17194779575751318</v>
      </c>
      <c r="H80" s="38">
        <f>IF(3144504.53867="","-",(3910.72943-869.82707)/3144504.53867*100)</f>
        <v>9.670529403294105E-2</v>
      </c>
      <c r="I80" s="38">
        <f>IF(4332145.11781="","-",(6961.50686-3910.72943)/4332145.11781*100)</f>
        <v>7.0421866004854422E-2</v>
      </c>
      <c r="J80" s="30"/>
    </row>
    <row r="81" spans="1:12" s="18" customFormat="1" ht="15" customHeight="1" x14ac:dyDescent="0.2">
      <c r="A81" s="9" t="s">
        <v>253</v>
      </c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7"/>
    </row>
    <row r="82" spans="1:12" s="18" customFormat="1" ht="13.5" customHeight="1" x14ac:dyDescent="0.2">
      <c r="A82" s="10" t="s">
        <v>297</v>
      </c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7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82"/>
  <sheetViews>
    <sheetView zoomScaleNormal="100" workbookViewId="0">
      <selection activeCell="F82" sqref="F82"/>
    </sheetView>
  </sheetViews>
  <sheetFormatPr defaultRowHeight="15.75" x14ac:dyDescent="0.25"/>
  <cols>
    <col min="1" max="1" width="7.125" style="22" customWidth="1"/>
    <col min="2" max="2" width="41.625" style="22" customWidth="1"/>
    <col min="3" max="3" width="13.125" style="22" customWidth="1"/>
    <col min="4" max="4" width="12.875" style="22" customWidth="1"/>
    <col min="5" max="5" width="11.375" style="22" customWidth="1"/>
    <col min="6" max="7" width="9.5" style="22" customWidth="1"/>
    <col min="8" max="8" width="10.875" style="22" customWidth="1"/>
    <col min="9" max="9" width="11" style="22" customWidth="1"/>
  </cols>
  <sheetData>
    <row r="1" spans="1:12" s="25" customFormat="1" ht="12.75" x14ac:dyDescent="0.2">
      <c r="A1" s="24"/>
      <c r="B1" s="85" t="s">
        <v>310</v>
      </c>
      <c r="C1" s="85"/>
      <c r="D1" s="85"/>
      <c r="E1" s="85"/>
      <c r="F1" s="85"/>
      <c r="G1" s="85"/>
      <c r="H1" s="85"/>
      <c r="I1" s="85"/>
    </row>
    <row r="2" spans="1:12" s="25" customFormat="1" ht="12.75" x14ac:dyDescent="0.2">
      <c r="A2" s="24"/>
      <c r="B2" s="85" t="s">
        <v>252</v>
      </c>
      <c r="C2" s="85"/>
      <c r="D2" s="85"/>
      <c r="E2" s="85"/>
      <c r="F2" s="85"/>
      <c r="G2" s="85"/>
      <c r="H2" s="85"/>
      <c r="I2" s="85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</row>
    <row r="4" spans="1:12" ht="48" customHeight="1" x14ac:dyDescent="0.25">
      <c r="A4" s="93" t="s">
        <v>178</v>
      </c>
      <c r="B4" s="75"/>
      <c r="C4" s="77" t="s">
        <v>339</v>
      </c>
      <c r="D4" s="84"/>
      <c r="E4" s="82" t="s">
        <v>363</v>
      </c>
      <c r="F4" s="77" t="s">
        <v>91</v>
      </c>
      <c r="G4" s="78"/>
      <c r="H4" s="87" t="s">
        <v>309</v>
      </c>
      <c r="I4" s="95"/>
    </row>
    <row r="5" spans="1:12" ht="19.5" customHeight="1" x14ac:dyDescent="0.25">
      <c r="A5" s="94"/>
      <c r="B5" s="76"/>
      <c r="C5" s="13">
        <v>2022</v>
      </c>
      <c r="D5" s="13">
        <v>2023</v>
      </c>
      <c r="E5" s="83"/>
      <c r="F5" s="13">
        <v>2022</v>
      </c>
      <c r="G5" s="13">
        <v>2023</v>
      </c>
      <c r="H5" s="13" t="s">
        <v>358</v>
      </c>
      <c r="I5" s="12" t="s">
        <v>359</v>
      </c>
    </row>
    <row r="6" spans="1:12" s="16" customFormat="1" ht="15" customHeight="1" x14ac:dyDescent="0.2">
      <c r="A6" s="35"/>
      <c r="B6" s="57" t="s">
        <v>99</v>
      </c>
      <c r="C6" s="52">
        <v>9218978.7700999994</v>
      </c>
      <c r="D6" s="53">
        <v>8673668.2763899993</v>
      </c>
      <c r="E6" s="53">
        <f>IF(9218978.7701="","-",8673668.27639/9218978.7701*100)</f>
        <v>94.084914313084099</v>
      </c>
      <c r="F6" s="53">
        <v>100</v>
      </c>
      <c r="G6" s="53">
        <v>100</v>
      </c>
      <c r="H6" s="53">
        <f>IF(7176761.18511="","-",(9218978.7701-7176761.18511)/7176761.18511*100)</f>
        <v>28.455978014526867</v>
      </c>
      <c r="I6" s="53">
        <f>IF(9218978.7701="","-",(8673668.27639-9218978.7701)/9218978.7701*100)</f>
        <v>-5.9150856869158952</v>
      </c>
      <c r="J6" s="21"/>
      <c r="K6" s="55"/>
      <c r="L6" s="55"/>
    </row>
    <row r="7" spans="1:12" s="16" customFormat="1" ht="12.75" x14ac:dyDescent="0.2">
      <c r="A7" s="36"/>
      <c r="B7" s="41" t="s">
        <v>322</v>
      </c>
      <c r="C7" s="44"/>
      <c r="D7" s="19"/>
      <c r="E7" s="19"/>
      <c r="F7" s="19"/>
      <c r="G7" s="19"/>
      <c r="H7" s="19"/>
      <c r="I7" s="19"/>
      <c r="J7" s="21"/>
    </row>
    <row r="8" spans="1:12" x14ac:dyDescent="0.25">
      <c r="A8" s="28" t="s">
        <v>179</v>
      </c>
      <c r="B8" s="29" t="s">
        <v>153</v>
      </c>
      <c r="C8" s="44">
        <v>918694.65101000003</v>
      </c>
      <c r="D8" s="19">
        <v>978613.99127</v>
      </c>
      <c r="E8" s="19">
        <f>IF(918694.65101="","-",978613.99127/918694.65101*100)</f>
        <v>106.5222258771318</v>
      </c>
      <c r="F8" s="19">
        <f>IF(918694.65101="","-",918694.65101/9218978.7701*100)</f>
        <v>9.9652540039425084</v>
      </c>
      <c r="G8" s="19">
        <f>IF(978613.99127="","-",978613.99127/8673668.27639*100)</f>
        <v>11.282584946600025</v>
      </c>
      <c r="H8" s="19">
        <f>IF(7176761.18511="","-",(918694.65101-769344.20227)/7176761.18511*100)</f>
        <v>2.0810285432078355</v>
      </c>
      <c r="I8" s="19">
        <f>IF(9218978.7701="","-",(978613.99127-918694.65101)/9218978.7701*100)</f>
        <v>0.64995637536705186</v>
      </c>
    </row>
    <row r="9" spans="1:12" x14ac:dyDescent="0.25">
      <c r="A9" s="30" t="s">
        <v>180</v>
      </c>
      <c r="B9" s="31" t="s">
        <v>17</v>
      </c>
      <c r="C9" s="43">
        <v>8563.9101599999995</v>
      </c>
      <c r="D9" s="20">
        <v>12833.000480000001</v>
      </c>
      <c r="E9" s="20">
        <f>IF(OR(8563.91016="",12833.00048=""),"-",12833.00048/8563.91016*100)</f>
        <v>149.84977936760609</v>
      </c>
      <c r="F9" s="20">
        <f>IF(8563.91016="","-",8563.91016/9218978.7701*100)</f>
        <v>9.2894347341111252E-2</v>
      </c>
      <c r="G9" s="20">
        <f>IF(12833.00048="","-",12833.00048/8673668.27639*100)</f>
        <v>0.14795355403355506</v>
      </c>
      <c r="H9" s="20">
        <f>IF(OR(7176761.18511="",5621.50785="",8563.91016=""),"-",(8563.91016-5621.50785)/7176761.18511*100)</f>
        <v>4.0999027752306356E-2</v>
      </c>
      <c r="I9" s="20">
        <f>IF(OR(9218978.7701="",12833.00048="",8563.91016=""),"-",(12833.00048-8563.91016)/9218978.7701*100)</f>
        <v>4.6307627194521611E-2</v>
      </c>
    </row>
    <row r="10" spans="1:12" x14ac:dyDescent="0.25">
      <c r="A10" s="30" t="s">
        <v>181</v>
      </c>
      <c r="B10" s="31" t="s">
        <v>154</v>
      </c>
      <c r="C10" s="43">
        <v>78945.062900000004</v>
      </c>
      <c r="D10" s="20">
        <v>79227.73474</v>
      </c>
      <c r="E10" s="20">
        <f>IF(OR(78945.0629="",79227.73474=""),"-",79227.73474/78945.0629*100)</f>
        <v>100.35806145389745</v>
      </c>
      <c r="F10" s="20">
        <f>IF(78945.0629="","-",78945.0629/9218978.7701*100)</f>
        <v>0.85633197416663187</v>
      </c>
      <c r="G10" s="20">
        <f>IF(79227.73474="","-",79227.73474/8673668.27639*100)</f>
        <v>0.91342823146304086</v>
      </c>
      <c r="H10" s="20">
        <f>IF(OR(7176761.18511="",64560.45936="",78945.0629=""),"-",(78945.0629-64560.45936)/7176761.18511*100)</f>
        <v>0.20043308073068514</v>
      </c>
      <c r="I10" s="20">
        <f>IF(OR(9218978.7701="",79227.73474="",78945.0629=""),"-",(79227.73474-78945.0629)/9218978.7701*100)</f>
        <v>3.0661947168897671E-3</v>
      </c>
    </row>
    <row r="11" spans="1:12" s="2" customFormat="1" x14ac:dyDescent="0.25">
      <c r="A11" s="30" t="s">
        <v>182</v>
      </c>
      <c r="B11" s="31" t="s">
        <v>155</v>
      </c>
      <c r="C11" s="43">
        <v>116154.51626</v>
      </c>
      <c r="D11" s="20">
        <v>129201.37880000001</v>
      </c>
      <c r="E11" s="20">
        <f>IF(OR(116154.51626="",129201.3788=""),"-",129201.3788/116154.51626*100)</f>
        <v>111.23233341250022</v>
      </c>
      <c r="F11" s="20">
        <f>IF(116154.51626="","-",116154.51626/9218978.7701*100)</f>
        <v>1.2599499267394458</v>
      </c>
      <c r="G11" s="20">
        <f>IF(129201.3788="","-",129201.3788/8673668.27639*100)</f>
        <v>1.4895817396163313</v>
      </c>
      <c r="H11" s="20">
        <f>IF(OR(7176761.18511="",95740.95517="",116154.51626=""),"-",(116154.51626-95740.95517)/7176761.18511*100)</f>
        <v>0.28443974326961141</v>
      </c>
      <c r="I11" s="20">
        <f>IF(OR(9218978.7701="",129201.3788="",116154.51626=""),"-",(129201.3788-116154.51626)/9218978.7701*100)</f>
        <v>0.14152177660192705</v>
      </c>
    </row>
    <row r="12" spans="1:12" s="2" customFormat="1" x14ac:dyDescent="0.25">
      <c r="A12" s="30" t="s">
        <v>183</v>
      </c>
      <c r="B12" s="31" t="s">
        <v>156</v>
      </c>
      <c r="C12" s="43">
        <v>80977.950960000002</v>
      </c>
      <c r="D12" s="20">
        <v>95361.866840000002</v>
      </c>
      <c r="E12" s="20">
        <f>IF(OR(80977.95096="",95361.86684=""),"-",95361.86684/80977.95096*100)</f>
        <v>117.76275604590822</v>
      </c>
      <c r="F12" s="20">
        <f>IF(80977.95096="","-",80977.95096/9218978.7701*100)</f>
        <v>0.87838309404330706</v>
      </c>
      <c r="G12" s="20">
        <f>IF(95361.86684="","-",95361.86684/8673668.27639*100)</f>
        <v>1.0994410185086054</v>
      </c>
      <c r="H12" s="20">
        <f>IF(OR(7176761.18511="",77051.33992="",80977.95096=""),"-",(80977.95096-77051.33992)/7176761.18511*100)</f>
        <v>5.4712856380768914E-2</v>
      </c>
      <c r="I12" s="20">
        <f>IF(OR(9218978.7701="",95361.86684="",80977.95096=""),"-",(95361.86684-80977.95096)/9218978.7701*100)</f>
        <v>0.15602504614341331</v>
      </c>
    </row>
    <row r="13" spans="1:12" s="2" customFormat="1" x14ac:dyDescent="0.25">
      <c r="A13" s="30" t="s">
        <v>184</v>
      </c>
      <c r="B13" s="31" t="s">
        <v>157</v>
      </c>
      <c r="C13" s="43">
        <v>158784.42306999999</v>
      </c>
      <c r="D13" s="20">
        <v>137412.01506000001</v>
      </c>
      <c r="E13" s="20">
        <f>IF(OR(158784.42307="",137412.01506=""),"-",137412.01506/158784.42307*100)</f>
        <v>86.539984466500229</v>
      </c>
      <c r="F13" s="20">
        <f>IF(158784.42307="","-",158784.42307/9218978.7701*100)</f>
        <v>1.7223645593477988</v>
      </c>
      <c r="G13" s="20">
        <f>IF(137412.01506="","-",137412.01506/8673668.27639*100)</f>
        <v>1.5842433752515053</v>
      </c>
      <c r="H13" s="20">
        <f>IF(OR(7176761.18511="",102451.93538="",158784.42307=""),"-",(158784.42307-102451.93538)/7176761.18511*100)</f>
        <v>0.78492910990093889</v>
      </c>
      <c r="I13" s="20">
        <f>IF(OR(9218978.7701="",137412.01506="",158784.42307=""),"-",(137412.01506-158784.42307)/9218978.7701*100)</f>
        <v>-0.23183053723170852</v>
      </c>
    </row>
    <row r="14" spans="1:12" s="2" customFormat="1" x14ac:dyDescent="0.25">
      <c r="A14" s="30" t="s">
        <v>185</v>
      </c>
      <c r="B14" s="31" t="s">
        <v>158</v>
      </c>
      <c r="C14" s="43">
        <v>191181.44732000001</v>
      </c>
      <c r="D14" s="20">
        <v>231068.62307999999</v>
      </c>
      <c r="E14" s="20">
        <f>IF(OR(191181.44732="",231068.62308=""),"-",231068.62308/191181.44732*100)</f>
        <v>120.86351804484288</v>
      </c>
      <c r="F14" s="20">
        <f>IF(191181.44732="","-",191181.44732/9218978.7701*100)</f>
        <v>2.0737811864808777</v>
      </c>
      <c r="G14" s="20">
        <f>IF(231068.62308="","-",231068.62308/8673668.27639*100)</f>
        <v>2.6640242134804271</v>
      </c>
      <c r="H14" s="20">
        <f>IF(OR(7176761.18511="",174548.69138="",191181.44732=""),"-",(191181.44732-174548.69138)/7176761.18511*100)</f>
        <v>0.23175852603969666</v>
      </c>
      <c r="I14" s="20">
        <f>IF(OR(9218978.7701="",231068.62308="",191181.44732=""),"-",(231068.62308-191181.44732)/9218978.7701*100)</f>
        <v>0.43266371205199466</v>
      </c>
    </row>
    <row r="15" spans="1:12" s="2" customFormat="1" x14ac:dyDescent="0.25">
      <c r="A15" s="30" t="s">
        <v>186</v>
      </c>
      <c r="B15" s="31" t="s">
        <v>116</v>
      </c>
      <c r="C15" s="43">
        <v>23917.372459999999</v>
      </c>
      <c r="D15" s="20">
        <v>25745.381420000002</v>
      </c>
      <c r="E15" s="20">
        <f>IF(OR(23917.37246="",25745.38142=""),"-",25745.38142/23917.37246*100)</f>
        <v>107.64301748888683</v>
      </c>
      <c r="F15" s="20">
        <f>IF(23917.37246="","-",23917.37246/9218978.7701*100)</f>
        <v>0.25943624620951983</v>
      </c>
      <c r="G15" s="20">
        <f>IF(25745.38142="","-",25745.38142/8673668.27639*100)</f>
        <v>0.29682229709060637</v>
      </c>
      <c r="H15" s="20">
        <f>IF(OR(7176761.18511="",19099.75941="",23917.37246=""),"-",(23917.37246-19099.75941)/7176761.18511*100)</f>
        <v>6.7127955434762868E-2</v>
      </c>
      <c r="I15" s="20">
        <f>IF(OR(9218978.7701="",25745.38142="",23917.37246=""),"-",(25745.38142-23917.37246)/9218978.7701*100)</f>
        <v>1.9828757670305105E-2</v>
      </c>
    </row>
    <row r="16" spans="1:12" s="2" customFormat="1" x14ac:dyDescent="0.25">
      <c r="A16" s="30" t="s">
        <v>187</v>
      </c>
      <c r="B16" s="31" t="s">
        <v>159</v>
      </c>
      <c r="C16" s="43">
        <v>75986.245739999998</v>
      </c>
      <c r="D16" s="20">
        <v>84793.266860000003</v>
      </c>
      <c r="E16" s="20">
        <f>IF(OR(75986.24574="",84793.26686=""),"-",84793.26686/75986.24574*100)</f>
        <v>111.59028326012412</v>
      </c>
      <c r="F16" s="20">
        <f>IF(75986.24574="","-",75986.24574/9218978.7701*100)</f>
        <v>0.82423712685451567</v>
      </c>
      <c r="G16" s="20">
        <f>IF(84793.26686="","-",84793.26686/8673668.27639*100)</f>
        <v>0.97759407159724987</v>
      </c>
      <c r="H16" s="20">
        <f>IF(OR(7176761.18511="",70266.81584="",75986.24574=""),"-",(75986.24574-70266.81584)/7176761.18511*100)</f>
        <v>7.9693746976928839E-2</v>
      </c>
      <c r="I16" s="20">
        <f>IF(OR(9218978.7701="",84793.26686="",75986.24574=""),"-",(84793.26686-75986.24574)/9218978.7701*100)</f>
        <v>9.5531417737547017E-2</v>
      </c>
    </row>
    <row r="17" spans="1:9" s="2" customFormat="1" x14ac:dyDescent="0.25">
      <c r="A17" s="30" t="s">
        <v>188</v>
      </c>
      <c r="B17" s="31" t="s">
        <v>117</v>
      </c>
      <c r="C17" s="43">
        <v>57166.616990000002</v>
      </c>
      <c r="D17" s="20">
        <v>59679.03458</v>
      </c>
      <c r="E17" s="20">
        <f>IF(OR(57166.61699="",59679.03458=""),"-",59679.03458/57166.61699*100)</f>
        <v>104.39490339342537</v>
      </c>
      <c r="F17" s="20">
        <f>IF(57166.61699="","-",57166.61699/9218978.7701*100)</f>
        <v>0.6200970673173587</v>
      </c>
      <c r="G17" s="20">
        <f>IF(59679.03458="","-",59679.03458/8673668.27639*100)</f>
        <v>0.68804838596892426</v>
      </c>
      <c r="H17" s="20">
        <f>IF(OR(7176761.18511="",48542.6677="",57166.61699=""),"-",(57166.61699-48542.6677)/7176761.18511*100)</f>
        <v>0.12016491934958851</v>
      </c>
      <c r="I17" s="20">
        <f>IF(OR(9218978.7701="",59679.03458="",57166.61699=""),"-",(59679.03458-57166.61699)/9218978.7701*100)</f>
        <v>2.7252667054061836E-2</v>
      </c>
    </row>
    <row r="18" spans="1:9" s="2" customFormat="1" x14ac:dyDescent="0.25">
      <c r="A18" s="30" t="s">
        <v>189</v>
      </c>
      <c r="B18" s="31" t="s">
        <v>160</v>
      </c>
      <c r="C18" s="43">
        <v>127017.10515</v>
      </c>
      <c r="D18" s="20">
        <v>123291.68941000001</v>
      </c>
      <c r="E18" s="20">
        <f>IF(OR(127017.10515="",123291.68941=""),"-",123291.68941/127017.10515*100)</f>
        <v>97.066996814641229</v>
      </c>
      <c r="F18" s="20">
        <f>IF(127017.10515="","-",127017.10515/9218978.7701*100)</f>
        <v>1.3777784754419413</v>
      </c>
      <c r="G18" s="20">
        <f>IF(123291.68941="","-",123291.68941/8673668.27639*100)</f>
        <v>1.4214480595897805</v>
      </c>
      <c r="H18" s="20">
        <f>IF(OR(7176761.18511="",111460.07026="",127017.10515=""),"-",(127017.10515-111460.07026)/7176761.18511*100)</f>
        <v>0.21676957737254793</v>
      </c>
      <c r="I18" s="20">
        <f>IF(OR(9218978.7701="",123291.68941="",127017.10515=""),"-",(123291.68941-127017.10515)/9218978.7701*100)</f>
        <v>-4.0410286571899622E-2</v>
      </c>
    </row>
    <row r="19" spans="1:9" s="2" customFormat="1" x14ac:dyDescent="0.25">
      <c r="A19" s="28" t="s">
        <v>190</v>
      </c>
      <c r="B19" s="29" t="s">
        <v>161</v>
      </c>
      <c r="C19" s="44">
        <v>132369.68914999999</v>
      </c>
      <c r="D19" s="19">
        <v>141640.13065000001</v>
      </c>
      <c r="E19" s="19">
        <f>IF(132369.68915="","-",141640.13065/132369.68915*100)</f>
        <v>107.00344735983691</v>
      </c>
      <c r="F19" s="19">
        <f>IF(132369.68915="","-",132369.68915/9218978.7701*100)</f>
        <v>1.4358389627635966</v>
      </c>
      <c r="G19" s="19">
        <f>IF(141640.13065="","-",141640.13065/8673668.27639*100)</f>
        <v>1.6329899430849684</v>
      </c>
      <c r="H19" s="19">
        <f>IF(7176761.18511="","-",(132369.68915-131799.69285)/7176761.18511*100)</f>
        <v>7.9422497878653096E-3</v>
      </c>
      <c r="I19" s="19">
        <f>IF(9218978.7701="","-",(141640.13065-132369.68915)/9218978.7701*100)</f>
        <v>0.10055822592917693</v>
      </c>
    </row>
    <row r="20" spans="1:9" s="2" customFormat="1" x14ac:dyDescent="0.25">
      <c r="A20" s="30" t="s">
        <v>191</v>
      </c>
      <c r="B20" s="31" t="s">
        <v>162</v>
      </c>
      <c r="C20" s="43">
        <v>82925.668860000005</v>
      </c>
      <c r="D20" s="20">
        <v>94527.757230000003</v>
      </c>
      <c r="E20" s="20">
        <f>IF(OR(82925.66886="",94527.75723=""),"-",94527.75723/82925.66886*100)</f>
        <v>113.9909494002241</v>
      </c>
      <c r="F20" s="20">
        <f>IF(82925.66886="","-",82925.66886/9218978.7701*100)</f>
        <v>0.89951035714447691</v>
      </c>
      <c r="G20" s="20">
        <f>IF(94527.75723="","-",94527.75723/8673668.27639*100)</f>
        <v>1.08982444587266</v>
      </c>
      <c r="H20" s="20">
        <f>IF(OR(7176761.18511="",77588.6333="",82925.66886=""),"-",(82925.66886-77588.6333)/7176761.18511*100)</f>
        <v>7.436551701167135E-2</v>
      </c>
      <c r="I20" s="20">
        <f>IF(OR(9218978.7701="",94527.75723="",82925.66886=""),"-",(94527.75723-82925.66886)/9218978.7701*100)</f>
        <v>0.1258500389178589</v>
      </c>
    </row>
    <row r="21" spans="1:9" s="2" customFormat="1" x14ac:dyDescent="0.25">
      <c r="A21" s="30" t="s">
        <v>192</v>
      </c>
      <c r="B21" s="31" t="s">
        <v>163</v>
      </c>
      <c r="C21" s="43">
        <v>49444.02029</v>
      </c>
      <c r="D21" s="20">
        <v>47112.373420000004</v>
      </c>
      <c r="E21" s="20">
        <f>IF(OR(49444.02029="",47112.37342=""),"-",47112.37342/49444.02029*100)</f>
        <v>95.284269247677727</v>
      </c>
      <c r="F21" s="20">
        <f>IF(49444.02029="","-",49444.02029/9218978.7701*100)</f>
        <v>0.53632860561911977</v>
      </c>
      <c r="G21" s="20">
        <f>IF(47112.37342="","-",47112.37342/8673668.27639*100)</f>
        <v>0.54316549721230845</v>
      </c>
      <c r="H21" s="20">
        <f>IF(OR(7176761.18511="",54211.05955="",49444.02029=""),"-",(49444.02029-54211.05955)/7176761.18511*100)</f>
        <v>-6.642326722380594E-2</v>
      </c>
      <c r="I21" s="20">
        <f>IF(OR(9218978.7701="",47112.37342="",49444.02029=""),"-",(47112.37342-49444.02029)/9218978.7701*100)</f>
        <v>-2.5291812988682102E-2</v>
      </c>
    </row>
    <row r="22" spans="1:9" s="2" customFormat="1" x14ac:dyDescent="0.25">
      <c r="A22" s="28" t="s">
        <v>193</v>
      </c>
      <c r="B22" s="29" t="s">
        <v>18</v>
      </c>
      <c r="C22" s="44">
        <v>271825.38175</v>
      </c>
      <c r="D22" s="19">
        <v>212523.36502999999</v>
      </c>
      <c r="E22" s="19">
        <f>IF(271825.38175="","-",212523.36503/271825.38175*100)</f>
        <v>78.183782420090353</v>
      </c>
      <c r="F22" s="19">
        <f>IF(271825.38175="","-",271825.38175/9218978.7701*100)</f>
        <v>2.9485411402791577</v>
      </c>
      <c r="G22" s="19">
        <f>IF(212523.36503="","-",212523.36503/8673668.27639*100)</f>
        <v>2.4502131999732493</v>
      </c>
      <c r="H22" s="19">
        <f>IF(7176761.18511="","-",(271825.38175-185851.45296)/7176761.18511*100)</f>
        <v>1.197948859833522</v>
      </c>
      <c r="I22" s="19">
        <f>IF(9218978.7701="","-",(212523.36503-271825.38175)/9218978.7701*100)</f>
        <v>-0.64326015059645003</v>
      </c>
    </row>
    <row r="23" spans="1:9" s="2" customFormat="1" x14ac:dyDescent="0.25">
      <c r="A23" s="30">
        <v>21</v>
      </c>
      <c r="B23" s="31" t="s">
        <v>346</v>
      </c>
      <c r="C23" s="43">
        <v>6.9120000000000001E-2</v>
      </c>
      <c r="D23" s="19" t="s">
        <v>272</v>
      </c>
      <c r="E23" s="20" t="str">
        <f>IF(OR(0.06912="",""=""),"-",""/0.06912*100)</f>
        <v>-</v>
      </c>
      <c r="F23" s="20">
        <f>IF(0.06912="","-",0.06912/9218978.7701*100)</f>
        <v>7.4975766539540743E-7</v>
      </c>
      <c r="G23" s="20" t="str">
        <f>IF(""="","-",""/8673668.27639*100)</f>
        <v>-</v>
      </c>
      <c r="H23" s="20">
        <f>IF(OR(7176761.18511="",15.41886="",0.06912=""),"-",(0.06912-15.41886)/7176761.18511*100)</f>
        <v>-2.1388115898083533E-4</v>
      </c>
      <c r="I23" s="20" t="str">
        <f>IF(OR(9218978.7701="",""="",0.06912=""),"-",(""-0.06912)/9218978.7701*100)</f>
        <v>-</v>
      </c>
    </row>
    <row r="24" spans="1:9" s="2" customFormat="1" x14ac:dyDescent="0.25">
      <c r="A24" s="30" t="s">
        <v>195</v>
      </c>
      <c r="B24" s="31" t="s">
        <v>164</v>
      </c>
      <c r="C24" s="43">
        <v>131366.14334000001</v>
      </c>
      <c r="D24" s="20">
        <v>78995.531010000006</v>
      </c>
      <c r="E24" s="20">
        <f>IF(OR(131366.14334="",78995.53101=""),"-",78995.53101/131366.14334*100)</f>
        <v>60.133858695649522</v>
      </c>
      <c r="F24" s="20">
        <f>IF(131366.14334="","-",131366.14334/9218978.7701*100)</f>
        <v>1.4249533122482183</v>
      </c>
      <c r="G24" s="20">
        <f>IF(78995.53101="","-",78995.53101/8673668.27639*100)</f>
        <v>0.91075112043457263</v>
      </c>
      <c r="H24" s="20">
        <f>IF(OR(7176761.18511="",47779.68108="",131366.14334=""),"-",(131366.14334-47779.68108)/7176761.18511*100)</f>
        <v>1.1646822306616693</v>
      </c>
      <c r="I24" s="20">
        <f>IF(OR(9218978.7701="",78995.53101="",131366.14334=""),"-",(78995.53101-131366.14334)/9218978.7701*100)</f>
        <v>-0.56807390098189725</v>
      </c>
    </row>
    <row r="25" spans="1:9" s="2" customFormat="1" x14ac:dyDescent="0.25">
      <c r="A25" s="30" t="s">
        <v>248</v>
      </c>
      <c r="B25" s="31" t="s">
        <v>165</v>
      </c>
      <c r="C25" s="43">
        <v>4318.2767800000001</v>
      </c>
      <c r="D25" s="20">
        <v>3730.0675099999999</v>
      </c>
      <c r="E25" s="20">
        <f>IF(OR(4318.27678="",3730.06751=""),"-",3730.06751/4318.27678*100)</f>
        <v>86.378611192217264</v>
      </c>
      <c r="F25" s="20">
        <f>IF(4318.27678="","-",4318.27678/9218978.7701*100)</f>
        <v>4.6841161995138852E-2</v>
      </c>
      <c r="G25" s="20">
        <f>IF(3730.06751="","-",3730.06751/8673668.27639*100)</f>
        <v>4.3004498110140579E-2</v>
      </c>
      <c r="H25" s="20">
        <f>IF(OR(7176761.18511="",2888.36303="",4318.27678=""),"-",(4318.27678-2888.36303)/7176761.18511*100)</f>
        <v>1.9924220872316562E-2</v>
      </c>
      <c r="I25" s="20">
        <f>IF(OR(9218978.7701="",3730.06751="",4318.27678=""),"-",(3730.06751-4318.27678)/9218978.7701*100)</f>
        <v>-6.3804167974412197E-3</v>
      </c>
    </row>
    <row r="26" spans="1:9" s="2" customFormat="1" x14ac:dyDescent="0.25">
      <c r="A26" s="30" t="s">
        <v>196</v>
      </c>
      <c r="B26" s="31" t="s">
        <v>166</v>
      </c>
      <c r="C26" s="43">
        <v>56429.427759999999</v>
      </c>
      <c r="D26" s="20">
        <v>43774.606379999997</v>
      </c>
      <c r="E26" s="20">
        <f>IF(OR(56429.42776="",43774.60638=""),"-",43774.60638/56429.42776*100)</f>
        <v>77.574074587780302</v>
      </c>
      <c r="F26" s="20">
        <f>IF(56429.42776="","-",56429.42776/9218978.7701*100)</f>
        <v>0.61210063681910287</v>
      </c>
      <c r="G26" s="20">
        <f>IF(43774.60638="","-",43774.60638/8673668.27639*100)</f>
        <v>0.50468388904329975</v>
      </c>
      <c r="H26" s="20">
        <f>IF(OR(7176761.18511="",57050.22999="",56429.42776=""),"-",(56429.42776-57050.22999)/7176761.18511*100)</f>
        <v>-8.6501726055481943E-3</v>
      </c>
      <c r="I26" s="20">
        <f>IF(OR(9218978.7701="",43774.60638="",56429.42776=""),"-",(43774.60638-56429.42776)/9218978.7701*100)</f>
        <v>-0.13726923226077384</v>
      </c>
    </row>
    <row r="27" spans="1:9" s="2" customFormat="1" x14ac:dyDescent="0.25">
      <c r="A27" s="30" t="s">
        <v>197</v>
      </c>
      <c r="B27" s="31" t="s">
        <v>118</v>
      </c>
      <c r="C27" s="43">
        <v>688.63099999999997</v>
      </c>
      <c r="D27" s="20">
        <v>337.11255</v>
      </c>
      <c r="E27" s="20">
        <f>IF(OR(688.631="",337.11255=""),"-",337.11255/688.631*100)</f>
        <v>48.954018915790897</v>
      </c>
      <c r="F27" s="20">
        <f>IF(688.631="","-",688.631/9218978.7701*100)</f>
        <v>7.4697102268360075E-3</v>
      </c>
      <c r="G27" s="20">
        <f>IF(337.11255="","-",337.11255/8673668.27639*100)</f>
        <v>3.8866202771165584E-3</v>
      </c>
      <c r="H27" s="20">
        <f>IF(OR(7176761.18511="",578.82904="",688.631=""),"-",(688.631-578.82904)/7176761.18511*100)</f>
        <v>1.5299653585772346E-3</v>
      </c>
      <c r="I27" s="20">
        <f>IF(OR(9218978.7701="",337.11255="",688.631=""),"-",(337.11255-688.631)/9218978.7701*100)</f>
        <v>-3.8129868694359408E-3</v>
      </c>
    </row>
    <row r="28" spans="1:9" s="2" customFormat="1" ht="27.75" customHeight="1" x14ac:dyDescent="0.25">
      <c r="A28" s="30" t="s">
        <v>198</v>
      </c>
      <c r="B28" s="31" t="s">
        <v>119</v>
      </c>
      <c r="C28" s="43">
        <v>9024.7772000000004</v>
      </c>
      <c r="D28" s="20">
        <v>7787.4156800000001</v>
      </c>
      <c r="E28" s="20">
        <f>IF(OR(9024.7772="",7787.41568=""),"-",7787.41568/9024.7772*100)</f>
        <v>86.289284570925474</v>
      </c>
      <c r="F28" s="20">
        <f>IF(9024.7772="","-",9024.7772/9218978.7701*100)</f>
        <v>9.7893458972594077E-2</v>
      </c>
      <c r="G28" s="20">
        <f>IF(7787.41568="","-",7787.41568/8673668.27639*100)</f>
        <v>8.9782263188431966E-2</v>
      </c>
      <c r="H28" s="20">
        <f>IF(OR(7176761.18511="",10568.79396="",9024.7772=""),"-",(9024.7772-10568.79396)/7176761.18511*100)</f>
        <v>-2.1514116468072705E-2</v>
      </c>
      <c r="I28" s="20">
        <f>IF(OR(9218978.7701="",7787.41568="",9024.7772=""),"-",(7787.41568-9024.7772)/9218978.7701*100)</f>
        <v>-1.3421893583410199E-2</v>
      </c>
    </row>
    <row r="29" spans="1:9" s="2" customFormat="1" ht="27" customHeight="1" x14ac:dyDescent="0.25">
      <c r="A29" s="30" t="s">
        <v>199</v>
      </c>
      <c r="B29" s="31" t="s">
        <v>120</v>
      </c>
      <c r="C29" s="43">
        <v>23130.73011</v>
      </c>
      <c r="D29" s="20">
        <v>24078.24955</v>
      </c>
      <c r="E29" s="20">
        <f>IF(OR(23130.73011="",24078.24955=""),"-",24078.24955/23130.73011*100)</f>
        <v>104.09636632952785</v>
      </c>
      <c r="F29" s="20">
        <f>IF(23130.73011="","-",23130.73011/9218978.7701*100)</f>
        <v>0.25090338839937582</v>
      </c>
      <c r="G29" s="20">
        <f>IF(24078.24955="","-",24078.24955/8673668.27639*100)</f>
        <v>0.27760168803713375</v>
      </c>
      <c r="H29" s="20">
        <f>IF(OR(7176761.18511="",19494.2381="",23130.73011=""),"-",(23130.73011-19494.2381)/7176761.18511*100)</f>
        <v>5.0670377851569325E-2</v>
      </c>
      <c r="I29" s="20">
        <f>IF(OR(9218978.7701="",24078.24955="",23130.73011=""),"-",(24078.24955-23130.73011)/9218978.7701*100)</f>
        <v>1.0277921922036514E-2</v>
      </c>
    </row>
    <row r="30" spans="1:9" s="2" customFormat="1" x14ac:dyDescent="0.25">
      <c r="A30" s="30" t="s">
        <v>200</v>
      </c>
      <c r="B30" s="31" t="s">
        <v>121</v>
      </c>
      <c r="C30" s="43">
        <v>2790.1769300000001</v>
      </c>
      <c r="D30" s="20">
        <v>2432.2884899999999</v>
      </c>
      <c r="E30" s="20">
        <f>IF(OR(2790.17693="",2432.28849=""),"-",2432.28849/2790.17693*100)</f>
        <v>87.173270764589105</v>
      </c>
      <c r="F30" s="20">
        <f>IF(2790.17693="","-",2790.17693/9218978.7701*100)</f>
        <v>3.0265574957710144E-2</v>
      </c>
      <c r="G30" s="20">
        <f>IF(2432.28849="","-",2432.28849/8673668.27639*100)</f>
        <v>2.8042212504492087E-2</v>
      </c>
      <c r="H30" s="20">
        <f>IF(OR(7176761.18511="",1483.18103="",2790.17693=""),"-",(2790.17693-1483.18103)/7176761.18511*100)</f>
        <v>1.8211500512399559E-2</v>
      </c>
      <c r="I30" s="20">
        <f>IF(OR(9218978.7701="",2432.28849="",2790.17693=""),"-",(2432.28849-2790.17693)/9218978.7701*100)</f>
        <v>-3.8820833513658055E-3</v>
      </c>
    </row>
    <row r="31" spans="1:9" s="2" customFormat="1" x14ac:dyDescent="0.25">
      <c r="A31" s="30" t="s">
        <v>201</v>
      </c>
      <c r="B31" s="31" t="s">
        <v>122</v>
      </c>
      <c r="C31" s="43">
        <v>44077.149510000003</v>
      </c>
      <c r="D31" s="20">
        <v>51388.093860000001</v>
      </c>
      <c r="E31" s="20">
        <f>IF(OR(44077.14951="",51388.09386=""),"-",51388.09386/44077.14951*100)</f>
        <v>116.58669952861023</v>
      </c>
      <c r="F31" s="20">
        <f>IF(44077.14951="","-",44077.14951/9218978.7701*100)</f>
        <v>0.47811314690251633</v>
      </c>
      <c r="G31" s="20">
        <f>IF(51388.09386="","-",51388.09386/8673668.27639*100)</f>
        <v>0.5924609083780622</v>
      </c>
      <c r="H31" s="20">
        <f>IF(OR(7176761.18511="",45992.71787="",44077.14951=""),"-",(44077.14951-45992.71787)/7176761.18511*100)</f>
        <v>-2.6691265190408271E-2</v>
      </c>
      <c r="I31" s="20">
        <f>IF(OR(9218978.7701="",51388.09386="",44077.14951=""),"-",(51388.09386-44077.14951)/9218978.7701*100)</f>
        <v>7.9303191083503227E-2</v>
      </c>
    </row>
    <row r="32" spans="1:9" s="2" customFormat="1" x14ac:dyDescent="0.25">
      <c r="A32" s="28" t="s">
        <v>202</v>
      </c>
      <c r="B32" s="29" t="s">
        <v>123</v>
      </c>
      <c r="C32" s="44">
        <v>2581590.7233799999</v>
      </c>
      <c r="D32" s="19">
        <v>1963200.2368699999</v>
      </c>
      <c r="E32" s="19">
        <f>IF(2581590.72338="","-",1963200.23687/2581590.72338*100)</f>
        <v>76.046145467227291</v>
      </c>
      <c r="F32" s="19">
        <f>IF(2581590.72338="","-",2581590.72338/9218978.7701*100)</f>
        <v>28.003001067242906</v>
      </c>
      <c r="G32" s="19">
        <f>IF(1963200.23687="","-",1963200.23687/8673668.27639*100)</f>
        <v>22.63402489364152</v>
      </c>
      <c r="H32" s="19">
        <f>IF(7176761.18511="","-",(2581590.72338-1072287.52547)/7176761.18511*100)</f>
        <v>21.03042248419008</v>
      </c>
      <c r="I32" s="19">
        <f>IF(9218978.7701="","-",(1963200.23687-2581590.72338)/9218978.7701*100)</f>
        <v>-6.7077981404581557</v>
      </c>
    </row>
    <row r="33" spans="1:9" s="2" customFormat="1" x14ac:dyDescent="0.25">
      <c r="A33" s="30" t="s">
        <v>203</v>
      </c>
      <c r="B33" s="31" t="s">
        <v>167</v>
      </c>
      <c r="C33" s="43">
        <v>39829.467689999998</v>
      </c>
      <c r="D33" s="20">
        <v>20109.98013</v>
      </c>
      <c r="E33" s="20">
        <f>IF(OR(39829.46769="",20109.98013=""),"-",20109.98013/39829.46769*100)</f>
        <v>50.49020560987568</v>
      </c>
      <c r="F33" s="20">
        <f>IF(39829.46769="","-",39829.46769/9218978.7701*100)</f>
        <v>0.43203774174184334</v>
      </c>
      <c r="G33" s="20">
        <f>IF(20109.98013="","-",20109.98013/8673668.27639*100)</f>
        <v>0.2318509249972126</v>
      </c>
      <c r="H33" s="20">
        <f>IF(OR(7176761.18511="",17940.82072="",39829.46769=""),"-",(39829.46769-17940.82072)/7176761.18511*100)</f>
        <v>0.30499338636784395</v>
      </c>
      <c r="I33" s="20">
        <f>IF(OR(9218978.7701="",20109.98013="",39829.46769=""),"-",(20109.98013-39829.46769)/9218978.7701*100)</f>
        <v>-0.21390099762412293</v>
      </c>
    </row>
    <row r="34" spans="1:9" s="2" customFormat="1" x14ac:dyDescent="0.25">
      <c r="A34" s="30" t="s">
        <v>204</v>
      </c>
      <c r="B34" s="31" t="s">
        <v>124</v>
      </c>
      <c r="C34" s="43">
        <v>1538737.12097</v>
      </c>
      <c r="D34" s="20">
        <v>1304305.3191800001</v>
      </c>
      <c r="E34" s="20">
        <f>IF(OR(1538737.12097="",1304305.31918=""),"-",1304305.31918/1538737.12097*100)</f>
        <v>84.764661968886728</v>
      </c>
      <c r="F34" s="20">
        <f>IF(1538737.12097="","-",1538737.12097/9218978.7701*100)</f>
        <v>16.690971520192676</v>
      </c>
      <c r="G34" s="20">
        <f>IF(1304305.31918="","-",1304305.31918/8673668.27639*100)</f>
        <v>15.037528270828165</v>
      </c>
      <c r="H34" s="20">
        <f>IF(OR(7176761.18511="",629268.70673="",1538737.12097=""),"-",(1538737.12097-629268.70673)/7176761.18511*100)</f>
        <v>12.67240738241258</v>
      </c>
      <c r="I34" s="20">
        <f>IF(OR(9218978.7701="",1304305.31918="",1538737.12097=""),"-",(1304305.31918-1538737.12097)/9218978.7701*100)</f>
        <v>-2.5429259317782007</v>
      </c>
    </row>
    <row r="35" spans="1:9" s="2" customFormat="1" x14ac:dyDescent="0.25">
      <c r="A35" s="30" t="s">
        <v>249</v>
      </c>
      <c r="B35" s="31" t="s">
        <v>168</v>
      </c>
      <c r="C35" s="43">
        <v>850495.60245999997</v>
      </c>
      <c r="D35" s="20">
        <v>581609.42266000004</v>
      </c>
      <c r="E35" s="20">
        <f>IF(OR(850495.60246="",581609.42266=""),"-",581609.42266/850495.60246*100)</f>
        <v>68.38476542121262</v>
      </c>
      <c r="F35" s="20">
        <f>IF(850495.60246="","-",850495.60246/9218978.7701*100)</f>
        <v>9.2254860724749719</v>
      </c>
      <c r="G35" s="20">
        <f>IF(581609.42266="","-",581609.42266/8673668.27639*100)</f>
        <v>6.705460759240232</v>
      </c>
      <c r="H35" s="20">
        <f>IF(OR(7176761.18511="",417336.63297="",850495.60246=""),"-",(850495.60246-417336.63297)/7176761.18511*100)</f>
        <v>6.0355773073332504</v>
      </c>
      <c r="I35" s="20">
        <f>IF(OR(9218978.7701="",581609.42266="",850495.60246=""),"-",(581609.42266-850495.60246)/9218978.7701*100)</f>
        <v>-2.9166590628463207</v>
      </c>
    </row>
    <row r="36" spans="1:9" s="2" customFormat="1" x14ac:dyDescent="0.25">
      <c r="A36" s="30" t="s">
        <v>254</v>
      </c>
      <c r="B36" s="31" t="s">
        <v>256</v>
      </c>
      <c r="C36" s="43">
        <v>152528.53226000001</v>
      </c>
      <c r="D36" s="20">
        <v>57175.514900000002</v>
      </c>
      <c r="E36" s="20">
        <f>IF(OR(152528.53226="",57175.5149=""),"-",57175.5149/152528.53226*100)</f>
        <v>37.485127571108251</v>
      </c>
      <c r="F36" s="20">
        <f>IF(152528.53226="","-",152528.53226/9218978.7701*100)</f>
        <v>1.6545057328334156</v>
      </c>
      <c r="G36" s="20">
        <f>IF(57175.5149="","-",57175.5149/8673668.27639*100)</f>
        <v>0.65918493857591454</v>
      </c>
      <c r="H36" s="20">
        <f>IF(OR(7176761.18511="",7741.36505="",152528.53226=""),"-",(152528.53226-7741.36505)/7176761.18511*100)</f>
        <v>2.0174444080764102</v>
      </c>
      <c r="I36" s="20">
        <f>IF(OR(9218978.7701="",57175.5149="",152528.53226=""),"-",(57175.5149-152528.53226)/9218978.7701*100)</f>
        <v>-1.0343121482095103</v>
      </c>
    </row>
    <row r="37" spans="1:9" s="2" customFormat="1" x14ac:dyDescent="0.25">
      <c r="A37" s="28" t="s">
        <v>205</v>
      </c>
      <c r="B37" s="29" t="s">
        <v>125</v>
      </c>
      <c r="C37" s="44">
        <v>61601.228230000001</v>
      </c>
      <c r="D37" s="19">
        <v>25152.231619999999</v>
      </c>
      <c r="E37" s="19">
        <f>IF(61601.22823="","-",25152.23162/61601.22823*100)</f>
        <v>40.830730721941642</v>
      </c>
      <c r="F37" s="19">
        <f>IF(61601.22823="","-",61601.22823/9218978.7701*100)</f>
        <v>0.66820013112289445</v>
      </c>
      <c r="G37" s="19">
        <f>IF(25152.23162="","-",25152.23162/8673668.27639*100)</f>
        <v>0.28998378562003774</v>
      </c>
      <c r="H37" s="19">
        <f>IF(7176761.18511="","-",(61601.22823-14621.66928)/7176761.18511*100)</f>
        <v>0.65460669149017991</v>
      </c>
      <c r="I37" s="19">
        <f>IF(9218978.7701="","-",(25152.23162-61601.22823)/9218978.7701*100)</f>
        <v>-0.39536913490044445</v>
      </c>
    </row>
    <row r="38" spans="1:9" s="2" customFormat="1" x14ac:dyDescent="0.25">
      <c r="A38" s="30" t="s">
        <v>206</v>
      </c>
      <c r="B38" s="31" t="s">
        <v>171</v>
      </c>
      <c r="C38" s="43">
        <v>2724.66995</v>
      </c>
      <c r="D38" s="20">
        <v>3507.5668000000001</v>
      </c>
      <c r="E38" s="20">
        <f>IF(OR(2724.66995="",3507.5668=""),"-",3507.5668/2724.66995*100)</f>
        <v>128.73363983039488</v>
      </c>
      <c r="F38" s="20">
        <f>IF(2724.66995="","-",2724.66995/9218978.7701*100)</f>
        <v>2.9555008401114316E-2</v>
      </c>
      <c r="G38" s="20">
        <f>IF(3507.5668="","-",3507.5668/8673668.27639*100)</f>
        <v>4.0439254629413349E-2</v>
      </c>
      <c r="H38" s="20">
        <f>IF(OR(7176761.18511="",2214.20829="",2724.66995=""),"-",(2724.66995-2214.20829)/7176761.18511*100)</f>
        <v>7.1127023295561413E-3</v>
      </c>
      <c r="I38" s="20">
        <f>IF(OR(9218978.7701="",3507.5668="",2724.66995=""),"-",(3507.5668-2724.66995)/9218978.7701*100)</f>
        <v>8.4922296658191329E-3</v>
      </c>
    </row>
    <row r="39" spans="1:9" s="2" customFormat="1" ht="24" x14ac:dyDescent="0.25">
      <c r="A39" s="30" t="s">
        <v>207</v>
      </c>
      <c r="B39" s="31" t="s">
        <v>126</v>
      </c>
      <c r="C39" s="43">
        <v>55220.75604</v>
      </c>
      <c r="D39" s="20">
        <v>17876.19976</v>
      </c>
      <c r="E39" s="20">
        <f>IF(OR(55220.75604="",17876.19976=""),"-",17876.19976/55220.75604*100)</f>
        <v>32.372247397429874</v>
      </c>
      <c r="F39" s="20">
        <f>IF(55220.75604="","-",55220.75604/9218978.7701*100)</f>
        <v>0.59898994690277407</v>
      </c>
      <c r="G39" s="20">
        <f>IF(17876.19976="","-",17876.19976/8673668.27639*100)</f>
        <v>0.20609734186698819</v>
      </c>
      <c r="H39" s="20">
        <f>IF(OR(7176761.18511="",10109.05939="",55220.75604=""),"-",(55220.75604-10109.05939)/7176761.18511*100)</f>
        <v>0.62858015595663941</v>
      </c>
      <c r="I39" s="20">
        <f>IF(OR(9218978.7701="",17876.19976="",55220.75604=""),"-",(17876.19976-55220.75604)/9218978.7701*100)</f>
        <v>-0.40508343940567426</v>
      </c>
    </row>
    <row r="40" spans="1:9" s="2" customFormat="1" ht="37.5" customHeight="1" x14ac:dyDescent="0.25">
      <c r="A40" s="30" t="s">
        <v>208</v>
      </c>
      <c r="B40" s="31" t="s">
        <v>169</v>
      </c>
      <c r="C40" s="43">
        <v>3655.80224</v>
      </c>
      <c r="D40" s="20">
        <v>3768.46506</v>
      </c>
      <c r="E40" s="20">
        <f>IF(OR(3655.80224="",3768.46506=""),"-",3768.46506/3655.80224*100)</f>
        <v>103.0817536782296</v>
      </c>
      <c r="F40" s="20">
        <f>IF(3655.80224="","-",3655.80224/9218978.7701*100)</f>
        <v>3.9655175819006093E-2</v>
      </c>
      <c r="G40" s="20">
        <f>IF(3768.46506="","-",3768.46506/8673668.27639*100)</f>
        <v>4.344718912363621E-2</v>
      </c>
      <c r="H40" s="20">
        <f>IF(OR(7176761.18511="",2298.4016="",3655.80224=""),"-",(3655.80224-2298.4016)/7176761.18511*100)</f>
        <v>1.8913833203984404E-2</v>
      </c>
      <c r="I40" s="20">
        <f>IF(OR(9218978.7701="",3768.46506="",3655.80224=""),"-",(3768.46506-3655.80224)/9218978.7701*100)</f>
        <v>1.222074839410634E-3</v>
      </c>
    </row>
    <row r="41" spans="1:9" s="2" customFormat="1" ht="24" x14ac:dyDescent="0.25">
      <c r="A41" s="28" t="s">
        <v>209</v>
      </c>
      <c r="B41" s="29" t="s">
        <v>127</v>
      </c>
      <c r="C41" s="44">
        <v>1081163.943</v>
      </c>
      <c r="D41" s="19">
        <v>1085131.84158</v>
      </c>
      <c r="E41" s="19">
        <f>IF(1081163.943="","-",1085131.84158/1081163.943*100)</f>
        <v>100.36700248890931</v>
      </c>
      <c r="F41" s="19">
        <f>IF(1081163.943="","-",1081163.943/9218978.7701*100)</f>
        <v>11.727589030864776</v>
      </c>
      <c r="G41" s="19">
        <f>IF(1085131.84158="","-",1085131.84158/8673668.27639*100)</f>
        <v>12.51064494285265</v>
      </c>
      <c r="H41" s="19">
        <f>IF(7176761.18511="","-",(1081163.943-1033731.91138)/7176761.18511*100)</f>
        <v>0.66091138323523613</v>
      </c>
      <c r="I41" s="19">
        <f>IF(9218978.7701="","-",(1085131.84158-1081163.943)/9218978.7701*100)</f>
        <v>4.3040543632328995E-2</v>
      </c>
    </row>
    <row r="42" spans="1:9" s="2" customFormat="1" x14ac:dyDescent="0.25">
      <c r="A42" s="30" t="s">
        <v>210</v>
      </c>
      <c r="B42" s="31" t="s">
        <v>19</v>
      </c>
      <c r="C42" s="43">
        <v>18762.060409999998</v>
      </c>
      <c r="D42" s="20">
        <v>16022.69742</v>
      </c>
      <c r="E42" s="20">
        <f>IF(OR(18762.06041="",16022.69742=""),"-",16022.69742/18762.06041*100)</f>
        <v>85.399455442857743</v>
      </c>
      <c r="F42" s="20">
        <f>IF(18762.06041="","-",18762.06041/9218978.7701*100)</f>
        <v>0.20351560490464699</v>
      </c>
      <c r="G42" s="20">
        <f>IF(16022.69742="","-",16022.69742/8673668.27639*100)</f>
        <v>0.18472804019510744</v>
      </c>
      <c r="H42" s="20">
        <f>IF(OR(7176761.18511="",15522.28619="",18762.06041=""),"-",(18762.06041-15522.28619)/7176761.18511*100)</f>
        <v>4.5142566910568602E-2</v>
      </c>
      <c r="I42" s="20">
        <f>IF(OR(9218978.7701="",16022.69742="",18762.06041=""),"-",(16022.69742-18762.06041)/9218978.7701*100)</f>
        <v>-2.9714386574840584E-2</v>
      </c>
    </row>
    <row r="43" spans="1:9" s="2" customFormat="1" x14ac:dyDescent="0.25">
      <c r="A43" s="30" t="s">
        <v>211</v>
      </c>
      <c r="B43" s="31" t="s">
        <v>20</v>
      </c>
      <c r="C43" s="43">
        <v>34223.951569999997</v>
      </c>
      <c r="D43" s="20">
        <v>32951.349000000002</v>
      </c>
      <c r="E43" s="20">
        <f>IF(OR(34223.95157="",32951.349=""),"-",32951.349/34223.95157*100)</f>
        <v>96.281544030948396</v>
      </c>
      <c r="F43" s="20">
        <f>IF(34223.95157="","-",34223.95157/9218978.7701*100)</f>
        <v>0.37123365205047287</v>
      </c>
      <c r="G43" s="20">
        <f>IF(32951.349="","-",32951.349/8673668.27639*100)</f>
        <v>0.37990095943252317</v>
      </c>
      <c r="H43" s="20">
        <f>IF(OR(7176761.18511="",16662.77691="",34223.95157=""),"-",(34223.95157-16662.77691)/7176761.18511*100)</f>
        <v>0.2446949843675317</v>
      </c>
      <c r="I43" s="20">
        <f>IF(OR(9218978.7701="",32951.349="",34223.95157=""),"-",(32951.349-34223.95157)/9218978.7701*100)</f>
        <v>-1.3804159893799076E-2</v>
      </c>
    </row>
    <row r="44" spans="1:9" s="2" customFormat="1" x14ac:dyDescent="0.25">
      <c r="A44" s="30" t="s">
        <v>212</v>
      </c>
      <c r="B44" s="31" t="s">
        <v>128</v>
      </c>
      <c r="C44" s="43">
        <v>50901.63076</v>
      </c>
      <c r="D44" s="20">
        <v>54740.217449999996</v>
      </c>
      <c r="E44" s="20">
        <f>IF(OR(50901.63076="",54740.21745=""),"-",54740.21745/50901.63076*100)</f>
        <v>107.54118607338701</v>
      </c>
      <c r="F44" s="20">
        <f>IF(50901.63076="","-",50901.63076/9218978.7701*100)</f>
        <v>0.55213958106823868</v>
      </c>
      <c r="G44" s="20">
        <f>IF(54740.21745="","-",54740.21745/8673668.27639*100)</f>
        <v>0.63110803532808157</v>
      </c>
      <c r="H44" s="20">
        <f>IF(OR(7176761.18511="",51103.81508="",50901.63076=""),"-",(50901.63076-51103.81508)/7176761.18511*100)</f>
        <v>-2.8172084145628622E-3</v>
      </c>
      <c r="I44" s="20">
        <f>IF(OR(9218978.7701="",54740.21745="",50901.63076=""),"-",(54740.21745-50901.63076)/9218978.7701*100)</f>
        <v>4.163787319317537E-2</v>
      </c>
    </row>
    <row r="45" spans="1:9" s="2" customFormat="1" x14ac:dyDescent="0.25">
      <c r="A45" s="30" t="s">
        <v>213</v>
      </c>
      <c r="B45" s="31" t="s">
        <v>129</v>
      </c>
      <c r="C45" s="43">
        <v>279590.37816999998</v>
      </c>
      <c r="D45" s="20">
        <v>302884.01876000001</v>
      </c>
      <c r="E45" s="20">
        <f>IF(OR(279590.37817="",302884.01876=""),"-",302884.01876/279590.37817*100)</f>
        <v>108.33134557149774</v>
      </c>
      <c r="F45" s="20">
        <f>IF(279590.37817="","-",279590.37817/9218978.7701*100)</f>
        <v>3.0327695197302993</v>
      </c>
      <c r="G45" s="20">
        <f>IF(302884.01876="","-",302884.01876/8673668.27639*100)</f>
        <v>3.4919944953908364</v>
      </c>
      <c r="H45" s="20">
        <f>IF(OR(7176761.18511="",336481.24332="",279590.37817=""),"-",(279590.37817-336481.24332)/7176761.18511*100)</f>
        <v>-0.79270946437558032</v>
      </c>
      <c r="I45" s="20">
        <f>IF(OR(9218978.7701="",302884.01876="",279590.37817=""),"-",(302884.01876-279590.37817)/9218978.7701*100)</f>
        <v>0.25267050907578298</v>
      </c>
    </row>
    <row r="46" spans="1:9" s="2" customFormat="1" ht="27" customHeight="1" x14ac:dyDescent="0.25">
      <c r="A46" s="30" t="s">
        <v>214</v>
      </c>
      <c r="B46" s="31" t="s">
        <v>130</v>
      </c>
      <c r="C46" s="43">
        <v>155731.20334000001</v>
      </c>
      <c r="D46" s="20">
        <v>178802.83067</v>
      </c>
      <c r="E46" s="20">
        <f>IF(OR(155731.20334="",178802.83067=""),"-",178802.83067/155731.20334*100)</f>
        <v>114.81503182096968</v>
      </c>
      <c r="F46" s="20">
        <f>IF(155731.20334="","-",155731.20334/9218978.7701*100)</f>
        <v>1.6892457095690956</v>
      </c>
      <c r="G46" s="20">
        <f>IF(178802.83067="","-",178802.83067/8673668.27639*100)</f>
        <v>2.0614441891524371</v>
      </c>
      <c r="H46" s="20">
        <f>IF(OR(7176761.18511="",140730.94472="",155731.20334=""),"-",(155731.20334-140730.94472)/7176761.18511*100)</f>
        <v>0.2090115336584116</v>
      </c>
      <c r="I46" s="20">
        <f>IF(OR(9218978.7701="",178802.83067="",155731.20334=""),"-",(178802.83067-155731.20334)/9218978.7701*100)</f>
        <v>0.25026228940702644</v>
      </c>
    </row>
    <row r="47" spans="1:9" s="2" customFormat="1" ht="18" customHeight="1" x14ac:dyDescent="0.25">
      <c r="A47" s="30" t="s">
        <v>215</v>
      </c>
      <c r="B47" s="31" t="s">
        <v>131</v>
      </c>
      <c r="C47" s="43">
        <v>137828.54644000001</v>
      </c>
      <c r="D47" s="20">
        <v>133395.36108999999</v>
      </c>
      <c r="E47" s="20">
        <f>IF(OR(137828.54644="",133395.36109=""),"-",133395.36109/137828.54644*100)</f>
        <v>96.783550676180212</v>
      </c>
      <c r="F47" s="20">
        <f>IF(137828.54644="","-",137828.54644/9218978.7701*100)</f>
        <v>1.4950522164886704</v>
      </c>
      <c r="G47" s="20">
        <f>IF(133395.36109="","-",133395.36109/8673668.27639*100)</f>
        <v>1.5379347796030707</v>
      </c>
      <c r="H47" s="20">
        <f>IF(OR(7176761.18511="",88123.18219="",137828.54644=""),"-",(137828.54644-88123.18219)/7176761.18511*100)</f>
        <v>0.69258768639433488</v>
      </c>
      <c r="I47" s="20">
        <f>IF(OR(9218978.7701="",133395.36109="",137828.54644=""),"-",(133395.36109-137828.54644)/9218978.7701*100)</f>
        <v>-4.8087596908002503E-2</v>
      </c>
    </row>
    <row r="48" spans="1:9" s="2" customFormat="1" x14ac:dyDescent="0.25">
      <c r="A48" s="30" t="s">
        <v>216</v>
      </c>
      <c r="B48" s="31" t="s">
        <v>21</v>
      </c>
      <c r="C48" s="43">
        <v>80339.106520000001</v>
      </c>
      <c r="D48" s="20">
        <v>66488.506340000007</v>
      </c>
      <c r="E48" s="20">
        <f>IF(OR(80339.10652="",66488.50634=""),"-",66488.50634/80339.10652*100)</f>
        <v>82.759827959311494</v>
      </c>
      <c r="F48" s="20">
        <f>IF(80339.10652="","-",80339.10652/9218978.7701*100)</f>
        <v>0.87145342801487491</v>
      </c>
      <c r="G48" s="20">
        <f>IF(66488.50634="","-",66488.50634/8673668.27639*100)</f>
        <v>0.76655578956119208</v>
      </c>
      <c r="H48" s="20">
        <f>IF(OR(7176761.18511="",73139.86203="",80339.10652=""),"-",(80339.10652-73139.86203)/7176761.18511*100)</f>
        <v>0.10031327926776558</v>
      </c>
      <c r="I48" s="20">
        <f>IF(OR(9218978.7701="",66488.50634="",80339.10652=""),"-",(66488.50634-80339.10652)/9218978.7701*100)</f>
        <v>-0.15024007024424199</v>
      </c>
    </row>
    <row r="49" spans="1:9" s="2" customFormat="1" x14ac:dyDescent="0.25">
      <c r="A49" s="30" t="s">
        <v>217</v>
      </c>
      <c r="B49" s="31" t="s">
        <v>22</v>
      </c>
      <c r="C49" s="43">
        <v>152461.71823999999</v>
      </c>
      <c r="D49" s="20">
        <v>141754.22878999999</v>
      </c>
      <c r="E49" s="20">
        <f>IF(OR(152461.71824="",141754.22879=""),"-",141754.22879/152461.71824*100)</f>
        <v>92.976932456484178</v>
      </c>
      <c r="F49" s="20">
        <f>IF(152461.71824="","-",152461.71824/9218978.7701*100)</f>
        <v>1.6537809885676331</v>
      </c>
      <c r="G49" s="20">
        <f>IF(141754.22879="","-",141754.22879/8673668.27639*100)</f>
        <v>1.6343053973583415</v>
      </c>
      <c r="H49" s="20">
        <f>IF(OR(7176761.18511="",157811.50933="",152461.71824=""),"-",(152461.71824-157811.50933)/7176761.18511*100)</f>
        <v>-7.4543250806498942E-2</v>
      </c>
      <c r="I49" s="20">
        <f>IF(OR(9218978.7701="",141754.22879="",152461.71824=""),"-",(141754.22879-152461.71824)/9218978.7701*100)</f>
        <v>-0.11614615584892868</v>
      </c>
    </row>
    <row r="50" spans="1:9" s="2" customFormat="1" x14ac:dyDescent="0.25">
      <c r="A50" s="30" t="s">
        <v>218</v>
      </c>
      <c r="B50" s="31" t="s">
        <v>132</v>
      </c>
      <c r="C50" s="43">
        <v>171325.34755000001</v>
      </c>
      <c r="D50" s="20">
        <v>158092.63206</v>
      </c>
      <c r="E50" s="20">
        <f>IF(OR(171325.34755="",158092.63206=""),"-",158092.63206/171325.34755*100)</f>
        <v>92.276265199965152</v>
      </c>
      <c r="F50" s="20">
        <f>IF(171325.34755="","-",171325.34755/9218978.7701*100)</f>
        <v>1.8583983304708447</v>
      </c>
      <c r="G50" s="20">
        <f>IF(158092.63206="","-",158092.63206/8673668.27639*100)</f>
        <v>1.8226732568310593</v>
      </c>
      <c r="H50" s="20">
        <f>IF(OR(7176761.18511="",154156.29161="",171325.34755=""),"-",(171325.34755-154156.29161)/7176761.18511*100)</f>
        <v>0.23923125623326516</v>
      </c>
      <c r="I50" s="20">
        <f>IF(OR(9218978.7701="",158092.63206="",171325.34755=""),"-",(158092.63206-171325.34755)/9218978.7701*100)</f>
        <v>-0.14353775857384327</v>
      </c>
    </row>
    <row r="51" spans="1:9" s="2" customFormat="1" ht="24" x14ac:dyDescent="0.25">
      <c r="A51" s="28" t="s">
        <v>219</v>
      </c>
      <c r="B51" s="29" t="s">
        <v>321</v>
      </c>
      <c r="C51" s="44">
        <v>1302118.73591</v>
      </c>
      <c r="D51" s="19">
        <v>1227388.3825300001</v>
      </c>
      <c r="E51" s="19">
        <f>IF(1302118.73591="","-",1227388.38253/1302118.73591*100)</f>
        <v>94.260864902786778</v>
      </c>
      <c r="F51" s="19">
        <f>IF(1302118.73591="","-",1302118.73591/9218978.7701*100)</f>
        <v>14.124327307631665</v>
      </c>
      <c r="G51" s="19">
        <f>IF(1227388.38253="","-",1227388.38253/8673668.27639*100)</f>
        <v>14.150741571141131</v>
      </c>
      <c r="H51" s="19">
        <f>IF(7176761.18511="","-",(1302118.73591-1314633.9693)/7176761.18511*100)</f>
        <v>-0.17438553502331883</v>
      </c>
      <c r="I51" s="19">
        <f>IF(9218978.7701="","-",(1227388.38253-1302118.73591)/9218978.7701*100)</f>
        <v>-0.81061422575756048</v>
      </c>
    </row>
    <row r="52" spans="1:9" s="2" customFormat="1" x14ac:dyDescent="0.25">
      <c r="A52" s="30" t="s">
        <v>220</v>
      </c>
      <c r="B52" s="31" t="s">
        <v>133</v>
      </c>
      <c r="C52" s="43">
        <v>55761.080009999998</v>
      </c>
      <c r="D52" s="20">
        <v>42489.930180000003</v>
      </c>
      <c r="E52" s="20">
        <f>IF(OR(55761.08001="",42489.93018=""),"-",42489.93018/55761.08001*100)</f>
        <v>76.199977067122816</v>
      </c>
      <c r="F52" s="20">
        <f>IF(55761.08001="","-",55761.08001/9218978.7701*100)</f>
        <v>0.60485094282731655</v>
      </c>
      <c r="G52" s="20">
        <f>IF(42489.93018="","-",42489.93018/8673668.27639*100)</f>
        <v>0.4898726677807006</v>
      </c>
      <c r="H52" s="20">
        <f>IF(OR(7176761.18511="",55153.72528="",55761.08001=""),"-",(55761.08001-55153.72528)/7176761.18511*100)</f>
        <v>8.4627969962287383E-3</v>
      </c>
      <c r="I52" s="20">
        <f>IF(OR(9218978.7701="",42489.93018="",55761.08001=""),"-",(42489.93018-55761.08001)/9218978.7701*100)</f>
        <v>-0.1439546631026252</v>
      </c>
    </row>
    <row r="53" spans="1:9" s="2" customFormat="1" x14ac:dyDescent="0.25">
      <c r="A53" s="30" t="s">
        <v>221</v>
      </c>
      <c r="B53" s="31" t="s">
        <v>23</v>
      </c>
      <c r="C53" s="43">
        <v>85229.359719999993</v>
      </c>
      <c r="D53" s="20">
        <v>78557.450500000006</v>
      </c>
      <c r="E53" s="20">
        <f>IF(OR(85229.35972="",78557.4505=""),"-",78557.4505/85229.35972*100)</f>
        <v>92.171818206872729</v>
      </c>
      <c r="F53" s="20">
        <f>IF(85229.35972="","-",85229.35972/9218978.7701*100)</f>
        <v>0.92449892602448747</v>
      </c>
      <c r="G53" s="20">
        <f>IF(78557.4505="","-",78557.4505/8673668.27639*100)</f>
        <v>0.90570042566460474</v>
      </c>
      <c r="H53" s="20">
        <f>IF(OR(7176761.18511="",76233.94714="",85229.35972=""),"-",(85229.35972-76233.94714)/7176761.18511*100)</f>
        <v>0.1253408375725702</v>
      </c>
      <c r="I53" s="20">
        <f>IF(OR(9218978.7701="",78557.4505="",85229.35972=""),"-",(78557.4505-85229.35972)/9218978.7701*100)</f>
        <v>-7.2371456604706078E-2</v>
      </c>
    </row>
    <row r="54" spans="1:9" s="2" customFormat="1" x14ac:dyDescent="0.25">
      <c r="A54" s="30" t="s">
        <v>222</v>
      </c>
      <c r="B54" s="31" t="s">
        <v>134</v>
      </c>
      <c r="C54" s="43">
        <v>108607.42883</v>
      </c>
      <c r="D54" s="20">
        <v>109370.98185</v>
      </c>
      <c r="E54" s="20">
        <f>IF(OR(108607.42883="",109370.98185=""),"-",109370.98185/108607.42883*100)</f>
        <v>100.70303940368126</v>
      </c>
      <c r="F54" s="20">
        <f>IF(108607.42883="","-",108607.42883/9218978.7701*100)</f>
        <v>1.1780852471669367</v>
      </c>
      <c r="G54" s="20">
        <f>IF(109370.98185="","-",109370.98185/8673668.27639*100)</f>
        <v>1.2609541703100553</v>
      </c>
      <c r="H54" s="20">
        <f>IF(OR(7176761.18511="",115727.46096="",108607.42883=""),"-",(108607.42883-115727.46096)/7176761.18511*100)</f>
        <v>-9.9209545174392774E-2</v>
      </c>
      <c r="I54" s="20">
        <f>IF(OR(9218978.7701="",109370.98185="",108607.42883=""),"-",(109370.98185-108607.42883)/9218978.7701*100)</f>
        <v>8.2824034965394526E-3</v>
      </c>
    </row>
    <row r="55" spans="1:9" s="2" customFormat="1" ht="25.5" customHeight="1" x14ac:dyDescent="0.25">
      <c r="A55" s="30" t="s">
        <v>223</v>
      </c>
      <c r="B55" s="31" t="s">
        <v>135</v>
      </c>
      <c r="C55" s="43">
        <v>144314.57461000001</v>
      </c>
      <c r="D55" s="20">
        <v>127110.77711</v>
      </c>
      <c r="E55" s="20">
        <f>IF(OR(144314.57461="",127110.77711=""),"-",127110.77711/144314.57461*100)</f>
        <v>88.078960460859847</v>
      </c>
      <c r="F55" s="20">
        <f>IF(144314.57461="","-",144314.57461/9218978.7701*100)</f>
        <v>1.5654073863154649</v>
      </c>
      <c r="G55" s="20">
        <f>IF(127110.77711="","-",127110.77711/8673668.27639*100)</f>
        <v>1.4654788845914197</v>
      </c>
      <c r="H55" s="20">
        <f>IF(OR(7176761.18511="",113893.82411="",144314.57461=""),"-",(144314.57461-113893.82411)/7176761.18511*100)</f>
        <v>0.42387853957179905</v>
      </c>
      <c r="I55" s="20">
        <f>IF(OR(9218978.7701="",127110.77711="",144314.57461=""),"-",(127110.77711-144314.57461)/9218978.7701*100)</f>
        <v>-0.18661283347128702</v>
      </c>
    </row>
    <row r="56" spans="1:9" s="2" customFormat="1" ht="24.75" customHeight="1" x14ac:dyDescent="0.25">
      <c r="A56" s="30" t="s">
        <v>224</v>
      </c>
      <c r="B56" s="31" t="s">
        <v>136</v>
      </c>
      <c r="C56" s="43">
        <v>322298.55015000002</v>
      </c>
      <c r="D56" s="20">
        <v>298218.19968999998</v>
      </c>
      <c r="E56" s="20">
        <f>IF(OR(322298.55015="",298218.19969=""),"-",298218.19969/322298.55015*100)</f>
        <v>92.528557621871741</v>
      </c>
      <c r="F56" s="20">
        <f>IF(322298.55015="","-",322298.55015/9218978.7701*100)</f>
        <v>3.4960331093864103</v>
      </c>
      <c r="G56" s="20">
        <f>IF(298218.19969="","-",298218.19969/8673668.27639*100)</f>
        <v>3.4382015796218468</v>
      </c>
      <c r="H56" s="20">
        <f>IF(OR(7176761.18511="",321654.36073="",322298.55015=""),"-",(322298.55015-321654.36073)/7176761.18511*100)</f>
        <v>8.9760464837055336E-3</v>
      </c>
      <c r="I56" s="20">
        <f>IF(OR(9218978.7701="",298218.19969="",322298.55015=""),"-",(298218.19969-322298.55015)/9218978.7701*100)</f>
        <v>-0.26120409928809113</v>
      </c>
    </row>
    <row r="57" spans="1:9" s="2" customFormat="1" x14ac:dyDescent="0.25">
      <c r="A57" s="30" t="s">
        <v>225</v>
      </c>
      <c r="B57" s="31" t="s">
        <v>24</v>
      </c>
      <c r="C57" s="43">
        <v>166366.52984</v>
      </c>
      <c r="D57" s="20">
        <v>179742.69842999999</v>
      </c>
      <c r="E57" s="20">
        <f>IF(OR(166366.52984="",179742.69843=""),"-",179742.69843/166366.52984*100)</f>
        <v>108.04018007880809</v>
      </c>
      <c r="F57" s="20">
        <f>IF(166366.52984="","-",166366.52984/9218978.7701*100)</f>
        <v>1.8046091003005467</v>
      </c>
      <c r="G57" s="20">
        <f>IF(179742.69843="","-",179742.69843/8673668.27639*100)</f>
        <v>2.0722800630877862</v>
      </c>
      <c r="H57" s="20">
        <f>IF(OR(7176761.18511="",164552.58756="",166366.52984=""),"-",(166366.52984-164552.58756)/7176761.18511*100)</f>
        <v>2.5275221415524723E-2</v>
      </c>
      <c r="I57" s="20">
        <f>IF(OR(9218978.7701="",179742.69843="",166366.52984=""),"-",(179742.69843-166366.52984)/9218978.7701*100)</f>
        <v>0.14509382138272234</v>
      </c>
    </row>
    <row r="58" spans="1:9" s="2" customFormat="1" x14ac:dyDescent="0.25">
      <c r="A58" s="30" t="s">
        <v>226</v>
      </c>
      <c r="B58" s="31" t="s">
        <v>137</v>
      </c>
      <c r="C58" s="43">
        <v>176068.36235000001</v>
      </c>
      <c r="D58" s="20">
        <v>152829.23699</v>
      </c>
      <c r="E58" s="20">
        <f>IF(OR(176068.36235="",152829.23699=""),"-",152829.23699/176068.36235*100)</f>
        <v>86.801078257430603</v>
      </c>
      <c r="F58" s="20">
        <f>IF(176068.36235="","-",176068.36235/9218978.7701*100)</f>
        <v>1.9098467058091528</v>
      </c>
      <c r="G58" s="20">
        <f>IF(152829.23699="","-",152829.23699/8673668.27639*100)</f>
        <v>1.7619907992793089</v>
      </c>
      <c r="H58" s="20">
        <f>IF(OR(7176761.18511="",176873.35715="",176068.36235=""),"-",(176068.36235-176873.35715)/7176761.18511*100)</f>
        <v>-1.121668645837276E-2</v>
      </c>
      <c r="I58" s="20">
        <f>IF(OR(9218978.7701="",152829.23699="",176068.36235=""),"-",(152829.23699-176068.36235)/9218978.7701*100)</f>
        <v>-0.25207917210278952</v>
      </c>
    </row>
    <row r="59" spans="1:9" s="2" customFormat="1" x14ac:dyDescent="0.25">
      <c r="A59" s="30" t="s">
        <v>227</v>
      </c>
      <c r="B59" s="31" t="s">
        <v>25</v>
      </c>
      <c r="C59" s="43">
        <v>35438.472719999998</v>
      </c>
      <c r="D59" s="20">
        <v>38409.169650000003</v>
      </c>
      <c r="E59" s="20">
        <f>IF(OR(35438.47272="",38409.16965=""),"-",38409.16965/35438.47272*100)</f>
        <v>108.382688930958</v>
      </c>
      <c r="F59" s="20">
        <f>IF(35438.47272="","-",35438.47272/9218978.7701*100)</f>
        <v>0.38440779183631413</v>
      </c>
      <c r="G59" s="20">
        <f>IF(38409.16965="","-",38409.16965/8673668.27639*100)</f>
        <v>0.44282497815314181</v>
      </c>
      <c r="H59" s="20">
        <f>IF(OR(7176761.18511="",73483.50696="",35438.47272=""),"-",(35438.47272-73483.50696)/7176761.18511*100)</f>
        <v>-0.53011425709600057</v>
      </c>
      <c r="I59" s="20">
        <f>IF(OR(9218978.7701="",38409.16965="",35438.47272=""),"-",(38409.16965-35438.47272)/9218978.7701*100)</f>
        <v>3.2223709416002722E-2</v>
      </c>
    </row>
    <row r="60" spans="1:9" s="2" customFormat="1" x14ac:dyDescent="0.25">
      <c r="A60" s="30" t="s">
        <v>228</v>
      </c>
      <c r="B60" s="31" t="s">
        <v>26</v>
      </c>
      <c r="C60" s="43">
        <v>208034.37768000001</v>
      </c>
      <c r="D60" s="20">
        <v>200659.93812999999</v>
      </c>
      <c r="E60" s="20">
        <f>IF(OR(208034.37768="",200659.93813=""),"-",200659.93813/208034.37768*100)</f>
        <v>96.45518224812659</v>
      </c>
      <c r="F60" s="20">
        <f>IF(208034.37768="","-",208034.37768/9218978.7701*100)</f>
        <v>2.2565880979650359</v>
      </c>
      <c r="G60" s="20">
        <f>IF(200659.93813="","-",200659.93813/8673668.27639*100)</f>
        <v>2.3134380026522656</v>
      </c>
      <c r="H60" s="20">
        <f>IF(OR(7176761.18511="",217061.19941="",208034.37768=""),"-",(208034.37768-217061.19941)/7176761.18511*100)</f>
        <v>-0.12577848833438143</v>
      </c>
      <c r="I60" s="20">
        <f>IF(OR(9218978.7701="",200659.93813="",208034.37768=""),"-",(200659.93813-208034.37768)/9218978.7701*100)</f>
        <v>-7.9991935483327059E-2</v>
      </c>
    </row>
    <row r="61" spans="1:9" s="2" customFormat="1" x14ac:dyDescent="0.25">
      <c r="A61" s="28" t="s">
        <v>229</v>
      </c>
      <c r="B61" s="29" t="s">
        <v>138</v>
      </c>
      <c r="C61" s="44">
        <v>2028720.3399700001</v>
      </c>
      <c r="D61" s="19">
        <v>2168722.2003299999</v>
      </c>
      <c r="E61" s="19">
        <f>IF(2028720.33997="","-",2168722.20033/2028720.33997*100)</f>
        <v>106.90099357716649</v>
      </c>
      <c r="F61" s="19">
        <f>IF(2028720.33997="","-",2028720.33997/9218978.7701*100)</f>
        <v>22.005911832119278</v>
      </c>
      <c r="G61" s="19">
        <f>IF(2168722.20033="","-",2168722.20033/8673668.27639*100)</f>
        <v>25.003517902953824</v>
      </c>
      <c r="H61" s="19">
        <f>IF(7176761.18511="","-",(2028720.33997-1823188.16762)/7176761.18511*100)</f>
        <v>2.8638569272226642</v>
      </c>
      <c r="I61" s="19">
        <f>IF(9218978.7701="","-",(2168722.20033-2028720.33997)/9218978.7701*100)</f>
        <v>1.5186265621314712</v>
      </c>
    </row>
    <row r="62" spans="1:9" s="2" customFormat="1" x14ac:dyDescent="0.25">
      <c r="A62" s="30" t="s">
        <v>230</v>
      </c>
      <c r="B62" s="31" t="s">
        <v>139</v>
      </c>
      <c r="C62" s="43">
        <v>36230.49123</v>
      </c>
      <c r="D62" s="20">
        <v>42875.069580000003</v>
      </c>
      <c r="E62" s="20">
        <f>IF(OR(36230.49123="",42875.06958=""),"-",42875.06958/36230.49123*100)</f>
        <v>118.33974126328732</v>
      </c>
      <c r="F62" s="20">
        <f>IF(36230.49123="","-",36230.49123/9218978.7701*100)</f>
        <v>0.39299896586709471</v>
      </c>
      <c r="G62" s="20">
        <f>IF(42875.06958="","-",42875.06958/8673668.27639*100)</f>
        <v>0.49431299669030809</v>
      </c>
      <c r="H62" s="20">
        <f>IF(OR(7176761.18511="",27052.87506="",36230.49123=""),"-",(36230.49123-27052.87506)/7176761.18511*100)</f>
        <v>0.12787963725254337</v>
      </c>
      <c r="I62" s="20">
        <f>IF(OR(9218978.7701="",42875.06958="",36230.49123=""),"-",(42875.06958-36230.49123)/9218978.7701*100)</f>
        <v>7.2074993507419999E-2</v>
      </c>
    </row>
    <row r="63" spans="1:9" s="2" customFormat="1" x14ac:dyDescent="0.25">
      <c r="A63" s="30" t="s">
        <v>231</v>
      </c>
      <c r="B63" s="31" t="s">
        <v>140</v>
      </c>
      <c r="C63" s="43">
        <v>288510.76731999998</v>
      </c>
      <c r="D63" s="20">
        <v>215620.50876999999</v>
      </c>
      <c r="E63" s="20">
        <f>IF(OR(288510.76732="",215620.50877=""),"-",215620.50877/288510.76732*100)</f>
        <v>74.735688644453873</v>
      </c>
      <c r="F63" s="20">
        <f>IF(288510.76732="","-",288510.76732/9218978.7701*100)</f>
        <v>3.1295306618530208</v>
      </c>
      <c r="G63" s="20">
        <f>IF(215620.50877="","-",215620.50877/8673668.27639*100)</f>
        <v>2.4859206266502705</v>
      </c>
      <c r="H63" s="20">
        <f>IF(OR(7176761.18511="",248330.88095="",288510.76732=""),"-",(288510.76732-248330.88095)/7176761.18511*100)</f>
        <v>0.55986099207764217</v>
      </c>
      <c r="I63" s="20">
        <f>IF(OR(9218978.7701="",215620.50877="",288510.76732=""),"-",(215620.50877-288510.76732)/9218978.7701*100)</f>
        <v>-0.79065437037783037</v>
      </c>
    </row>
    <row r="64" spans="1:9" s="2" customFormat="1" x14ac:dyDescent="0.25">
      <c r="A64" s="30" t="s">
        <v>232</v>
      </c>
      <c r="B64" s="31" t="s">
        <v>141</v>
      </c>
      <c r="C64" s="43">
        <v>13322.24512</v>
      </c>
      <c r="D64" s="20">
        <v>15504.90279</v>
      </c>
      <c r="E64" s="20">
        <f>IF(OR(13322.24512="",15504.90279=""),"-",15504.90279/13322.24512*100)</f>
        <v>116.38355735343204</v>
      </c>
      <c r="F64" s="20">
        <f>IF(13322.24512="","-",13322.24512/9218978.7701*100)</f>
        <v>0.14450890334196412</v>
      </c>
      <c r="G64" s="20">
        <f>IF(15504.90279="","-",15504.90279/8673668.27639*100)</f>
        <v>0.17875830958632391</v>
      </c>
      <c r="H64" s="20">
        <f>IF(OR(7176761.18511="",17537.48568="",13322.24512=""),"-",(13322.24512-17537.48568)/7176761.18511*100)</f>
        <v>-5.8734580283172598E-2</v>
      </c>
      <c r="I64" s="20">
        <f>IF(OR(9218978.7701="",15504.90279="",13322.24512=""),"-",(15504.90279-13322.24512)/9218978.7701*100)</f>
        <v>2.3675699059846355E-2</v>
      </c>
    </row>
    <row r="65" spans="1:9" s="2" customFormat="1" ht="27.75" customHeight="1" x14ac:dyDescent="0.25">
      <c r="A65" s="30" t="s">
        <v>233</v>
      </c>
      <c r="B65" s="31" t="s">
        <v>142</v>
      </c>
      <c r="C65" s="43">
        <v>249192.48718</v>
      </c>
      <c r="D65" s="20">
        <v>253559.23186</v>
      </c>
      <c r="E65" s="20">
        <f>IF(OR(249192.48718="",253559.23186=""),"-",253559.23186/249192.48718*100)</f>
        <v>101.75235807845434</v>
      </c>
      <c r="F65" s="20">
        <f>IF(249192.48718="","-",249192.48718/9218978.7701*100)</f>
        <v>2.703037867797335</v>
      </c>
      <c r="G65" s="20">
        <f>IF(253559.23186="","-",253559.23186/8673668.27639*100)</f>
        <v>2.9233217570724523</v>
      </c>
      <c r="H65" s="20">
        <f>IF(OR(7176761.18511="",251383.07228="",249192.48718=""),"-",(249192.48718-251383.07228)/7176761.18511*100)</f>
        <v>-3.052331049478026E-2</v>
      </c>
      <c r="I65" s="20">
        <f>IF(OR(9218978.7701="",253559.23186="",249192.48718=""),"-",(253559.23186-249192.48718)/9218978.7701*100)</f>
        <v>4.7366902440026303E-2</v>
      </c>
    </row>
    <row r="66" spans="1:9" s="2" customFormat="1" ht="24" customHeight="1" x14ac:dyDescent="0.25">
      <c r="A66" s="30" t="s">
        <v>234</v>
      </c>
      <c r="B66" s="31" t="s">
        <v>143</v>
      </c>
      <c r="C66" s="43">
        <v>103160.09746999999</v>
      </c>
      <c r="D66" s="20">
        <v>92137.607059999995</v>
      </c>
      <c r="E66" s="20">
        <f>IF(OR(103160.09747="",92137.60706=""),"-",92137.60706/103160.09747*100)</f>
        <v>89.315160919457782</v>
      </c>
      <c r="F66" s="20">
        <f>IF(103160.09747="","-",103160.09747/9218978.7701*100)</f>
        <v>1.1189970173765895</v>
      </c>
      <c r="G66" s="20">
        <f>IF(92137.60706="","-",92137.60706/8673668.27639*100)</f>
        <v>1.0622680522703583</v>
      </c>
      <c r="H66" s="20">
        <f>IF(OR(7176761.18511="",78483.85245="",103160.09747=""),"-",(103160.09747-78483.85245)/7176761.18511*100)</f>
        <v>0.34383539292344123</v>
      </c>
      <c r="I66" s="20">
        <f>IF(OR(9218978.7701="",92137.60706="",103160.09747=""),"-",(92137.60706-103160.09747)/9218978.7701*100)</f>
        <v>-0.1195630306227556</v>
      </c>
    </row>
    <row r="67" spans="1:9" s="2" customFormat="1" ht="27.75" customHeight="1" x14ac:dyDescent="0.25">
      <c r="A67" s="30" t="s">
        <v>235</v>
      </c>
      <c r="B67" s="31" t="s">
        <v>144</v>
      </c>
      <c r="C67" s="43">
        <v>198900.54848999999</v>
      </c>
      <c r="D67" s="20">
        <v>249064.49530000001</v>
      </c>
      <c r="E67" s="20">
        <f>IF(OR(198900.54849="",249064.4953=""),"-",249064.4953/198900.54849*100)</f>
        <v>125.22061763571359</v>
      </c>
      <c r="F67" s="20">
        <f>IF(198900.54849="","-",198900.54849/9218978.7701*100)</f>
        <v>2.1575117315064873</v>
      </c>
      <c r="G67" s="20">
        <f>IF(249064.4953="","-",249064.4953/8673668.27639*100)</f>
        <v>2.8715012767776869</v>
      </c>
      <c r="H67" s="20">
        <f>IF(OR(7176761.18511="",195500.74303="",198900.54849=""),"-",(198900.54849-195500.74303)/7176761.18511*100)</f>
        <v>4.7372420125302864E-2</v>
      </c>
      <c r="I67" s="20">
        <f>IF(OR(9218978.7701="",249064.4953="",198900.54849=""),"-",(249064.4953-198900.54849)/9218978.7701*100)</f>
        <v>0.54413778424891512</v>
      </c>
    </row>
    <row r="68" spans="1:9" s="2" customFormat="1" ht="27" customHeight="1" x14ac:dyDescent="0.25">
      <c r="A68" s="30" t="s">
        <v>236</v>
      </c>
      <c r="B68" s="31" t="s">
        <v>145</v>
      </c>
      <c r="C68" s="43">
        <v>582323.07452000002</v>
      </c>
      <c r="D68" s="20">
        <v>665192.12618000002</v>
      </c>
      <c r="E68" s="20">
        <f>IF(OR(582323.07452="",665192.12618=""),"-",665192.12618/582323.07452*100)</f>
        <v>114.23076901568905</v>
      </c>
      <c r="F68" s="20">
        <f>IF(582323.07452="","-",582323.07452/9218978.7701*100)</f>
        <v>6.316568125838991</v>
      </c>
      <c r="G68" s="20">
        <f>IF(665192.12618="","-",665192.12618/8673668.27639*100)</f>
        <v>7.6690980676615697</v>
      </c>
      <c r="H68" s="20">
        <f>IF(OR(7176761.18511="",538500.76183="",582323.07452=""),"-",(582323.07452-538500.76183)/7176761.18511*100)</f>
        <v>0.61061405778585032</v>
      </c>
      <c r="I68" s="20">
        <f>IF(OR(9218978.7701="",665192.12618="",582323.07452=""),"-",(665192.12618-582323.07452)/9218978.7701*100)</f>
        <v>0.89889621970678546</v>
      </c>
    </row>
    <row r="69" spans="1:9" s="2" customFormat="1" ht="16.5" customHeight="1" x14ac:dyDescent="0.25">
      <c r="A69" s="30" t="s">
        <v>237</v>
      </c>
      <c r="B69" s="31" t="s">
        <v>146</v>
      </c>
      <c r="C69" s="43">
        <v>547442.50474999996</v>
      </c>
      <c r="D69" s="20">
        <v>624368.79446999996</v>
      </c>
      <c r="E69" s="20">
        <f>IF(OR(547442.50475="",624368.79447=""),"-",624368.79447/547442.50475*100)</f>
        <v>114.0519395283583</v>
      </c>
      <c r="F69" s="20">
        <f>IF(547442.50475="","-",547442.50475/9218978.7701*100)</f>
        <v>5.9382120124359696</v>
      </c>
      <c r="G69" s="20">
        <f>IF(624368.79447="","-",624368.79447/8673668.27639*100)</f>
        <v>7.1984398592871219</v>
      </c>
      <c r="H69" s="20">
        <f>IF(OR(7176761.18511="",461044.78265="",547442.50475=""),"-",(547442.50475-461044.78265)/7176761.18511*100)</f>
        <v>1.2038539373339301</v>
      </c>
      <c r="I69" s="20">
        <f>IF(OR(9218978.7701="",624368.79447="",547442.50475=""),"-",(624368.79447-547442.50475)/9218978.7701*100)</f>
        <v>0.83443396105321088</v>
      </c>
    </row>
    <row r="70" spans="1:9" s="2" customFormat="1" x14ac:dyDescent="0.25">
      <c r="A70" s="30" t="s">
        <v>238</v>
      </c>
      <c r="B70" s="31" t="s">
        <v>27</v>
      </c>
      <c r="C70" s="43">
        <v>9638.1238900000008</v>
      </c>
      <c r="D70" s="20">
        <v>10399.464319999999</v>
      </c>
      <c r="E70" s="20">
        <f>IF(OR(9638.12389="",10399.46432=""),"-",10399.46432/9638.12389*100)</f>
        <v>107.89925963485409</v>
      </c>
      <c r="F70" s="20">
        <f>IF(9638.12389="","-",9638.12389/9218978.7701*100)</f>
        <v>0.10454654610182441</v>
      </c>
      <c r="G70" s="20">
        <f>IF(10399.46432="","-",10399.46432/8673668.27639*100)</f>
        <v>0.1198969569577346</v>
      </c>
      <c r="H70" s="20">
        <f>IF(OR(7176761.18511="",5353.71369="",9638.12389=""),"-",(9638.12389-5353.71369)/7176761.18511*100)</f>
        <v>5.9698380501905089E-2</v>
      </c>
      <c r="I70" s="20">
        <f>IF(OR(9218978.7701="",10399.46432="",9638.12389=""),"-",(10399.46432-9638.12389)/9218978.7701*100)</f>
        <v>8.258403115855531E-3</v>
      </c>
    </row>
    <row r="71" spans="1:9" s="2" customFormat="1" x14ac:dyDescent="0.25">
      <c r="A71" s="28" t="s">
        <v>239</v>
      </c>
      <c r="B71" s="29" t="s">
        <v>28</v>
      </c>
      <c r="C71" s="44">
        <v>820774.49453000003</v>
      </c>
      <c r="D71" s="19">
        <v>863931.10990000004</v>
      </c>
      <c r="E71" s="19">
        <f>IF(820774.49453="","-",863931.1099/820774.49453*100)</f>
        <v>105.25803563068963</v>
      </c>
      <c r="F71" s="19">
        <f>IF(820774.49453="","-",820774.49453/9218978.7701*100)</f>
        <v>8.9030956139309669</v>
      </c>
      <c r="G71" s="19">
        <f>IF(863931.1099="","-",863931.1099/8673668.27639*100)</f>
        <v>9.9603891037849355</v>
      </c>
      <c r="H71" s="19">
        <f>IF(7176761.18511="","-",(820774.49453-830355.98858)/7176761.18511*100)</f>
        <v>-0.13350721589955095</v>
      </c>
      <c r="I71" s="19">
        <f>IF(9218978.7701="","-",(863931.1099-820774.49453)/9218978.7701*100)</f>
        <v>0.46812793961485488</v>
      </c>
    </row>
    <row r="72" spans="1:9" ht="25.5" customHeight="1" x14ac:dyDescent="0.25">
      <c r="A72" s="30" t="s">
        <v>240</v>
      </c>
      <c r="B72" s="31" t="s">
        <v>172</v>
      </c>
      <c r="C72" s="43">
        <v>67417.651089999999</v>
      </c>
      <c r="D72" s="20">
        <v>52185.480340000002</v>
      </c>
      <c r="E72" s="20">
        <f>IF(OR(67417.65109="",52185.48034=""),"-",52185.48034/67417.65109*100)</f>
        <v>77.406257109631966</v>
      </c>
      <c r="F72" s="20">
        <f>IF(67417.65109="","-",67417.65109/9218978.7701*100)</f>
        <v>0.73129196596760049</v>
      </c>
      <c r="G72" s="20">
        <f>IF(52185.48034="","-",52185.48034/8673668.27639*100)</f>
        <v>0.60165409463549047</v>
      </c>
      <c r="H72" s="20">
        <f>IF(OR(7176761.18511="",76781.73868="",67417.65109=""),"-",(67417.65109-76781.73868)/7176761.18511*100)</f>
        <v>-0.1304779042867994</v>
      </c>
      <c r="I72" s="20">
        <f>IF(OR(9218978.7701="",52185.48034="",67417.65109=""),"-",(52185.48034-67417.65109)/9218978.7701*100)</f>
        <v>-0.16522622656863731</v>
      </c>
    </row>
    <row r="73" spans="1:9" x14ac:dyDescent="0.25">
      <c r="A73" s="30" t="s">
        <v>241</v>
      </c>
      <c r="B73" s="31" t="s">
        <v>147</v>
      </c>
      <c r="C73" s="43">
        <v>74254.736290000001</v>
      </c>
      <c r="D73" s="20">
        <v>75540.515570000003</v>
      </c>
      <c r="E73" s="20">
        <f>IF(OR(74254.73629="",75540.51557=""),"-",75540.51557/74254.73629*100)</f>
        <v>101.73157881132111</v>
      </c>
      <c r="F73" s="20">
        <f>IF(74254.73629="","-",74254.73629/9218978.7701*100)</f>
        <v>0.80545511755413834</v>
      </c>
      <c r="G73" s="20">
        <f>IF(75540.51557="","-",75540.51557/8673668.27639*100)</f>
        <v>0.87091773818032314</v>
      </c>
      <c r="H73" s="20">
        <f>IF(OR(7176761.18511="",79138.59015="",74254.73629=""),"-",(74254.73629-79138.59015)/7176761.18511*100)</f>
        <v>-6.805094574043774E-2</v>
      </c>
      <c r="I73" s="20">
        <f>IF(OR(9218978.7701="",75540.51557="",74254.73629=""),"-",(75540.51557-74254.73629)/9218978.7701*100)</f>
        <v>1.3947090150268949E-2</v>
      </c>
    </row>
    <row r="74" spans="1:9" x14ac:dyDescent="0.25">
      <c r="A74" s="30" t="s">
        <v>242</v>
      </c>
      <c r="B74" s="31" t="s">
        <v>148</v>
      </c>
      <c r="C74" s="43">
        <v>17193.425780000001</v>
      </c>
      <c r="D74" s="20">
        <v>17372.688259999999</v>
      </c>
      <c r="E74" s="20">
        <f>IF(OR(17193.42578="",17372.68826=""),"-",17372.68826/17193.42578*100)</f>
        <v>101.04262223418282</v>
      </c>
      <c r="F74" s="20">
        <f>IF(17193.42578="","-",17193.42578/9218978.7701*100)</f>
        <v>0.18650032946993653</v>
      </c>
      <c r="G74" s="20">
        <f>IF(17372.68826="","-",17372.68826/8673668.27639*100)</f>
        <v>0.20029228356921383</v>
      </c>
      <c r="H74" s="20">
        <f>IF(OR(7176761.18511="",12545.83337="",17193.42578=""),"-",(17193.42578-12545.83337)/7176761.18511*100)</f>
        <v>6.4758911298910191E-2</v>
      </c>
      <c r="I74" s="20">
        <f>IF(OR(9218978.7701="",17372.68826="",17193.42578=""),"-",(17372.68826-17193.42578)/9218978.7701*100)</f>
        <v>1.944493901877736E-3</v>
      </c>
    </row>
    <row r="75" spans="1:9" x14ac:dyDescent="0.25">
      <c r="A75" s="30" t="s">
        <v>243</v>
      </c>
      <c r="B75" s="31" t="s">
        <v>149</v>
      </c>
      <c r="C75" s="43">
        <v>203847.41985000001</v>
      </c>
      <c r="D75" s="20">
        <v>205117.86545000001</v>
      </c>
      <c r="E75" s="20">
        <f>IF(OR(203847.41985="",205117.86545=""),"-",205117.86545/203847.41985*100)</f>
        <v>100.6232335935058</v>
      </c>
      <c r="F75" s="20">
        <f>IF(203847.41985="","-",203847.41985/9218978.7701*100)</f>
        <v>2.2111713773670925</v>
      </c>
      <c r="G75" s="20">
        <f>IF(205117.86545="","-",205117.86545/8673668.27639*100)</f>
        <v>2.364834103793632</v>
      </c>
      <c r="H75" s="20">
        <f>IF(OR(7176761.18511="",200368.29076="",203847.41985=""),"-",(203847.41985-200368.29076)/7176761.18511*100)</f>
        <v>4.8477704639501344E-2</v>
      </c>
      <c r="I75" s="20">
        <f>IF(OR(9218978.7701="",205117.86545="",203847.41985=""),"-",(205117.86545-203847.41985)/9218978.7701*100)</f>
        <v>1.378076283373658E-2</v>
      </c>
    </row>
    <row r="76" spans="1:9" x14ac:dyDescent="0.25">
      <c r="A76" s="30" t="s">
        <v>244</v>
      </c>
      <c r="B76" s="31" t="s">
        <v>150</v>
      </c>
      <c r="C76" s="43">
        <v>58823.670050000001</v>
      </c>
      <c r="D76" s="20">
        <v>60856.826800000003</v>
      </c>
      <c r="E76" s="20">
        <f>IF(OR(58823.67005="",60856.8268=""),"-",60856.8268/58823.67005*100)</f>
        <v>103.45635821136598</v>
      </c>
      <c r="F76" s="20">
        <f>IF(58823.67005="","-",58823.67005/9218978.7701*100)</f>
        <v>0.63807143412438871</v>
      </c>
      <c r="G76" s="20">
        <f>IF(60856.8268="","-",60856.8268/8673668.27639*100)</f>
        <v>0.70162732607210976</v>
      </c>
      <c r="H76" s="20">
        <f>IF(OR(7176761.18511="",51446.46042="",58823.67005=""),"-",(58823.67005-51446.46042)/7176761.18511*100)</f>
        <v>0.10279302097032125</v>
      </c>
      <c r="I76" s="20">
        <f>IF(OR(9218978.7701="",60856.8268="",58823.67005=""),"-",(60856.8268-58823.67005)/9218978.7701*100)</f>
        <v>2.205403440773894E-2</v>
      </c>
    </row>
    <row r="77" spans="1:9" ht="14.25" customHeight="1" x14ac:dyDescent="0.25">
      <c r="A77" s="30" t="s">
        <v>245</v>
      </c>
      <c r="B77" s="31" t="s">
        <v>273</v>
      </c>
      <c r="C77" s="43">
        <v>77878.304600000003</v>
      </c>
      <c r="D77" s="20">
        <v>82771.670620000004</v>
      </c>
      <c r="E77" s="20">
        <f>IF(OR(77878.3046="",82771.67062=""),"-",82771.67062/77878.3046*100)</f>
        <v>106.28334944518041</v>
      </c>
      <c r="F77" s="20">
        <f>IF(77878.3046="","-",77878.3046/9218978.7701*100)</f>
        <v>0.8447606458600756</v>
      </c>
      <c r="G77" s="20">
        <f>IF(82771.67062="","-",82771.67062/8673668.27639*100)</f>
        <v>0.95428679057633692</v>
      </c>
      <c r="H77" s="20">
        <f>IF(OR(7176761.18511="",90534.12463="",77878.3046=""),"-",(77878.3046-90534.12463)/7176761.18511*100)</f>
        <v>-0.17634444986490133</v>
      </c>
      <c r="I77" s="20">
        <f>IF(OR(9218978.7701="",82771.67062="",77878.3046=""),"-",(82771.67062-77878.3046)/9218978.7701*100)</f>
        <v>5.307926335475141E-2</v>
      </c>
    </row>
    <row r="78" spans="1:9" ht="26.25" customHeight="1" x14ac:dyDescent="0.25">
      <c r="A78" s="30" t="s">
        <v>246</v>
      </c>
      <c r="B78" s="31" t="s">
        <v>151</v>
      </c>
      <c r="C78" s="43">
        <v>16334.255370000001</v>
      </c>
      <c r="D78" s="20">
        <v>19390.704689999999</v>
      </c>
      <c r="E78" s="20">
        <f>IF(OR(16334.25537="",19390.70469=""),"-",19390.70469/16334.25537*100)</f>
        <v>118.7118987108134</v>
      </c>
      <c r="F78" s="20">
        <f>IF(16334.25537="","-",16334.25537/9218978.7701*100)</f>
        <v>0.1771807461253414</v>
      </c>
      <c r="G78" s="20">
        <f>IF(19390.70469="","-",19390.70469/8673668.27639*100)</f>
        <v>0.22355829243299649</v>
      </c>
      <c r="H78" s="20">
        <f>IF(OR(7176761.18511="",17059.28539="",16334.25537=""),"-",(16334.25537-17059.28539)/7176761.18511*100)</f>
        <v>-1.0102468248550024E-2</v>
      </c>
      <c r="I78" s="20">
        <f>IF(OR(9218978.7701="",19390.70469="",16334.25537=""),"-",(19390.70469-16334.25537)/9218978.7701*100)</f>
        <v>3.3153881750037306E-2</v>
      </c>
    </row>
    <row r="79" spans="1:9" x14ac:dyDescent="0.25">
      <c r="A79" s="30" t="s">
        <v>247</v>
      </c>
      <c r="B79" s="31" t="s">
        <v>29</v>
      </c>
      <c r="C79" s="43">
        <v>305025.03149999998</v>
      </c>
      <c r="D79" s="20">
        <v>350695.35817000002</v>
      </c>
      <c r="E79" s="20">
        <f>IF(OR(305025.0315="",350695.35817=""),"-",350695.35817/305025.0315*100)</f>
        <v>114.97264878407204</v>
      </c>
      <c r="F79" s="20">
        <f>IF(305025.0315="","-",305025.0315/9218978.7701*100)</f>
        <v>3.3086639974623933</v>
      </c>
      <c r="G79" s="20">
        <f>IF(350695.35817="","-",350695.35817/8673668.27639*100)</f>
        <v>4.0432184745248314</v>
      </c>
      <c r="H79" s="20">
        <f>IF(OR(7176761.18511="",302481.66518="",305025.0315=""),"-",(305025.0315-302481.66518)/7176761.18511*100)</f>
        <v>3.5438915332404071E-2</v>
      </c>
      <c r="I79" s="20">
        <f>IF(OR(9218978.7701="",350695.35817="",305025.0315=""),"-",(350695.35817-305025.0315)/9218978.7701*100)</f>
        <v>0.49539463978508164</v>
      </c>
    </row>
    <row r="80" spans="1:9" x14ac:dyDescent="0.25">
      <c r="A80" s="33" t="s">
        <v>250</v>
      </c>
      <c r="B80" s="34" t="s">
        <v>152</v>
      </c>
      <c r="C80" s="69">
        <v>20119.583170000002</v>
      </c>
      <c r="D80" s="38">
        <v>7364.7866100000001</v>
      </c>
      <c r="E80" s="38">
        <f>IF(20119.58317="","-",7364.78661/20119.58317*100)</f>
        <v>36.605065561107246</v>
      </c>
      <c r="F80" s="38">
        <f>IF(20119.58317="","-",20119.58317/9218978.7701*100)</f>
        <v>0.21824091010225594</v>
      </c>
      <c r="G80" s="38">
        <f>IF(7364.78661="","-",7364.78661/8673668.27639*100)</f>
        <v>8.4909710347664369E-2</v>
      </c>
      <c r="H80" s="38">
        <f>IF(7176761.18511="","-",(20119.58317-946.6054)/7176761.18511*100)</f>
        <v>0.26715362648236335</v>
      </c>
      <c r="I80" s="38">
        <f>IF(9218978.7701="","-",(7364.78661-20119.58317)/9218978.7701*100)</f>
        <v>-0.13835368187816804</v>
      </c>
    </row>
    <row r="81" spans="1:3" x14ac:dyDescent="0.25">
      <c r="A81" s="9" t="s">
        <v>253</v>
      </c>
      <c r="B81" s="10"/>
    </row>
    <row r="82" spans="1:3" x14ac:dyDescent="0.25">
      <c r="A82" s="10" t="s">
        <v>297</v>
      </c>
      <c r="B82" s="10"/>
      <c r="C82" s="14"/>
    </row>
  </sheetData>
  <mergeCells count="9"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3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6.5" style="22" customWidth="1"/>
    <col min="2" max="2" width="42.875" style="22" customWidth="1"/>
    <col min="3" max="4" width="13.125" style="22" customWidth="1"/>
    <col min="5" max="5" width="11.375" style="22" customWidth="1"/>
  </cols>
  <sheetData>
    <row r="1" spans="1:5" s="25" customFormat="1" ht="12.75" x14ac:dyDescent="0.2">
      <c r="A1" s="24"/>
      <c r="B1" s="85" t="s">
        <v>311</v>
      </c>
      <c r="C1" s="85"/>
      <c r="D1" s="85"/>
      <c r="E1" s="85"/>
    </row>
    <row r="2" spans="1:5" s="25" customFormat="1" ht="12.75" x14ac:dyDescent="0.2">
      <c r="A2" s="24"/>
      <c r="B2" s="85" t="s">
        <v>252</v>
      </c>
      <c r="C2" s="85"/>
      <c r="D2" s="85"/>
      <c r="E2" s="85"/>
    </row>
    <row r="3" spans="1:5" x14ac:dyDescent="0.25">
      <c r="A3" s="96"/>
      <c r="B3" s="96"/>
      <c r="C3" s="96"/>
      <c r="D3" s="96"/>
      <c r="E3" s="96"/>
    </row>
    <row r="4" spans="1:5" ht="26.25" customHeight="1" x14ac:dyDescent="0.25">
      <c r="A4" s="89" t="s">
        <v>251</v>
      </c>
      <c r="B4" s="97"/>
      <c r="C4" s="77" t="s">
        <v>339</v>
      </c>
      <c r="D4" s="84"/>
      <c r="E4" s="87" t="s">
        <v>364</v>
      </c>
    </row>
    <row r="5" spans="1:5" ht="19.5" customHeight="1" x14ac:dyDescent="0.25">
      <c r="A5" s="90"/>
      <c r="B5" s="98"/>
      <c r="C5" s="13">
        <v>2022</v>
      </c>
      <c r="D5" s="13">
        <v>2023</v>
      </c>
      <c r="E5" s="88"/>
    </row>
    <row r="6" spans="1:5" s="25" customFormat="1" ht="15" customHeight="1" x14ac:dyDescent="0.2">
      <c r="A6" s="40"/>
      <c r="B6" s="57" t="s">
        <v>340</v>
      </c>
      <c r="C6" s="56">
        <v>-4886833.6522899996</v>
      </c>
      <c r="D6" s="53">
        <v>-4625051.7591899997</v>
      </c>
      <c r="E6" s="53">
        <f>IF(-4886833.65229="","-",-4625051.75919/-4886833.65229*100)</f>
        <v>94.643118392676868</v>
      </c>
    </row>
    <row r="7" spans="1:5" ht="12.75" customHeight="1" x14ac:dyDescent="0.25">
      <c r="A7" s="36"/>
      <c r="B7" s="37" t="s">
        <v>102</v>
      </c>
      <c r="C7" s="70"/>
      <c r="D7" s="71"/>
      <c r="E7" s="19"/>
    </row>
    <row r="8" spans="1:5" x14ac:dyDescent="0.25">
      <c r="A8" s="28" t="s">
        <v>179</v>
      </c>
      <c r="B8" s="29" t="s">
        <v>153</v>
      </c>
      <c r="C8" s="19">
        <v>7345.3096599999999</v>
      </c>
      <c r="D8" s="19">
        <v>-26985.095150000001</v>
      </c>
      <c r="E8" s="19" t="s">
        <v>338</v>
      </c>
    </row>
    <row r="9" spans="1:5" x14ac:dyDescent="0.25">
      <c r="A9" s="30" t="s">
        <v>180</v>
      </c>
      <c r="B9" s="31" t="s">
        <v>17</v>
      </c>
      <c r="C9" s="20">
        <v>-2437.9843000000001</v>
      </c>
      <c r="D9" s="20">
        <v>-4080.95264</v>
      </c>
      <c r="E9" s="20" t="s">
        <v>326</v>
      </c>
    </row>
    <row r="10" spans="1:5" x14ac:dyDescent="0.25">
      <c r="A10" s="30" t="s">
        <v>181</v>
      </c>
      <c r="B10" s="31" t="s">
        <v>154</v>
      </c>
      <c r="C10" s="20">
        <v>-74320.594280000005</v>
      </c>
      <c r="D10" s="20">
        <v>-74514.219320000004</v>
      </c>
      <c r="E10" s="20">
        <f>IF(OR(-74320.59428="",-74514.21932="",-74320.59428=0,-74514.21932=0),"-",-74514.21932/-74320.59428*100)</f>
        <v>100.26052676499131</v>
      </c>
    </row>
    <row r="11" spans="1:5" x14ac:dyDescent="0.25">
      <c r="A11" s="30" t="s">
        <v>182</v>
      </c>
      <c r="B11" s="31" t="s">
        <v>155</v>
      </c>
      <c r="C11" s="20">
        <v>-99672.09908</v>
      </c>
      <c r="D11" s="20">
        <v>-113171.31200999999</v>
      </c>
      <c r="E11" s="20">
        <f>IF(OR(-99672.09908="",-113171.31201="",-99672.09908=0,-113171.31201=0),"-",-113171.31201/-99672.09908*100)</f>
        <v>113.54362259308404</v>
      </c>
    </row>
    <row r="12" spans="1:5" x14ac:dyDescent="0.25">
      <c r="A12" s="30" t="s">
        <v>183</v>
      </c>
      <c r="B12" s="31" t="s">
        <v>156</v>
      </c>
      <c r="C12" s="20">
        <v>-80920.963619999995</v>
      </c>
      <c r="D12" s="20">
        <v>-95096.216759999996</v>
      </c>
      <c r="E12" s="20">
        <f>IF(OR(-80920.96362="",-95096.21676="",-80920.96362=0,-95096.21676=0),"-",-95096.21676/-80920.96362*100)</f>
        <v>117.51740526295033</v>
      </c>
    </row>
    <row r="13" spans="1:5" x14ac:dyDescent="0.25">
      <c r="A13" s="30" t="s">
        <v>184</v>
      </c>
      <c r="B13" s="31" t="s">
        <v>157</v>
      </c>
      <c r="C13" s="20">
        <v>279137.4129</v>
      </c>
      <c r="D13" s="20">
        <v>291861.50371999998</v>
      </c>
      <c r="E13" s="20">
        <f>IF(OR(279137.4129="",291861.50372="",279137.4129=0,291861.50372=0),"-",291861.50372/279137.4129*100)</f>
        <v>104.55836094768077</v>
      </c>
    </row>
    <row r="14" spans="1:5" x14ac:dyDescent="0.25">
      <c r="A14" s="30" t="s">
        <v>185</v>
      </c>
      <c r="B14" s="31" t="s">
        <v>158</v>
      </c>
      <c r="C14" s="20">
        <v>168719.00138</v>
      </c>
      <c r="D14" s="20">
        <v>153533.83056999999</v>
      </c>
      <c r="E14" s="20">
        <f>IF(OR(168719.00138="",153533.83057="",168719.00138=0,153533.83057=0),"-",153533.83057/168719.00138*100)</f>
        <v>90.999726950849492</v>
      </c>
    </row>
    <row r="15" spans="1:5" x14ac:dyDescent="0.25">
      <c r="A15" s="30" t="s">
        <v>186</v>
      </c>
      <c r="B15" s="31" t="s">
        <v>116</v>
      </c>
      <c r="C15" s="20">
        <v>2530.4603999999999</v>
      </c>
      <c r="D15" s="20">
        <v>-6437.8455800000002</v>
      </c>
      <c r="E15" s="20" t="s">
        <v>338</v>
      </c>
    </row>
    <row r="16" spans="1:5" ht="17.25" customHeight="1" x14ac:dyDescent="0.25">
      <c r="A16" s="30" t="s">
        <v>187</v>
      </c>
      <c r="B16" s="31" t="s">
        <v>159</v>
      </c>
      <c r="C16" s="20">
        <v>-63797.477400000003</v>
      </c>
      <c r="D16" s="20">
        <v>-71932.487150000001</v>
      </c>
      <c r="E16" s="20">
        <f>IF(OR(-63797.4774="",-71932.48715="",-63797.4774=0,-71932.48715=0),"-",-71932.48715/-63797.4774*100)</f>
        <v>112.75130315732515</v>
      </c>
    </row>
    <row r="17" spans="1:5" ht="15.75" customHeight="1" x14ac:dyDescent="0.25">
      <c r="A17" s="30" t="s">
        <v>188</v>
      </c>
      <c r="B17" s="31" t="s">
        <v>117</v>
      </c>
      <c r="C17" s="20">
        <v>-3176.8566000000001</v>
      </c>
      <c r="D17" s="20">
        <v>5436.4307799999997</v>
      </c>
      <c r="E17" s="20" t="s">
        <v>338</v>
      </c>
    </row>
    <row r="18" spans="1:5" x14ac:dyDescent="0.25">
      <c r="A18" s="30" t="s">
        <v>189</v>
      </c>
      <c r="B18" s="31" t="s">
        <v>160</v>
      </c>
      <c r="C18" s="20">
        <v>-118715.58974</v>
      </c>
      <c r="D18" s="20">
        <v>-112583.82676</v>
      </c>
      <c r="E18" s="20">
        <f>IF(OR(-118715.58974="",-112583.82676="",-118715.58974=0,-112583.82676=0),"-",-112583.82676/-118715.58974*100)</f>
        <v>94.834913431816986</v>
      </c>
    </row>
    <row r="19" spans="1:5" x14ac:dyDescent="0.25">
      <c r="A19" s="28" t="s">
        <v>190</v>
      </c>
      <c r="B19" s="29" t="s">
        <v>161</v>
      </c>
      <c r="C19" s="19">
        <v>60609.6518</v>
      </c>
      <c r="D19" s="19">
        <v>74646.213759999999</v>
      </c>
      <c r="E19" s="19">
        <f>IF(60609.6518="","-",74646.21376/60609.6518*100)</f>
        <v>123.1589549570717</v>
      </c>
    </row>
    <row r="20" spans="1:5" x14ac:dyDescent="0.25">
      <c r="A20" s="30" t="s">
        <v>191</v>
      </c>
      <c r="B20" s="31" t="s">
        <v>162</v>
      </c>
      <c r="C20" s="20">
        <v>98262.566649999993</v>
      </c>
      <c r="D20" s="20">
        <v>113111.82129000001</v>
      </c>
      <c r="E20" s="20">
        <f>IF(OR(98262.56665="",113111.82129="",98262.56665=0,113111.82129=0),"-",113111.82129/98262.56665*100)</f>
        <v>115.11181230680789</v>
      </c>
    </row>
    <row r="21" spans="1:5" x14ac:dyDescent="0.25">
      <c r="A21" s="30" t="s">
        <v>192</v>
      </c>
      <c r="B21" s="31" t="s">
        <v>163</v>
      </c>
      <c r="C21" s="20">
        <v>-37652.914850000001</v>
      </c>
      <c r="D21" s="20">
        <v>-38465.607530000001</v>
      </c>
      <c r="E21" s="20">
        <f>IF(OR(-37652.91485="",-38465.60753="",-37652.91485=0,-38465.60753=0),"-",-38465.60753/-37652.91485*100)</f>
        <v>102.15837919384879</v>
      </c>
    </row>
    <row r="22" spans="1:5" ht="16.5" customHeight="1" x14ac:dyDescent="0.25">
      <c r="A22" s="28" t="s">
        <v>193</v>
      </c>
      <c r="B22" s="29" t="s">
        <v>18</v>
      </c>
      <c r="C22" s="19">
        <v>210607.76228</v>
      </c>
      <c r="D22" s="19">
        <v>140346.93841999999</v>
      </c>
      <c r="E22" s="19">
        <f>IF(210607.76228="","-",140346.93842/210607.76228*100)</f>
        <v>66.639015058433955</v>
      </c>
    </row>
    <row r="23" spans="1:5" x14ac:dyDescent="0.25">
      <c r="A23" s="30" t="s">
        <v>194</v>
      </c>
      <c r="B23" s="31" t="s">
        <v>170</v>
      </c>
      <c r="C23" s="20">
        <v>1113.1003000000001</v>
      </c>
      <c r="D23" s="20">
        <v>1252.3929700000001</v>
      </c>
      <c r="E23" s="20">
        <f>IF(OR(1113.1003="",1252.39297="",1113.1003=0,1252.39297=0),"-",1252.39297/1113.1003*100)</f>
        <v>112.51393697405348</v>
      </c>
    </row>
    <row r="24" spans="1:5" x14ac:dyDescent="0.25">
      <c r="A24" s="30" t="s">
        <v>195</v>
      </c>
      <c r="B24" s="31" t="s">
        <v>164</v>
      </c>
      <c r="C24" s="20">
        <v>259953.84505999999</v>
      </c>
      <c r="D24" s="20">
        <v>203316.89431999999</v>
      </c>
      <c r="E24" s="20">
        <f>IF(OR(259953.84506="",203316.89432="",259953.84506=0,203316.89432=0),"-",203316.89432/259953.84506*100)</f>
        <v>78.212689746163349</v>
      </c>
    </row>
    <row r="25" spans="1:5" ht="17.25" customHeight="1" x14ac:dyDescent="0.25">
      <c r="A25" s="30" t="s">
        <v>248</v>
      </c>
      <c r="B25" s="31" t="s">
        <v>165</v>
      </c>
      <c r="C25" s="20">
        <v>-4234.4148599999999</v>
      </c>
      <c r="D25" s="20">
        <v>-3706.4804600000002</v>
      </c>
      <c r="E25" s="20">
        <f>IF(OR(-4234.41486="",-3706.48046="",-4234.41486=0,-3706.48046=0),"-",-3706.48046/-4234.41486*100)</f>
        <v>87.532293895265624</v>
      </c>
    </row>
    <row r="26" spans="1:5" x14ac:dyDescent="0.25">
      <c r="A26" s="30" t="s">
        <v>196</v>
      </c>
      <c r="B26" s="31" t="s">
        <v>166</v>
      </c>
      <c r="C26" s="20">
        <v>-52510.220249999998</v>
      </c>
      <c r="D26" s="20">
        <v>-41061.410750000003</v>
      </c>
      <c r="E26" s="20">
        <f>IF(OR(-52510.22025="",-41061.41075="",-52510.22025=0,-41061.41075=0),"-",-41061.41075/-52510.22025*100)</f>
        <v>78.196988232971663</v>
      </c>
    </row>
    <row r="27" spans="1:5" x14ac:dyDescent="0.25">
      <c r="A27" s="30" t="s">
        <v>197</v>
      </c>
      <c r="B27" s="31" t="s">
        <v>118</v>
      </c>
      <c r="C27" s="20">
        <v>3905.8607999999999</v>
      </c>
      <c r="D27" s="20">
        <v>3449.1794199999999</v>
      </c>
      <c r="E27" s="20">
        <f>IF(OR(3905.8608="",3449.17942="",3905.8608=0,3449.17942=0),"-",3449.17942/3905.8608*100)</f>
        <v>88.30779171648922</v>
      </c>
    </row>
    <row r="28" spans="1:5" ht="28.5" customHeight="1" x14ac:dyDescent="0.25">
      <c r="A28" s="30" t="s">
        <v>198</v>
      </c>
      <c r="B28" s="31" t="s">
        <v>119</v>
      </c>
      <c r="C28" s="20">
        <v>-8758.0206199999993</v>
      </c>
      <c r="D28" s="20">
        <v>-7552.8941800000002</v>
      </c>
      <c r="E28" s="20">
        <f>IF(OR(-8758.02062="",-7552.89418="",-8758.02062=0,-7552.89418=0),"-",-7552.89418/-8758.02062*100)</f>
        <v>86.239739636511629</v>
      </c>
    </row>
    <row r="29" spans="1:5" ht="29.25" customHeight="1" x14ac:dyDescent="0.25">
      <c r="A29" s="30" t="s">
        <v>199</v>
      </c>
      <c r="B29" s="31" t="s">
        <v>120</v>
      </c>
      <c r="C29" s="20">
        <v>-2500.2762499999999</v>
      </c>
      <c r="D29" s="20">
        <v>-4569.8834800000004</v>
      </c>
      <c r="E29" s="20" t="s">
        <v>329</v>
      </c>
    </row>
    <row r="30" spans="1:5" x14ac:dyDescent="0.25">
      <c r="A30" s="30" t="s">
        <v>200</v>
      </c>
      <c r="B30" s="31" t="s">
        <v>121</v>
      </c>
      <c r="C30" s="20">
        <v>52979.104570000003</v>
      </c>
      <c r="D30" s="20">
        <v>35142.43146</v>
      </c>
      <c r="E30" s="20">
        <f>IF(OR(52979.10457="",35142.43146="",52979.10457=0,35142.43146=0),"-",35142.43146/52979.10457*100)</f>
        <v>66.332626316035899</v>
      </c>
    </row>
    <row r="31" spans="1:5" x14ac:dyDescent="0.25">
      <c r="A31" s="30" t="s">
        <v>201</v>
      </c>
      <c r="B31" s="31" t="s">
        <v>122</v>
      </c>
      <c r="C31" s="20">
        <v>-39341.216469999999</v>
      </c>
      <c r="D31" s="20">
        <v>-45923.29088</v>
      </c>
      <c r="E31" s="20">
        <f>IF(OR(-39341.21647="",-45923.29088="",-39341.21647=0,-45923.29088=0),"-",-45923.29088/-39341.21647*100)</f>
        <v>116.73073433054419</v>
      </c>
    </row>
    <row r="32" spans="1:5" ht="15.75" customHeight="1" x14ac:dyDescent="0.25">
      <c r="A32" s="28" t="s">
        <v>202</v>
      </c>
      <c r="B32" s="29" t="s">
        <v>123</v>
      </c>
      <c r="C32" s="19">
        <v>-1989506.2945000001</v>
      </c>
      <c r="D32" s="19">
        <v>-1507837.27458</v>
      </c>
      <c r="E32" s="19">
        <f>IF(-1989506.2945="","-",-1507837.27458/-1989506.2945*100)</f>
        <v>75.789520181384873</v>
      </c>
    </row>
    <row r="33" spans="1:5" x14ac:dyDescent="0.25">
      <c r="A33" s="30" t="s">
        <v>203</v>
      </c>
      <c r="B33" s="31" t="s">
        <v>167</v>
      </c>
      <c r="C33" s="20">
        <v>-39016.314059999997</v>
      </c>
      <c r="D33" s="20">
        <v>-19942.76828</v>
      </c>
      <c r="E33" s="20">
        <f>IF(OR(-39016.31406="",-19942.76828="",-39016.31406=0,-19942.76828=0),"-",-19942.76828/-39016.31406*100)</f>
        <v>51.113921856717802</v>
      </c>
    </row>
    <row r="34" spans="1:5" x14ac:dyDescent="0.25">
      <c r="A34" s="30" t="s">
        <v>204</v>
      </c>
      <c r="B34" s="31" t="s">
        <v>124</v>
      </c>
      <c r="C34" s="20">
        <v>-977998.00572000002</v>
      </c>
      <c r="D34" s="20">
        <v>-905534.85814000003</v>
      </c>
      <c r="E34" s="20">
        <f>IF(OR(-977998.00572="",-905534.85814="",-977998.00572=0,-905534.85814=0),"-",-905534.85814/-977998.00572*100)</f>
        <v>92.590665097864616</v>
      </c>
    </row>
    <row r="35" spans="1:5" x14ac:dyDescent="0.25">
      <c r="A35" s="30" t="s">
        <v>249</v>
      </c>
      <c r="B35" s="31" t="s">
        <v>168</v>
      </c>
      <c r="C35" s="20">
        <v>-841892.98603000003</v>
      </c>
      <c r="D35" s="20">
        <v>-570907.60569</v>
      </c>
      <c r="E35" s="20">
        <f>IF(OR(-841892.98603="",-570907.60569="",-841892.98603=0,-570907.60569=0),"-",-570907.60569/-841892.98603*100)</f>
        <v>67.812372256734335</v>
      </c>
    </row>
    <row r="36" spans="1:5" x14ac:dyDescent="0.25">
      <c r="A36" s="30" t="s">
        <v>254</v>
      </c>
      <c r="B36" s="31" t="s">
        <v>256</v>
      </c>
      <c r="C36" s="20">
        <v>-130598.98869</v>
      </c>
      <c r="D36" s="20">
        <v>-11452.04247</v>
      </c>
      <c r="E36" s="20">
        <f>IF(OR(-130598.98869="",-11452.04247="",-130598.98869=0,-11452.04247=0),"-",-11452.04247/-130598.98869*100)</f>
        <v>8.7688599926171449</v>
      </c>
    </row>
    <row r="37" spans="1:5" x14ac:dyDescent="0.25">
      <c r="A37" s="28" t="s">
        <v>205</v>
      </c>
      <c r="B37" s="29" t="s">
        <v>125</v>
      </c>
      <c r="C37" s="19">
        <v>314433.81537999999</v>
      </c>
      <c r="D37" s="19">
        <v>223176.20465</v>
      </c>
      <c r="E37" s="19">
        <f>IF(314433.81538="","-",223176.20465/314433.81538*100)</f>
        <v>70.977163947931871</v>
      </c>
    </row>
    <row r="38" spans="1:5" x14ac:dyDescent="0.25">
      <c r="A38" s="30" t="s">
        <v>206</v>
      </c>
      <c r="B38" s="31" t="s">
        <v>171</v>
      </c>
      <c r="C38" s="20">
        <v>-2721.8909699999999</v>
      </c>
      <c r="D38" s="20">
        <v>-3505.6337899999999</v>
      </c>
      <c r="E38" s="20">
        <f>IF(OR(-2721.89097="",-3505.63379="",-2721.89097=0,-3505.63379=0),"-",-3505.63379/-2721.89097*100)</f>
        <v>128.79405636148607</v>
      </c>
    </row>
    <row r="39" spans="1:5" ht="24" x14ac:dyDescent="0.25">
      <c r="A39" s="30" t="s">
        <v>207</v>
      </c>
      <c r="B39" s="31" t="s">
        <v>126</v>
      </c>
      <c r="C39" s="20">
        <v>320799.39091999998</v>
      </c>
      <c r="D39" s="20">
        <v>230375.84726000001</v>
      </c>
      <c r="E39" s="20">
        <f>IF(OR(320799.39092="",230375.84726="",320799.39092=0,230375.84726=0),"-",230375.84726/320799.39092*100)</f>
        <v>71.813056315138226</v>
      </c>
    </row>
    <row r="40" spans="1:5" ht="40.5" customHeight="1" x14ac:dyDescent="0.25">
      <c r="A40" s="30" t="s">
        <v>208</v>
      </c>
      <c r="B40" s="31" t="s">
        <v>169</v>
      </c>
      <c r="C40" s="20">
        <v>-3643.6845699999999</v>
      </c>
      <c r="D40" s="20">
        <v>-3694.00882</v>
      </c>
      <c r="E40" s="20">
        <f>IF(OR(-3643.68457="",-3694.00882="",-3643.68457=0,-3694.00882=0),"-",-3694.00882/-3643.68457*100)</f>
        <v>101.38113629303538</v>
      </c>
    </row>
    <row r="41" spans="1:5" ht="15" customHeight="1" x14ac:dyDescent="0.25">
      <c r="A41" s="28" t="s">
        <v>209</v>
      </c>
      <c r="B41" s="29" t="s">
        <v>127</v>
      </c>
      <c r="C41" s="19">
        <v>-934748.46638999996</v>
      </c>
      <c r="D41" s="19">
        <v>-951429.22540999996</v>
      </c>
      <c r="E41" s="19">
        <f>IF(-934748.46639="","-",-951429.22541/-934748.46639*100)</f>
        <v>101.78451846884768</v>
      </c>
    </row>
    <row r="42" spans="1:5" x14ac:dyDescent="0.25">
      <c r="A42" s="30" t="s">
        <v>210</v>
      </c>
      <c r="B42" s="31" t="s">
        <v>19</v>
      </c>
      <c r="C42" s="20">
        <v>31236.34072</v>
      </c>
      <c r="D42" s="20">
        <v>13791.53111</v>
      </c>
      <c r="E42" s="20">
        <f>IF(OR(31236.34072="",13791.53111="",31236.34072=0,13791.53111=0),"-",13791.53111/31236.34072*100)</f>
        <v>44.152198343673341</v>
      </c>
    </row>
    <row r="43" spans="1:5" x14ac:dyDescent="0.25">
      <c r="A43" s="30" t="s">
        <v>211</v>
      </c>
      <c r="B43" s="31" t="s">
        <v>20</v>
      </c>
      <c r="C43" s="20">
        <v>-25874.529310000002</v>
      </c>
      <c r="D43" s="20">
        <v>-23654.008809999999</v>
      </c>
      <c r="E43" s="20">
        <f>IF(OR(-25874.52931="",-23654.00881="",-25874.52931=0,-23654.00881=0),"-",-23654.00881/-25874.52931*100)</f>
        <v>91.418122148634353</v>
      </c>
    </row>
    <row r="44" spans="1:5" x14ac:dyDescent="0.25">
      <c r="A44" s="30" t="s">
        <v>212</v>
      </c>
      <c r="B44" s="31" t="s">
        <v>128</v>
      </c>
      <c r="C44" s="20">
        <v>-47608.010569999999</v>
      </c>
      <c r="D44" s="20">
        <v>-49958.867339999997</v>
      </c>
      <c r="E44" s="20">
        <f>IF(OR(-47608.01057="",-49958.86734="",-47608.01057=0,-49958.86734=0),"-",-49958.86734/-47608.01057*100)</f>
        <v>104.93794372386857</v>
      </c>
    </row>
    <row r="45" spans="1:5" x14ac:dyDescent="0.25">
      <c r="A45" s="30" t="s">
        <v>213</v>
      </c>
      <c r="B45" s="31" t="s">
        <v>129</v>
      </c>
      <c r="C45" s="20">
        <v>-234011.86314999999</v>
      </c>
      <c r="D45" s="20">
        <v>-258131.18814000001</v>
      </c>
      <c r="E45" s="20">
        <f>IF(OR(-234011.86315="",-258131.18814="",-234011.86315=0,-258131.18814=0),"-",-258131.18814/-234011.86315*100)</f>
        <v>110.30688131162808</v>
      </c>
    </row>
    <row r="46" spans="1:5" ht="28.5" customHeight="1" x14ac:dyDescent="0.25">
      <c r="A46" s="30" t="s">
        <v>214</v>
      </c>
      <c r="B46" s="31" t="s">
        <v>130</v>
      </c>
      <c r="C46" s="20">
        <v>-136459.90849999999</v>
      </c>
      <c r="D46" s="20">
        <v>-161135.58285000001</v>
      </c>
      <c r="E46" s="20">
        <f>IF(OR(-136459.9085="",-161135.58285="",-136459.9085=0,-161135.58285=0),"-",-161135.58285/-136459.9085*100)</f>
        <v>118.08272819558576</v>
      </c>
    </row>
    <row r="47" spans="1:5" x14ac:dyDescent="0.25">
      <c r="A47" s="30" t="s">
        <v>215</v>
      </c>
      <c r="B47" s="31" t="s">
        <v>131</v>
      </c>
      <c r="C47" s="20">
        <v>-137562.43038000001</v>
      </c>
      <c r="D47" s="20">
        <v>-132996.08381000001</v>
      </c>
      <c r="E47" s="20">
        <f>IF(OR(-137562.43038="",-132996.08381="",-137562.43038=0,-132996.08381=0),"-",-132996.08381/-137562.43038*100)</f>
        <v>96.680527846603169</v>
      </c>
    </row>
    <row r="48" spans="1:5" x14ac:dyDescent="0.25">
      <c r="A48" s="30" t="s">
        <v>216</v>
      </c>
      <c r="B48" s="31" t="s">
        <v>21</v>
      </c>
      <c r="C48" s="20">
        <v>-74296.45233</v>
      </c>
      <c r="D48" s="20">
        <v>-50621.767460000003</v>
      </c>
      <c r="E48" s="20">
        <f>IF(OR(-74296.45233="",-50621.76746="",-74296.45233=0,-50621.76746=0),"-",-50621.76746/-74296.45233*100)</f>
        <v>68.134838033927963</v>
      </c>
    </row>
    <row r="49" spans="1:5" x14ac:dyDescent="0.25">
      <c r="A49" s="30" t="s">
        <v>217</v>
      </c>
      <c r="B49" s="31" t="s">
        <v>22</v>
      </c>
      <c r="C49" s="20">
        <v>-144559.83671</v>
      </c>
      <c r="D49" s="20">
        <v>-137047.49901999999</v>
      </c>
      <c r="E49" s="20">
        <f>IF(OR(-144559.83671="",-137047.49902="",-144559.83671=0,-137047.49902=0),"-",-137047.49902/-144559.83671*100)</f>
        <v>94.803302313442401</v>
      </c>
    </row>
    <row r="50" spans="1:5" x14ac:dyDescent="0.25">
      <c r="A50" s="30" t="s">
        <v>218</v>
      </c>
      <c r="B50" s="31" t="s">
        <v>132</v>
      </c>
      <c r="C50" s="20">
        <v>-165611.77616000001</v>
      </c>
      <c r="D50" s="20">
        <v>-151675.75909000001</v>
      </c>
      <c r="E50" s="20">
        <f>IF(OR(-165611.77616="",-151675.75909="",-165611.77616=0,-151675.75909=0),"-",-151675.75909/-165611.77616*100)</f>
        <v>91.585129153776961</v>
      </c>
    </row>
    <row r="51" spans="1:5" ht="24" x14ac:dyDescent="0.25">
      <c r="A51" s="28" t="s">
        <v>219</v>
      </c>
      <c r="B51" s="29" t="s">
        <v>323</v>
      </c>
      <c r="C51" s="19">
        <v>-1011316.08841</v>
      </c>
      <c r="D51" s="19">
        <v>-952709.66024999996</v>
      </c>
      <c r="E51" s="19">
        <f>IF(-1011316.08841="","-",-952709.66025/-1011316.08841*100)</f>
        <v>94.204934655776952</v>
      </c>
    </row>
    <row r="52" spans="1:5" x14ac:dyDescent="0.25">
      <c r="A52" s="30" t="s">
        <v>220</v>
      </c>
      <c r="B52" s="31" t="s">
        <v>133</v>
      </c>
      <c r="C52" s="20">
        <v>-52614.437740000001</v>
      </c>
      <c r="D52" s="20">
        <v>-41131.138129999999</v>
      </c>
      <c r="E52" s="20">
        <f>IF(OR(-52614.43774="",-41131.13813="",-52614.43774=0,-41131.13813=0),"-",-41131.13813/-52614.43774*100)</f>
        <v>78.174622587917824</v>
      </c>
    </row>
    <row r="53" spans="1:5" x14ac:dyDescent="0.25">
      <c r="A53" s="30" t="s">
        <v>221</v>
      </c>
      <c r="B53" s="31" t="s">
        <v>23</v>
      </c>
      <c r="C53" s="20">
        <v>-82990.628540000005</v>
      </c>
      <c r="D53" s="20">
        <v>-75776.793829999995</v>
      </c>
      <c r="E53" s="20">
        <f>IF(OR(-82990.62854="",-75776.79383="",-82990.62854=0,-75776.79383=0),"-",-75776.79383/-82990.62854*100)</f>
        <v>91.307651433772335</v>
      </c>
    </row>
    <row r="54" spans="1:5" x14ac:dyDescent="0.25">
      <c r="A54" s="30" t="s">
        <v>222</v>
      </c>
      <c r="B54" s="31" t="s">
        <v>134</v>
      </c>
      <c r="C54" s="20">
        <v>-82727.825379999995</v>
      </c>
      <c r="D54" s="20">
        <v>-89441.327099999995</v>
      </c>
      <c r="E54" s="20">
        <f>IF(OR(-82727.82538="",-89441.3271="",-82727.82538=0,-89441.3271=0),"-",-89441.3271/-82727.82538*100)</f>
        <v>108.11516764663203</v>
      </c>
    </row>
    <row r="55" spans="1:5" ht="24" x14ac:dyDescent="0.25">
      <c r="A55" s="30" t="s">
        <v>223</v>
      </c>
      <c r="B55" s="31" t="s">
        <v>135</v>
      </c>
      <c r="C55" s="20">
        <v>-124551.27226</v>
      </c>
      <c r="D55" s="20">
        <v>-105767.11565000001</v>
      </c>
      <c r="E55" s="20">
        <f>IF(OR(-124551.27226="",-105767.11565="",-124551.27226=0,-105767.11565=0),"-",-105767.11565/-124551.27226*100)</f>
        <v>84.91853493813521</v>
      </c>
    </row>
    <row r="56" spans="1:5" ht="24" x14ac:dyDescent="0.25">
      <c r="A56" s="30" t="s">
        <v>224</v>
      </c>
      <c r="B56" s="31" t="s">
        <v>136</v>
      </c>
      <c r="C56" s="20">
        <v>-229440.55710999999</v>
      </c>
      <c r="D56" s="20">
        <v>-216949.82896000001</v>
      </c>
      <c r="E56" s="20">
        <f>IF(OR(-229440.55711="",-216949.82896="",-229440.55711=0,-216949.82896=0),"-",-216949.82896/-229440.55711*100)</f>
        <v>94.556006877192345</v>
      </c>
    </row>
    <row r="57" spans="1:5" x14ac:dyDescent="0.25">
      <c r="A57" s="30" t="s">
        <v>225</v>
      </c>
      <c r="B57" s="31" t="s">
        <v>24</v>
      </c>
      <c r="C57" s="20">
        <v>-72313.145180000007</v>
      </c>
      <c r="D57" s="20">
        <v>-76991.986000000004</v>
      </c>
      <c r="E57" s="20">
        <f>IF(OR(-72313.14518="",-76991.986="",-72313.14518=0,-76991.986=0),"-",-76991.986/-72313.14518*100)</f>
        <v>106.47024936939688</v>
      </c>
    </row>
    <row r="58" spans="1:5" x14ac:dyDescent="0.25">
      <c r="A58" s="30" t="s">
        <v>226</v>
      </c>
      <c r="B58" s="31" t="s">
        <v>137</v>
      </c>
      <c r="C58" s="20">
        <v>-166227.45154000001</v>
      </c>
      <c r="D58" s="20">
        <v>-142244.50031</v>
      </c>
      <c r="E58" s="20">
        <f>IF(OR(-166227.45154="",-142244.50031="",-166227.45154=0,-142244.50031=0),"-",-142244.50031/-166227.45154*100)</f>
        <v>85.572207834619377</v>
      </c>
    </row>
    <row r="59" spans="1:5" x14ac:dyDescent="0.25">
      <c r="A59" s="30" t="s">
        <v>227</v>
      </c>
      <c r="B59" s="31" t="s">
        <v>25</v>
      </c>
      <c r="C59" s="20">
        <v>-33681.00505</v>
      </c>
      <c r="D59" s="20">
        <v>-37227.447390000001</v>
      </c>
      <c r="E59" s="20">
        <f>IF(OR(-33681.00505="",-37227.44739="",-33681.00505=0,-37227.44739=0),"-",-37227.44739/-33681.00505*100)</f>
        <v>110.52950271149939</v>
      </c>
    </row>
    <row r="60" spans="1:5" x14ac:dyDescent="0.25">
      <c r="A60" s="30" t="s">
        <v>228</v>
      </c>
      <c r="B60" s="31" t="s">
        <v>26</v>
      </c>
      <c r="C60" s="20">
        <v>-166769.76561</v>
      </c>
      <c r="D60" s="20">
        <v>-167179.52288</v>
      </c>
      <c r="E60" s="20">
        <f>IF(OR(-166769.76561="",-167179.52288="",-166769.76561=0,-167179.52288=0),"-",-167179.52288/-166769.76561*100)</f>
        <v>100.2457023720704</v>
      </c>
    </row>
    <row r="61" spans="1:5" x14ac:dyDescent="0.25">
      <c r="A61" s="28" t="s">
        <v>229</v>
      </c>
      <c r="B61" s="29" t="s">
        <v>138</v>
      </c>
      <c r="C61" s="19">
        <v>-1336950.88188</v>
      </c>
      <c r="D61" s="19">
        <v>-1373945.2950599999</v>
      </c>
      <c r="E61" s="19">
        <f>IF(-1336950.88188="","-",-1373945.29506/-1336950.88188*100)</f>
        <v>102.76707347153837</v>
      </c>
    </row>
    <row r="62" spans="1:5" ht="16.5" customHeight="1" x14ac:dyDescent="0.25">
      <c r="A62" s="30" t="s">
        <v>230</v>
      </c>
      <c r="B62" s="31" t="s">
        <v>139</v>
      </c>
      <c r="C62" s="20">
        <v>-30771.802479999998</v>
      </c>
      <c r="D62" s="20">
        <v>-37069.41691</v>
      </c>
      <c r="E62" s="20">
        <f>IF(OR(-30771.80248="",-37069.41691="",-30771.80248=0,-37069.41691=0),"-",-37069.41691/-30771.80248*100)</f>
        <v>120.46553637569039</v>
      </c>
    </row>
    <row r="63" spans="1:5" ht="15" customHeight="1" x14ac:dyDescent="0.25">
      <c r="A63" s="30" t="s">
        <v>231</v>
      </c>
      <c r="B63" s="31" t="s">
        <v>140</v>
      </c>
      <c r="C63" s="20">
        <v>-272602.72999000002</v>
      </c>
      <c r="D63" s="20">
        <v>-181826.73061</v>
      </c>
      <c r="E63" s="20">
        <f>IF(OR(-272602.72999="",-181826.73061="",-272602.72999=0,-181826.73061=0),"-",-181826.73061/-272602.72999*100)</f>
        <v>66.700260344667129</v>
      </c>
    </row>
    <row r="64" spans="1:5" x14ac:dyDescent="0.25">
      <c r="A64" s="30" t="s">
        <v>232</v>
      </c>
      <c r="B64" s="31" t="s">
        <v>141</v>
      </c>
      <c r="C64" s="20">
        <v>-8722.4167400000006</v>
      </c>
      <c r="D64" s="20">
        <v>-10469.395500000001</v>
      </c>
      <c r="E64" s="20">
        <f>IF(OR(-8722.41674="",-10469.3955="",-8722.41674=0,-10469.3955=0),"-",-10469.3955/-8722.41674*100)</f>
        <v>120.02860918108344</v>
      </c>
    </row>
    <row r="65" spans="1:5" ht="24" x14ac:dyDescent="0.25">
      <c r="A65" s="30" t="s">
        <v>233</v>
      </c>
      <c r="B65" s="31" t="s">
        <v>142</v>
      </c>
      <c r="C65" s="20">
        <v>-221691.13742000001</v>
      </c>
      <c r="D65" s="20">
        <v>-212659.04929</v>
      </c>
      <c r="E65" s="20">
        <f>IF(OR(-221691.13742="",-212659.04929="",-221691.13742=0,-212659.04929=0),"-",-212659.04929/-221691.13742*100)</f>
        <v>95.925823542107381</v>
      </c>
    </row>
    <row r="66" spans="1:5" ht="25.5" customHeight="1" x14ac:dyDescent="0.25">
      <c r="A66" s="30" t="s">
        <v>234</v>
      </c>
      <c r="B66" s="31" t="s">
        <v>143</v>
      </c>
      <c r="C66" s="20">
        <v>-96121.395770000003</v>
      </c>
      <c r="D66" s="20">
        <v>-80809.854139999996</v>
      </c>
      <c r="E66" s="20">
        <f>IF(OR(-96121.39577="",-80809.85414="",-96121.39577=0,-80809.85414=0),"-",-80809.85414/-96121.39577*100)</f>
        <v>84.070620794315573</v>
      </c>
    </row>
    <row r="67" spans="1:5" ht="27" customHeight="1" x14ac:dyDescent="0.25">
      <c r="A67" s="30" t="s">
        <v>235</v>
      </c>
      <c r="B67" s="31" t="s">
        <v>144</v>
      </c>
      <c r="C67" s="20">
        <v>-195465.61017999999</v>
      </c>
      <c r="D67" s="20">
        <v>-242375.9932</v>
      </c>
      <c r="E67" s="20">
        <f>IF(OR(-195465.61018="",-242375.9932="",-195465.61018=0,-242375.9932=0),"-",-242375.9932/-195465.61018*100)</f>
        <v>123.99930247412895</v>
      </c>
    </row>
    <row r="68" spans="1:5" ht="36" x14ac:dyDescent="0.25">
      <c r="A68" s="30" t="s">
        <v>236</v>
      </c>
      <c r="B68" s="31" t="s">
        <v>145</v>
      </c>
      <c r="C68" s="20">
        <v>-53979.640700000004</v>
      </c>
      <c r="D68" s="20">
        <v>-42328.068590000003</v>
      </c>
      <c r="E68" s="20">
        <f>IF(OR(-53979.6407="",-42328.06859="",-53979.6407=0,-42328.06859=0),"-",-42328.06859/-53979.6407*100)</f>
        <v>78.41487649990971</v>
      </c>
    </row>
    <row r="69" spans="1:5" x14ac:dyDescent="0.25">
      <c r="A69" s="30" t="s">
        <v>237</v>
      </c>
      <c r="B69" s="31" t="s">
        <v>146</v>
      </c>
      <c r="C69" s="20">
        <v>-451246.68309000001</v>
      </c>
      <c r="D69" s="20">
        <v>-563378.16015999997</v>
      </c>
      <c r="E69" s="20">
        <f>IF(OR(-451246.68309="",-563378.16016="",-451246.68309=0,-563378.16016=0),"-",-563378.16016/-451246.68309*100)</f>
        <v>124.84926344547461</v>
      </c>
    </row>
    <row r="70" spans="1:5" x14ac:dyDescent="0.25">
      <c r="A70" s="30" t="s">
        <v>238</v>
      </c>
      <c r="B70" s="31" t="s">
        <v>27</v>
      </c>
      <c r="C70" s="20">
        <v>-6349.46551</v>
      </c>
      <c r="D70" s="20">
        <v>-3028.6266599999999</v>
      </c>
      <c r="E70" s="20">
        <f>IF(OR(-6349.46551="",-3028.62666="",-6349.46551=0,-3028.62666=0),"-",-3028.62666/-6349.46551*100)</f>
        <v>47.698922928711205</v>
      </c>
    </row>
    <row r="71" spans="1:5" x14ac:dyDescent="0.25">
      <c r="A71" s="28" t="s">
        <v>239</v>
      </c>
      <c r="B71" s="29" t="s">
        <v>28</v>
      </c>
      <c r="C71" s="19">
        <v>-191099.60649000001</v>
      </c>
      <c r="D71" s="19">
        <v>-249911.28581999999</v>
      </c>
      <c r="E71" s="19">
        <f>IF(-191099.60649="","-",-249911.28582/-191099.60649*100)</f>
        <v>130.77540577409695</v>
      </c>
    </row>
    <row r="72" spans="1:5" ht="26.25" customHeight="1" x14ac:dyDescent="0.25">
      <c r="A72" s="30" t="s">
        <v>240</v>
      </c>
      <c r="B72" s="31" t="s">
        <v>172</v>
      </c>
      <c r="C72" s="20">
        <v>-48281.365960000003</v>
      </c>
      <c r="D72" s="20">
        <v>-38527.543129999998</v>
      </c>
      <c r="E72" s="20">
        <f>IF(OR(-48281.36596="",-38527.54313="",-48281.36596=0,-38527.54313=0),"-",-38527.54313/-48281.36596*100)</f>
        <v>79.797955927591573</v>
      </c>
    </row>
    <row r="73" spans="1:5" x14ac:dyDescent="0.25">
      <c r="A73" s="30" t="s">
        <v>241</v>
      </c>
      <c r="B73" s="31" t="s">
        <v>147</v>
      </c>
      <c r="C73" s="20">
        <v>71202.983240000001</v>
      </c>
      <c r="D73" s="20">
        <v>68491.212729999999</v>
      </c>
      <c r="E73" s="20">
        <f>IF(OR(71202.98324="",68491.21273="",71202.98324=0,68491.21273=0),"-",68491.21273/71202.98324*100)</f>
        <v>96.191493127669119</v>
      </c>
    </row>
    <row r="74" spans="1:5" x14ac:dyDescent="0.25">
      <c r="A74" s="30" t="s">
        <v>242</v>
      </c>
      <c r="B74" s="31" t="s">
        <v>148</v>
      </c>
      <c r="C74" s="20">
        <v>-1676.1687099999999</v>
      </c>
      <c r="D74" s="20">
        <v>-4188.8372300000001</v>
      </c>
      <c r="E74" s="20" t="s">
        <v>390</v>
      </c>
    </row>
    <row r="75" spans="1:5" x14ac:dyDescent="0.25">
      <c r="A75" s="30" t="s">
        <v>243</v>
      </c>
      <c r="B75" s="31" t="s">
        <v>149</v>
      </c>
      <c r="C75" s="20">
        <v>92507.657030000002</v>
      </c>
      <c r="D75" s="20">
        <v>82995.001369999998</v>
      </c>
      <c r="E75" s="20">
        <f>IF(OR(92507.65703="",82995.00137="",92507.65703=0,82995.00137=0),"-",82995.00137/92507.65703*100)</f>
        <v>89.71689915688269</v>
      </c>
    </row>
    <row r="76" spans="1:5" x14ac:dyDescent="0.25">
      <c r="A76" s="30" t="s">
        <v>244</v>
      </c>
      <c r="B76" s="31" t="s">
        <v>150</v>
      </c>
      <c r="C76" s="20">
        <v>-17390.147690000002</v>
      </c>
      <c r="D76" s="20">
        <v>-33295.574739999996</v>
      </c>
      <c r="E76" s="20" t="s">
        <v>327</v>
      </c>
    </row>
    <row r="77" spans="1:5" x14ac:dyDescent="0.25">
      <c r="A77" s="30" t="s">
        <v>245</v>
      </c>
      <c r="B77" s="31" t="s">
        <v>273</v>
      </c>
      <c r="C77" s="20">
        <v>-53982.379800000002</v>
      </c>
      <c r="D77" s="20">
        <v>-51798.792860000001</v>
      </c>
      <c r="E77" s="20">
        <f>IF(OR(-53982.3798="",-51798.79286="",-53982.3798=0,-51798.79286=0),"-",-51798.79286/-53982.3798*100)</f>
        <v>95.955000598176667</v>
      </c>
    </row>
    <row r="78" spans="1:5" ht="24" x14ac:dyDescent="0.25">
      <c r="A78" s="30" t="s">
        <v>246</v>
      </c>
      <c r="B78" s="31" t="s">
        <v>151</v>
      </c>
      <c r="C78" s="20">
        <v>-9843.4072899999992</v>
      </c>
      <c r="D78" s="20">
        <v>-11922.16107</v>
      </c>
      <c r="E78" s="20">
        <f>IF(OR(-9843.40729="",-11922.16107="",-9843.40729=0,-11922.16107=0),"-",-11922.16107/-9843.40729*100)</f>
        <v>121.11823394844004</v>
      </c>
    </row>
    <row r="79" spans="1:5" x14ac:dyDescent="0.25">
      <c r="A79" s="30" t="s">
        <v>247</v>
      </c>
      <c r="B79" s="31" t="s">
        <v>29</v>
      </c>
      <c r="C79" s="20">
        <v>-223636.77731</v>
      </c>
      <c r="D79" s="20">
        <v>-261664.59088999999</v>
      </c>
      <c r="E79" s="20">
        <f>IF(OR(-223636.77731="",-261664.59089="",-223636.77731=0,-261664.59089=0),"-",-261664.59089/-223636.77731*100)</f>
        <v>117.00427543153455</v>
      </c>
    </row>
    <row r="80" spans="1:5" x14ac:dyDescent="0.25">
      <c r="A80" s="33" t="s">
        <v>250</v>
      </c>
      <c r="B80" s="34" t="s">
        <v>152</v>
      </c>
      <c r="C80" s="38">
        <v>-16208.85374</v>
      </c>
      <c r="D80" s="38">
        <v>-403.27974999999998</v>
      </c>
      <c r="E80" s="38">
        <f>IF(-16208.85374="","-",-403.27975/-16208.85374*100)</f>
        <v>2.4880214015676594</v>
      </c>
    </row>
    <row r="81" spans="1:5" s="18" customFormat="1" ht="11.25" x14ac:dyDescent="0.2">
      <c r="A81" s="9" t="s">
        <v>253</v>
      </c>
      <c r="B81" s="10"/>
      <c r="C81" s="27"/>
      <c r="D81" s="27"/>
      <c r="E81" s="27"/>
    </row>
    <row r="82" spans="1:5" x14ac:dyDescent="0.25">
      <c r="C82" s="20"/>
      <c r="D82" s="20"/>
      <c r="E82" s="39"/>
    </row>
    <row r="83" spans="1:5" x14ac:dyDescent="0.25">
      <c r="C83" s="20"/>
      <c r="D83" s="20"/>
      <c r="E83" s="39"/>
    </row>
  </sheetData>
  <mergeCells count="7">
    <mergeCell ref="B1:E1"/>
    <mergeCell ref="B2:E2"/>
    <mergeCell ref="A3:E3"/>
    <mergeCell ref="A4:A5"/>
    <mergeCell ref="B4:B5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Export_Tari</vt:lpstr>
      <vt:lpstr>2. Import_Tari</vt:lpstr>
      <vt:lpstr>3. Balanta Comerciala_Tari</vt:lpstr>
      <vt:lpstr>4. Export_Moduri_Transport</vt:lpstr>
      <vt:lpstr>5. Import_Moduri_Transport</vt:lpstr>
      <vt:lpstr>6. Export_Grupe_Marfuri_CSCI</vt:lpstr>
      <vt:lpstr>7. Import_Grupe_Marfuri_CSCI</vt:lpstr>
      <vt:lpstr>8. Balanta_Comerciala_CSCI</vt:lpstr>
      <vt:lpstr>'1. Export_Tari'!Print_Titles</vt:lpstr>
      <vt:lpstr>'2. Import_Tari'!Print_Titles</vt:lpstr>
      <vt:lpstr>'3. Balanta Comerciala_Tari'!Print_Titles</vt:lpstr>
      <vt:lpstr>'6. Export_Grupe_Marfuri_CSCI'!Print_Titles</vt:lpstr>
      <vt:lpstr>'7. Import_Grupe_Marfuri_CSCI'!Print_Titles</vt:lpstr>
      <vt:lpstr>'8. Balanta_Comerciala_CSCI'!Print_Titles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2024-02-15T07:06:05Z</cp:lastPrinted>
  <dcterms:created xsi:type="dcterms:W3CDTF">2016-09-01T07:59:47Z</dcterms:created>
  <dcterms:modified xsi:type="dcterms:W3CDTF">2024-02-15T18:05:31Z</dcterms:modified>
</cp:coreProperties>
</file>