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3F581055-3FF3-4DB7-98D3-8DF5E483C519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6" l="1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E26" i="8"/>
  <c r="AI26" i="8"/>
  <c r="AH26" i="8"/>
  <c r="AG26" i="8"/>
  <c r="AF26" i="8"/>
  <c r="AD26" i="8"/>
  <c r="AC26" i="8"/>
  <c r="G46" i="5" l="1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I26" i="2" l="1"/>
  <c r="AH26" i="2"/>
  <c r="AG26" i="2"/>
  <c r="AF26" i="2"/>
  <c r="AE26" i="2"/>
  <c r="AD26" i="2"/>
  <c r="AC26" i="2"/>
  <c r="AB26" i="8" l="1"/>
  <c r="AA26" i="8"/>
  <c r="Z26" i="8"/>
  <c r="AB26" i="2" l="1"/>
  <c r="AA26" i="2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<sst xmlns="http://schemas.openxmlformats.org/spreadsheetml/2006/main" count="298" uniqueCount="118">
  <si>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</si>
  <si>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</si>
  <si>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</si>
  <si>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</si>
  <si>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</si>
  <si>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</si>
  <si>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</si>
  <si>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</si>
  <si>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</si>
  <si>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</si>
  <si>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</si>
  <si>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</si>
  <si>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</si>
  <si>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</si>
  <si>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</si>
  <si>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</si>
  <si>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</si>
  <si>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</si>
  <si>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</si>
  <si>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</si>
  <si>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</si>
  <si>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</si>
  <si>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</si>
  <si>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</si>
  <si>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</si>
  <si>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</si>
  <si>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</si>
  <si>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</si>
  <si>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</si>
  <si>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</si>
  <si>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</si>
  <si>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</si>
  <si>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</si>
  <si>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</si>
  <si>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</si>
  <si>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</si>
  <si>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</si>
  <si>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</si>
  <si>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</si>
  <si>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</si>
  <si>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</si>
  <si>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</si>
  <si>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</si>
  <si>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</si>
  <si>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</si>
  <si>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</si>
  <si>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</si>
  <si>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</si>
  <si>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</si>
  <si>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</si>
  <si>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</si>
  <si>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</si>
  <si>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</si>
  <si>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</si>
  <si>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</si>
  <si>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</si>
  <si>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</si>
  <si>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</si>
  <si>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</si>
  <si>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</si>
  <si>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</si>
  <si>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</si>
  <si>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</si>
  <si>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</si>
  <si>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</si>
  <si>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</si>
  <si>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</si>
  <si>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</si>
  <si>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</si>
  <si>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</si>
  <si>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</si>
  <si>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</si>
  <si>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</si>
  <si>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</si>
  <si>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</si>
  <si>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</si>
  <si>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</si>
  <si>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</si>
  <si>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</si>
  <si>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</si>
  <si>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</si>
  <si>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</si>
  <si>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</si>
  <si>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</si>
  <si>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</si>
  <si>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</si>
  <si>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</si>
  <si>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</si>
  <si>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</si>
  <si>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</si>
  <si>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Liban</t>
  </si>
  <si>
    <t>Articole prelucrate din metal</t>
  </si>
  <si>
    <t>Federația Rusă</t>
  </si>
  <si>
    <t>Franța</t>
  </si>
  <si>
    <t>China</t>
  </si>
  <si>
    <t>India</t>
  </si>
  <si>
    <t>Austria</t>
  </si>
  <si>
    <t>Japonia</t>
  </si>
  <si>
    <t>Slovacia</t>
  </si>
  <si>
    <t xml:space="preserve">          </t>
  </si>
  <si>
    <t>Ianuarie-octombrie 2023</t>
  </si>
  <si>
    <t>Ianuarie-octombrie 2022</t>
  </si>
  <si>
    <t>Ianuarie-octombrie 2021</t>
  </si>
  <si>
    <t>Ianuarie-octombrie 2020</t>
  </si>
  <si>
    <t>Ianuarie-octombrie 2019</t>
  </si>
  <si>
    <t>Ianuarie-octombrie 2018</t>
  </si>
  <si>
    <t>Franta</t>
  </si>
  <si>
    <t>Elvetia</t>
  </si>
  <si>
    <t xml:space="preserve">   Ianuarie-octombrie 2022</t>
  </si>
  <si>
    <t xml:space="preserve">   Ianuarie-octombrie 2023</t>
  </si>
  <si>
    <t>Regatul Unit</t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</si>
  <si>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ianuarie-octombrie 2018-2023, după modul de transport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</si>
  <si>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ianuarie-octombrie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</si>
  <si>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 xml:space="preserve">Figura 3. </t>
    </r>
    <r>
      <rPr>
        <b/>
        <i/>
        <sz val="10"/>
        <color indexed="8"/>
        <rFont val="Arial"/>
        <family val="2"/>
        <charset val="204"/>
      </rPr>
      <t>Structura exporturilor de mărfuri, în ianuarie-octombrie 2018-2023, după modul de transport (%)</t>
    </r>
  </si>
  <si>
    <r>
      <rPr>
        <b/>
        <sz val="10"/>
        <color rgb="FF000000"/>
        <rFont val="Arial"/>
        <family val="2"/>
        <charset val="204"/>
      </rPr>
      <t>Figura 4.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ianuarie-octombrie 2018-2023, pe grupe de ţări (%)</t>
    </r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</si>
  <si>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exporturilor, în ianuarie-octombrie 2018-2023, pe principalele ţări de destinaţie a mărfurilor (%)</t>
    </r>
  </si>
  <si>
    <r>
      <t xml:space="preserve">   </t>
    </r>
    <r>
      <rPr>
        <b/>
        <sz val="10"/>
        <color theme="1"/>
        <rFont val="Arial"/>
        <family val="2"/>
        <charset val="204"/>
      </rPr>
      <t xml:space="preserve"> Figura 10. </t>
    </r>
    <r>
      <rPr>
        <b/>
        <i/>
        <sz val="10"/>
        <color theme="1"/>
        <rFont val="Arial"/>
        <family val="2"/>
        <charset val="204"/>
      </rPr>
      <t>Structura importurilor de mărfuri, în ianuarie-octombrie 2018-2023, pe grupe de ţări (%)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</si>
  <si>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ianuarie-octombrie 2018-2023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</si>
</sst>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33" fillId="0" borderId="0" xfId="0" applyFont="1"/>
    <xf numFmtId="38" fontId="4" fillId="0" borderId="0" xfId="0" applyNumberFormat="1" applyFont="1" applyAlignment="1">
      <alignment horizontal="left" wrapText="1" indent="1"/>
    </xf>
    <xf numFmtId="0" fontId="17" fillId="0" borderId="1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top"/>
    </xf>
    <xf numFmtId="165" fontId="4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left" vertical="top" wrapText="1" indent="1"/>
    </xf>
    <xf numFmtId="38" fontId="4" fillId="0" borderId="13" xfId="0" applyNumberFormat="1" applyFont="1" applyBorder="1" applyAlignment="1">
      <alignment horizontal="left" vertical="top" wrapText="1" indent="1"/>
    </xf>
    <xf numFmtId="38" fontId="4" fillId="0" borderId="8" xfId="0" applyNumberFormat="1" applyFont="1" applyBorder="1" applyAlignment="1">
      <alignment horizontal="left" vertical="top" wrapText="1" indent="1"/>
    </xf>
    <xf numFmtId="38" fontId="6" fillId="0" borderId="10" xfId="0" applyNumberFormat="1" applyFont="1" applyBorder="1" applyAlignment="1">
      <alignment horizontal="left" wrapText="1" indent="1"/>
    </xf>
    <xf numFmtId="38" fontId="6" fillId="0" borderId="11" xfId="0" applyNumberFormat="1" applyFont="1" applyBorder="1" applyAlignment="1">
      <alignment horizontal="left" wrapText="1" indent="1"/>
    </xf>
    <xf numFmtId="38" fontId="6" fillId="0" borderId="9" xfId="0" applyNumberFormat="1" applyFont="1" applyBorder="1" applyAlignment="1">
      <alignment horizontal="left" wrapText="1" indent="1"/>
    </xf>
    <xf numFmtId="165" fontId="4" fillId="0" borderId="5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/>
    </xf>
    <xf numFmtId="165" fontId="34" fillId="0" borderId="5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34" fillId="0" borderId="12" xfId="0" applyNumberFormat="1" applyFont="1" applyBorder="1" applyAlignment="1">
      <alignment horizontal="center" vertical="center"/>
    </xf>
    <xf numFmtId="165" fontId="34" fillId="0" borderId="13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  <c:pt idx="5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  <c:pt idx="5">
                  <c:v>321.60000000000002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  <c:pt idx="5">
                  <c:v>348.1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  <c:pt idx="5">
                  <c:v>341.8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61216"/>
        <c:axId val="93828160"/>
      </c:barChart>
      <c:catAx>
        <c:axId val="939612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828160"/>
        <c:crosses val="autoZero"/>
        <c:auto val="0"/>
        <c:lblAlgn val="ctr"/>
        <c:lblOffset val="100"/>
        <c:tickLblSkip val="1"/>
        <c:noMultiLvlLbl val="0"/>
      </c:catAx>
      <c:valAx>
        <c:axId val="938281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6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Ianuarie-octombrie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#,##0.0</c:formatCode>
                <c:ptCount val="7"/>
                <c:pt idx="0">
                  <c:v>8</c:v>
                </c:pt>
                <c:pt idx="1">
                  <c:v>3.9</c:v>
                </c:pt>
                <c:pt idx="2">
                  <c:v>79.3</c:v>
                </c:pt>
                <c:pt idx="3">
                  <c:v>1.9</c:v>
                </c:pt>
                <c:pt idx="4">
                  <c:v>0.1</c:v>
                </c:pt>
                <c:pt idx="5">
                  <c:v>6.1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Ianuarie-octombrie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#,##0.0</c:formatCode>
                <c:ptCount val="7"/>
                <c:pt idx="0">
                  <c:v>7.4</c:v>
                </c:pt>
                <c:pt idx="1">
                  <c:v>4.8</c:v>
                </c:pt>
                <c:pt idx="2">
                  <c:v>76.400000000000006</c:v>
                </c:pt>
                <c:pt idx="3">
                  <c:v>1.7</c:v>
                </c:pt>
                <c:pt idx="4">
                  <c:v>0.1</c:v>
                </c:pt>
                <c:pt idx="5">
                  <c:v>9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Ianuarie-octombrie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#,##0.0</c:formatCode>
                <c:ptCount val="7"/>
                <c:pt idx="0">
                  <c:v>3.3</c:v>
                </c:pt>
                <c:pt idx="1">
                  <c:v>4.7</c:v>
                </c:pt>
                <c:pt idx="2">
                  <c:v>84.9</c:v>
                </c:pt>
                <c:pt idx="3">
                  <c:v>2.4</c:v>
                </c:pt>
                <c:pt idx="4">
                  <c:v>0.2</c:v>
                </c:pt>
                <c:pt idx="5">
                  <c:v>3.9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Ianuarie-octombrie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#,##0.0</c:formatCode>
                <c:ptCount val="7"/>
                <c:pt idx="0">
                  <c:v>1.5</c:v>
                </c:pt>
                <c:pt idx="1">
                  <c:v>4.8</c:v>
                </c:pt>
                <c:pt idx="2">
                  <c:v>87.6</c:v>
                </c:pt>
                <c:pt idx="3">
                  <c:v>2.2999999999999998</c:v>
                </c:pt>
                <c:pt idx="4">
                  <c:v>0.2</c:v>
                </c:pt>
                <c:pt idx="5">
                  <c:v>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Ianuarie-octombrie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4.8</c:v>
                </c:pt>
                <c:pt idx="2">
                  <c:v>84.9</c:v>
                </c:pt>
                <c:pt idx="3">
                  <c:v>2.7</c:v>
                </c:pt>
                <c:pt idx="4">
                  <c:v>0.2</c:v>
                </c:pt>
                <c:pt idx="5">
                  <c:v>4.5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Ianuarie-octombrie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#,##0.0</c:formatCode>
                <c:ptCount val="7"/>
                <c:pt idx="0">
                  <c:v>3</c:v>
                </c:pt>
                <c:pt idx="1">
                  <c:v>5.9</c:v>
                </c:pt>
                <c:pt idx="2">
                  <c:v>83.4</c:v>
                </c:pt>
                <c:pt idx="3">
                  <c:v>2.6</c:v>
                </c:pt>
                <c:pt idx="4">
                  <c:v>0.2</c:v>
                </c:pt>
                <c:pt idx="5">
                  <c:v>4.3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82464"/>
        <c:axId val="128386752"/>
      </c:barChart>
      <c:catAx>
        <c:axId val="128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6752"/>
        <c:crossesAt val="0"/>
        <c:auto val="1"/>
        <c:lblAlgn val="ctr"/>
        <c:lblOffset val="100"/>
        <c:noMultiLvlLbl val="0"/>
      </c:catAx>
      <c:valAx>
        <c:axId val="128386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24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26759118227319"/>
          <c:y val="0.91909764444001463"/>
          <c:w val="0.79917419617867314"/>
          <c:h val="6.8948164425183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10'!$B$23:$G$23</c:f>
              <c:numCache>
                <c:formatCode>#,##0.0</c:formatCode>
                <c:ptCount val="6"/>
                <c:pt idx="0">
                  <c:v>49.3</c:v>
                </c:pt>
                <c:pt idx="1">
                  <c:v>48.9</c:v>
                </c:pt>
                <c:pt idx="2">
                  <c:v>45.8</c:v>
                </c:pt>
                <c:pt idx="3">
                  <c:v>45.3</c:v>
                </c:pt>
                <c:pt idx="4">
                  <c:v>46.3</c:v>
                </c:pt>
                <c:pt idx="5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10'!$B$24:$G$24</c:f>
              <c:numCache>
                <c:formatCode>#,##0.0</c:formatCode>
                <c:ptCount val="6"/>
                <c:pt idx="0">
                  <c:v>24.3</c:v>
                </c:pt>
                <c:pt idx="1">
                  <c:v>24</c:v>
                </c:pt>
                <c:pt idx="2">
                  <c:v>24.7</c:v>
                </c:pt>
                <c:pt idx="3">
                  <c:v>25.1</c:v>
                </c:pt>
                <c:pt idx="4">
                  <c:v>24.9</c:v>
                </c:pt>
                <c:pt idx="5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10'!$B$25:$G$25</c:f>
              <c:numCache>
                <c:formatCode>#,##0.0</c:formatCode>
                <c:ptCount val="6"/>
                <c:pt idx="0">
                  <c:v>26.4</c:v>
                </c:pt>
                <c:pt idx="1">
                  <c:v>27.1</c:v>
                </c:pt>
                <c:pt idx="2">
                  <c:v>29.5</c:v>
                </c:pt>
                <c:pt idx="3">
                  <c:v>29.6</c:v>
                </c:pt>
                <c:pt idx="4">
                  <c:v>28.8</c:v>
                </c:pt>
                <c:pt idx="5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1920"/>
        <c:axId val="128389056"/>
      </c:barChart>
      <c:catAx>
        <c:axId val="128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9056"/>
        <c:crosses val="autoZero"/>
        <c:auto val="0"/>
        <c:lblAlgn val="ctr"/>
        <c:lblOffset val="100"/>
        <c:noMultiLvlLbl val="0"/>
      </c:catAx>
      <c:valAx>
        <c:axId val="128389056"/>
        <c:scaling>
          <c:orientation val="minMax"/>
          <c:max val="10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72192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Ianuarie-octombrie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China</c:v>
                </c:pt>
                <c:pt idx="2">
                  <c:v>Ucraina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11'!$B$25:$B$46</c:f>
              <c:numCache>
                <c:formatCode>#,##0.0</c:formatCode>
                <c:ptCount val="22"/>
                <c:pt idx="0">
                  <c:v>14.939290680036748</c:v>
                </c:pt>
                <c:pt idx="1">
                  <c:v>10.494882307010508</c:v>
                </c:pt>
                <c:pt idx="2">
                  <c:v>10.096554858601957</c:v>
                </c:pt>
                <c:pt idx="3">
                  <c:v>5.8063413212389152</c:v>
                </c:pt>
                <c:pt idx="4">
                  <c:v>8.5125881329464601</c:v>
                </c:pt>
                <c:pt idx="5">
                  <c:v>6.898561865706367</c:v>
                </c:pt>
                <c:pt idx="6">
                  <c:v>11.555110732203747</c:v>
                </c:pt>
                <c:pt idx="7">
                  <c:v>3.5221684604039698</c:v>
                </c:pt>
                <c:pt idx="8">
                  <c:v>0.52506172234465065</c:v>
                </c:pt>
                <c:pt idx="9">
                  <c:v>2.3620637292741038</c:v>
                </c:pt>
                <c:pt idx="10">
                  <c:v>2.0070796475946424</c:v>
                </c:pt>
                <c:pt idx="11">
                  <c:v>1.5006460191990882</c:v>
                </c:pt>
                <c:pt idx="12">
                  <c:v>1.1578776665276145</c:v>
                </c:pt>
                <c:pt idx="13">
                  <c:v>0.40942643592552586</c:v>
                </c:pt>
                <c:pt idx="14">
                  <c:v>1.2860499568018429</c:v>
                </c:pt>
                <c:pt idx="15">
                  <c:v>1.3408028991220811</c:v>
                </c:pt>
                <c:pt idx="16">
                  <c:v>0.95793650629711435</c:v>
                </c:pt>
                <c:pt idx="17">
                  <c:v>1.8666830732986812</c:v>
                </c:pt>
                <c:pt idx="18">
                  <c:v>2.2006391147404902</c:v>
                </c:pt>
                <c:pt idx="19">
                  <c:v>0.56865928514410125</c:v>
                </c:pt>
                <c:pt idx="20">
                  <c:v>1.0384026295000399</c:v>
                </c:pt>
                <c:pt idx="21">
                  <c:v>1.0262658887618523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Ianuarie-octombrie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China</c:v>
                </c:pt>
                <c:pt idx="2">
                  <c:v>Ucraina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11'!$C$25:$C$46</c:f>
              <c:numCache>
                <c:formatCode>#,##0.0</c:formatCode>
                <c:ptCount val="22"/>
                <c:pt idx="0">
                  <c:v>14.615592133673584</c:v>
                </c:pt>
                <c:pt idx="1">
                  <c:v>10.28137713243755</c:v>
                </c:pt>
                <c:pt idx="2">
                  <c:v>9.9531892074675188</c:v>
                </c:pt>
                <c:pt idx="3">
                  <c:v>6.7343100096732913</c:v>
                </c:pt>
                <c:pt idx="4">
                  <c:v>8.31527699677142</c:v>
                </c:pt>
                <c:pt idx="5">
                  <c:v>7.0069780692673094</c:v>
                </c:pt>
                <c:pt idx="6">
                  <c:v>11.414656780499984</c:v>
                </c:pt>
                <c:pt idx="7">
                  <c:v>3.4277104361146407</c:v>
                </c:pt>
                <c:pt idx="8">
                  <c:v>0.61432278498946258</c:v>
                </c:pt>
                <c:pt idx="9">
                  <c:v>2.4918882731095957</c:v>
                </c:pt>
                <c:pt idx="10">
                  <c:v>1.9448755278872909</c:v>
                </c:pt>
                <c:pt idx="11">
                  <c:v>1.9429457101833814</c:v>
                </c:pt>
                <c:pt idx="12">
                  <c:v>0.99501197733268998</c:v>
                </c:pt>
                <c:pt idx="13">
                  <c:v>0.38186363555730279</c:v>
                </c:pt>
                <c:pt idx="14">
                  <c:v>1.3107530346743559</c:v>
                </c:pt>
                <c:pt idx="15">
                  <c:v>1.3895484176814092</c:v>
                </c:pt>
                <c:pt idx="16">
                  <c:v>0.85444426952146069</c:v>
                </c:pt>
                <c:pt idx="17">
                  <c:v>1.6253427444674666</c:v>
                </c:pt>
                <c:pt idx="18">
                  <c:v>2.2683890246927003</c:v>
                </c:pt>
                <c:pt idx="19">
                  <c:v>0.57554881128336777</c:v>
                </c:pt>
                <c:pt idx="20">
                  <c:v>0.99044030819800644</c:v>
                </c:pt>
                <c:pt idx="21">
                  <c:v>0.97669692660740193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Ianuarie-octombrie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China</c:v>
                </c:pt>
                <c:pt idx="2">
                  <c:v>Ucraina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11'!$D$25:$D$46</c:f>
              <c:numCache>
                <c:formatCode>#,##0.0</c:formatCode>
                <c:ptCount val="22"/>
                <c:pt idx="0">
                  <c:v>11.874572662039947</c:v>
                </c:pt>
                <c:pt idx="1">
                  <c:v>11.754066282891433</c:v>
                </c:pt>
                <c:pt idx="2">
                  <c:v>9.9894080340338789</c:v>
                </c:pt>
                <c:pt idx="3">
                  <c:v>6.9964028138829626</c:v>
                </c:pt>
                <c:pt idx="4">
                  <c:v>8.3533531973912716</c:v>
                </c:pt>
                <c:pt idx="5">
                  <c:v>6.4186707009020934</c:v>
                </c:pt>
                <c:pt idx="6">
                  <c:v>10.930760941601998</c:v>
                </c:pt>
                <c:pt idx="7">
                  <c:v>4.0533615194324657</c:v>
                </c:pt>
                <c:pt idx="8">
                  <c:v>0.757491604215903</c:v>
                </c:pt>
                <c:pt idx="9">
                  <c:v>2.2740652648432778</c:v>
                </c:pt>
                <c:pt idx="10">
                  <c:v>1.9179375580590217</c:v>
                </c:pt>
                <c:pt idx="11">
                  <c:v>1.7658883364382625</c:v>
                </c:pt>
                <c:pt idx="12">
                  <c:v>1.1998647114026963</c:v>
                </c:pt>
                <c:pt idx="13">
                  <c:v>0.45358343679215524</c:v>
                </c:pt>
                <c:pt idx="14">
                  <c:v>1.2514071079291482</c:v>
                </c:pt>
                <c:pt idx="15">
                  <c:v>1.4522171501974255</c:v>
                </c:pt>
                <c:pt idx="16">
                  <c:v>1.0043174320141151</c:v>
                </c:pt>
                <c:pt idx="17">
                  <c:v>1.1388566820240864</c:v>
                </c:pt>
                <c:pt idx="18">
                  <c:v>2.1531643484358156</c:v>
                </c:pt>
                <c:pt idx="19">
                  <c:v>0.55409554206670097</c:v>
                </c:pt>
                <c:pt idx="20">
                  <c:v>1.0663344481010009</c:v>
                </c:pt>
                <c:pt idx="21">
                  <c:v>0.90668536187888615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Ianuarie-octombrie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China</c:v>
                </c:pt>
                <c:pt idx="2">
                  <c:v>Ucraina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11'!$E$25:$E$46</c:f>
              <c:numCache>
                <c:formatCode>#,##0.0</c:formatCode>
                <c:ptCount val="22"/>
                <c:pt idx="0">
                  <c:v>12.019240724510921</c:v>
                </c:pt>
                <c:pt idx="1">
                  <c:v>11.622379660134396</c:v>
                </c:pt>
                <c:pt idx="2">
                  <c:v>9.4378547357224249</c:v>
                </c:pt>
                <c:pt idx="3">
                  <c:v>7.4871039851539329</c:v>
                </c:pt>
                <c:pt idx="4">
                  <c:v>7.7974005018579522</c:v>
                </c:pt>
                <c:pt idx="5">
                  <c:v>6.3974704566901188</c:v>
                </c:pt>
                <c:pt idx="6">
                  <c:v>13.154214296643344</c:v>
                </c:pt>
                <c:pt idx="7">
                  <c:v>3.7323942879705281</c:v>
                </c:pt>
                <c:pt idx="8">
                  <c:v>0.6410283349330812</c:v>
                </c:pt>
                <c:pt idx="9">
                  <c:v>2.4498166492661766</c:v>
                </c:pt>
                <c:pt idx="10">
                  <c:v>1.772704017123643</c:v>
                </c:pt>
                <c:pt idx="11">
                  <c:v>1.6426716491055673</c:v>
                </c:pt>
                <c:pt idx="12">
                  <c:v>1.1896440629765652</c:v>
                </c:pt>
                <c:pt idx="13">
                  <c:v>0.64376602071637201</c:v>
                </c:pt>
                <c:pt idx="14">
                  <c:v>1.5079388022043134</c:v>
                </c:pt>
                <c:pt idx="15">
                  <c:v>1.3183763489336136</c:v>
                </c:pt>
                <c:pt idx="16">
                  <c:v>0.94637560214086425</c:v>
                </c:pt>
                <c:pt idx="17">
                  <c:v>1.4586296021618201</c:v>
                </c:pt>
                <c:pt idx="18">
                  <c:v>1.9581658559106632</c:v>
                </c:pt>
                <c:pt idx="19">
                  <c:v>0.56292331810061791</c:v>
                </c:pt>
                <c:pt idx="20">
                  <c:v>1.0648172031780065</c:v>
                </c:pt>
                <c:pt idx="21">
                  <c:v>0.91171761758327352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Ianuarie-octombrie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China</c:v>
                </c:pt>
                <c:pt idx="2">
                  <c:v>Ucraina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11'!$F$25:$F$46</c:f>
              <c:numCache>
                <c:formatCode>#,##0.0</c:formatCode>
                <c:ptCount val="22"/>
                <c:pt idx="0">
                  <c:v>17.304279194491475</c:v>
                </c:pt>
                <c:pt idx="1">
                  <c:v>10.215729438124315</c:v>
                </c:pt>
                <c:pt idx="2">
                  <c:v>9.7174494783767056</c:v>
                </c:pt>
                <c:pt idx="3">
                  <c:v>7.0700153490623237</c:v>
                </c:pt>
                <c:pt idx="4">
                  <c:v>6.425900528868322</c:v>
                </c:pt>
                <c:pt idx="5">
                  <c:v>4.8646165641609818</c:v>
                </c:pt>
                <c:pt idx="6">
                  <c:v>13.24930882675401</c:v>
                </c:pt>
                <c:pt idx="7">
                  <c:v>3.3642094435816028</c:v>
                </c:pt>
                <c:pt idx="8">
                  <c:v>2.8541006539999021</c:v>
                </c:pt>
                <c:pt idx="9">
                  <c:v>2.0318164023556702</c:v>
                </c:pt>
                <c:pt idx="10">
                  <c:v>2.0089161584659778</c:v>
                </c:pt>
                <c:pt idx="11">
                  <c:v>1.479211314799407</c:v>
                </c:pt>
                <c:pt idx="12">
                  <c:v>1.5456168698622663</c:v>
                </c:pt>
                <c:pt idx="13">
                  <c:v>0.70976450818486148</c:v>
                </c:pt>
                <c:pt idx="14">
                  <c:v>1.5141320637577871</c:v>
                </c:pt>
                <c:pt idx="15">
                  <c:v>1.1773514619625838</c:v>
                </c:pt>
                <c:pt idx="16">
                  <c:v>0.77092006952696568</c:v>
                </c:pt>
                <c:pt idx="17">
                  <c:v>0.91933765789869548</c:v>
                </c:pt>
                <c:pt idx="18">
                  <c:v>1.0942295287474502</c:v>
                </c:pt>
                <c:pt idx="19">
                  <c:v>0.67377671715106779</c:v>
                </c:pt>
                <c:pt idx="20">
                  <c:v>0.97975281919868218</c:v>
                </c:pt>
                <c:pt idx="21">
                  <c:v>0.77265763005411525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Ianuarie-octombrie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China</c:v>
                </c:pt>
                <c:pt idx="2">
                  <c:v>Ucraina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11'!$G$25:$G$46</c:f>
              <c:numCache>
                <c:formatCode>#,##0.0</c:formatCode>
                <c:ptCount val="22"/>
                <c:pt idx="0">
                  <c:v>15.198599285961961</c:v>
                </c:pt>
                <c:pt idx="1">
                  <c:v>11.622539160290433</c:v>
                </c:pt>
                <c:pt idx="2">
                  <c:v>11.50600807485894</c:v>
                </c:pt>
                <c:pt idx="3">
                  <c:v>8.8111656282502135</c:v>
                </c:pt>
                <c:pt idx="4">
                  <c:v>7.1237723248952385</c:v>
                </c:pt>
                <c:pt idx="5">
                  <c:v>5.5054847945720766</c:v>
                </c:pt>
                <c:pt idx="6">
                  <c:v>3.8998904613291483</c:v>
                </c:pt>
                <c:pt idx="7">
                  <c:v>3.6700445931231824</c:v>
                </c:pt>
                <c:pt idx="8">
                  <c:v>2.5715365748177366</c:v>
                </c:pt>
                <c:pt idx="9">
                  <c:v>2.4097140150482708</c:v>
                </c:pt>
                <c:pt idx="10">
                  <c:v>2.1448485946513456</c:v>
                </c:pt>
                <c:pt idx="11">
                  <c:v>1.8124952007455615</c:v>
                </c:pt>
                <c:pt idx="12">
                  <c:v>1.677283315287774</c:v>
                </c:pt>
                <c:pt idx="13">
                  <c:v>1.6598909363977479</c:v>
                </c:pt>
                <c:pt idx="14">
                  <c:v>1.3763371809295015</c:v>
                </c:pt>
                <c:pt idx="15">
                  <c:v>1.3674698070876647</c:v>
                </c:pt>
                <c:pt idx="16">
                  <c:v>1.1435170567775979</c:v>
                </c:pt>
                <c:pt idx="17">
                  <c:v>1.0280698617331911</c:v>
                </c:pt>
                <c:pt idx="18">
                  <c:v>1.0081458466311852</c:v>
                </c:pt>
                <c:pt idx="19">
                  <c:v>0.97095327762431594</c:v>
                </c:pt>
                <c:pt idx="20">
                  <c:v>0.96125875470014155</c:v>
                </c:pt>
                <c:pt idx="21">
                  <c:v>0.88506794885596429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567872"/>
        <c:axId val="128391360"/>
      </c:barChart>
      <c:catAx>
        <c:axId val="12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91360"/>
        <c:crosses val="autoZero"/>
        <c:auto val="1"/>
        <c:lblAlgn val="ctr"/>
        <c:lblOffset val="100"/>
        <c:noMultiLvlLbl val="0"/>
      </c:catAx>
      <c:valAx>
        <c:axId val="12839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756787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9751918361983403E-2"/>
          <c:y val="0.87203727441046597"/>
          <c:w val="0.91799736495388684"/>
          <c:h val="7.972844479711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octombrie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920473041556303"/>
          <c:y val="1.20356749750542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3.9664378337147331E-2"/>
                  <c:y val="2.657076450438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4.5766590389016017E-2"/>
                  <c:y val="-6.883612834678036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40961098398169"/>
                      <c:h val="0.16958798949786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7.6278851871204884E-3"/>
                  <c:y val="-0.1347732125046863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94801107527461"/>
                      <c:h val="0.16840444708811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4.2715724607650586E-2"/>
                  <c:y val="-0.1650209156292517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1983218916857"/>
                      <c:h val="0.15821345563047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5.7355748151618348E-2"/>
                  <c:y val="-8.1160615911712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1.7383856766187981E-2"/>
                  <c:y val="4.689988867371991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0403262521246628"/>
                  <c:y val="2.46666163723925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4358697153701"/>
                      <c:h val="0.1699726141799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8214310167750769"/>
                  <c:y val="-2.476228067130941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20354120494665"/>
                      <c:h val="0.18766352212713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4253770338204292"/>
                  <c:y val="-9.77633199269451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13031466032421"/>
                      <c:h val="0.155196972988411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24403815083755265"/>
                  <c:y val="-0.213774092177446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62776506483598"/>
                      <c:h val="0.15874852164953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8178561775887853"/>
                  <c:y val="-0.326214398753466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3689159564436595"/>
                  <c:y val="-0.4572965756770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3.1999135119551707E-2"/>
                  <c:y val="-0.5760823762839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9832189168573608"/>
                  <c:y val="-0.21152036508081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12'!$A$44:$A$57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Aparate şi echipamente de telecomunicaţii </c:v>
                </c:pt>
                <c:pt idx="8">
                  <c:v>Maşini şi aparate specializate </c:v>
                </c:pt>
                <c:pt idx="9">
                  <c:v>Legume şi fructe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12'!$B$44:$B$57</c:f>
              <c:numCache>
                <c:formatCode>#,##0.0</c:formatCode>
                <c:ptCount val="14"/>
                <c:pt idx="0">
                  <c:v>15.9</c:v>
                </c:pt>
                <c:pt idx="1">
                  <c:v>7.7</c:v>
                </c:pt>
                <c:pt idx="2">
                  <c:v>6.9</c:v>
                </c:pt>
                <c:pt idx="3">
                  <c:v>6.1</c:v>
                </c:pt>
                <c:pt idx="4">
                  <c:v>3.5</c:v>
                </c:pt>
                <c:pt idx="5">
                  <c:v>3.5</c:v>
                </c:pt>
                <c:pt idx="6">
                  <c:v>2.9</c:v>
                </c:pt>
                <c:pt idx="7">
                  <c:v>2.6</c:v>
                </c:pt>
                <c:pt idx="8">
                  <c:v>2.6</c:v>
                </c:pt>
                <c:pt idx="9">
                  <c:v>2.5</c:v>
                </c:pt>
                <c:pt idx="10">
                  <c:v>2.5</c:v>
                </c:pt>
                <c:pt idx="11">
                  <c:v>2.2999999999999998</c:v>
                </c:pt>
                <c:pt idx="12">
                  <c:v>2.1</c:v>
                </c:pt>
                <c:pt idx="13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octombrie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112606069872329"/>
          <c:y val="8.60301167513561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6.8636954361287361E-2"/>
                  <c:y val="1.4414383488167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5.2376347374053972E-2"/>
                  <c:y val="-6.615060038476117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-6.4724919093851136E-3"/>
                  <c:y val="-0.1091475895213371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14476467140637"/>
                      <c:h val="0.13085226744477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2.1324694850036949E-2"/>
                  <c:y val="-0.167671780761311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1798027673725"/>
                      <c:h val="0.20015827885350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7.5069693958158018E-2"/>
                  <c:y val="-0.100444120234289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2.42176948755192E-2"/>
                  <c:y val="-2.835518176031823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5.9206482684810033E-2"/>
                  <c:y val="1.9569467985439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5994385714209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4730079249802513"/>
                  <c:y val="3.683694851495061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5259281910149"/>
                      <c:h val="0.17847311320417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1956843258670336"/>
                  <c:y val="-8.891272787086899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9050913538720282"/>
                  <c:y val="-0.2053857981648752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00789949799965"/>
                      <c:h val="0.1664448211003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30835349772015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3115944244833475"/>
                  <c:y val="-0.449988628805595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3.9550493081568688E-2"/>
                  <c:y val="-0.575545781572943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20307239507682898"/>
                  <c:y val="-0.20477904839551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Aparate şi echipamente de telecomunicaţii </c:v>
                </c:pt>
                <c:pt idx="8">
                  <c:v>Maşini şi aparate specializate </c:v>
                </c:pt>
                <c:pt idx="9">
                  <c:v>Legume şi fructe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#,##0.0</c:formatCode>
                <c:ptCount val="14"/>
                <c:pt idx="0">
                  <c:v>16.600000000000001</c:v>
                </c:pt>
                <c:pt idx="1">
                  <c:v>6.3</c:v>
                </c:pt>
                <c:pt idx="2">
                  <c:v>5.9</c:v>
                </c:pt>
                <c:pt idx="3">
                  <c:v>8.8000000000000007</c:v>
                </c:pt>
                <c:pt idx="4">
                  <c:v>3.6</c:v>
                </c:pt>
                <c:pt idx="5">
                  <c:v>3.1</c:v>
                </c:pt>
                <c:pt idx="6">
                  <c:v>2.8</c:v>
                </c:pt>
                <c:pt idx="7">
                  <c:v>2.1</c:v>
                </c:pt>
                <c:pt idx="8">
                  <c:v>3.4</c:v>
                </c:pt>
                <c:pt idx="9">
                  <c:v>2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1.9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  <c:pt idx="5">
                  <c:v>-335.3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  <c:pt idx="5">
                  <c:v>-377.3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  <c:pt idx="5">
                  <c:v>-354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  <c:pt idx="5">
                  <c:v>-371.9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8304"/>
        <c:axId val="133212992"/>
      </c:barChart>
      <c:catAx>
        <c:axId val="1338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12992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58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764334679048652E-2"/>
                  <c:y val="1.6359226864224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7570755462796066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16422645964435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14'!$B$28:$B$33</c:f>
              <c:numCache>
                <c:formatCode>#,##0.0</c:formatCode>
                <c:ptCount val="6"/>
                <c:pt idx="0">
                  <c:v>2218.5</c:v>
                </c:pt>
                <c:pt idx="1">
                  <c:v>2294.3000000000002</c:v>
                </c:pt>
                <c:pt idx="2">
                  <c:v>1986.8</c:v>
                </c:pt>
                <c:pt idx="3">
                  <c:v>2455.6999999999998</c:v>
                </c:pt>
                <c:pt idx="4">
                  <c:v>3629.8</c:v>
                </c:pt>
                <c:pt idx="5">
                  <c:v>3358.2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6541617036826217E-5"/>
                  <c:y val="4.3503728786595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14'!$C$28:$C$33</c:f>
              <c:numCache>
                <c:formatCode>#,##0.0</c:formatCode>
                <c:ptCount val="6"/>
                <c:pt idx="0">
                  <c:v>4718.2</c:v>
                </c:pt>
                <c:pt idx="1">
                  <c:v>4798.7</c:v>
                </c:pt>
                <c:pt idx="2">
                  <c:v>4325.8</c:v>
                </c:pt>
                <c:pt idx="3">
                  <c:v>5721.1</c:v>
                </c:pt>
                <c:pt idx="4">
                  <c:v>7486.9</c:v>
                </c:pt>
                <c:pt idx="5">
                  <c:v>7126.6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3806080"/>
        <c:axId val="13321702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53138000607062E-2"/>
                  <c:y val="-2.930799066640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525380755945E-2"/>
                  <c:y val="-3.895829683896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3412705941877745E-2"/>
                  <c:y val="4.269834246582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6065777492099271E-2"/>
                  <c:y val="-3.531183277442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0761471081175227E-2"/>
                  <c:y val="-4.000231614366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123675805584548E-2"/>
                      <c:h val="4.1578580584106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9403914872086771E-2"/>
                  <c:y val="-3.990581015751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-2499.6999999999998</c:v>
                </c:pt>
                <c:pt idx="1">
                  <c:v>-2504.3999999999996</c:v>
                </c:pt>
                <c:pt idx="2">
                  <c:v>-2339</c:v>
                </c:pt>
                <c:pt idx="3">
                  <c:v>-3265.4000000000005</c:v>
                </c:pt>
                <c:pt idx="4">
                  <c:v>-3857.0999999999995</c:v>
                </c:pt>
                <c:pt idx="5">
                  <c:v>-3768.4000000000005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080"/>
        <c:axId val="133217024"/>
      </c:lineChart>
      <c:catAx>
        <c:axId val="1338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7024"/>
        <c:crosses val="autoZero"/>
        <c:auto val="1"/>
        <c:lblAlgn val="ctr"/>
        <c:lblOffset val="100"/>
        <c:noMultiLvlLbl val="0"/>
      </c:catAx>
      <c:valAx>
        <c:axId val="133217024"/>
        <c:scaling>
          <c:orientation val="minMax"/>
          <c:min val="-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06080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2'!$B$23:$AI$24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2'!$B$25:$AI$25</c:f>
              <c:numCache>
                <c:formatCode>#,##0.0</c:formatCode>
                <c:ptCount val="34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>
                  <c:v>110.41268252711565</c:v>
                </c:pt>
                <c:pt idx="22">
                  <c:v>101.07685140675132</c:v>
                </c:pt>
                <c:pt idx="23">
                  <c:v>98.231011775552389</c:v>
                </c:pt>
                <c:pt idx="24">
                  <c:v>95.423145055942825</c:v>
                </c:pt>
                <c:pt idx="25">
                  <c:v>107.53426155303467</c:v>
                </c:pt>
                <c:pt idx="26">
                  <c:v>108.10569775638508</c:v>
                </c:pt>
                <c:pt idx="27">
                  <c:v>82.457500951649791</c:v>
                </c:pt>
                <c:pt idx="28">
                  <c:v>106.03224634475339</c:v>
                </c:pt>
                <c:pt idx="29">
                  <c:v>94.094313438764019</c:v>
                </c:pt>
                <c:pt idx="30">
                  <c:v>96.062601900370808</c:v>
                </c:pt>
                <c:pt idx="31">
                  <c:v>105.70970185102763</c:v>
                </c:pt>
                <c:pt idx="32">
                  <c:v>108.24618309689178</c:v>
                </c:pt>
                <c:pt idx="33">
                  <c:v>98.195823302702834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2'!$B$23:$AI$24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2'!$B$26:$AI$26</c:f>
              <c:numCache>
                <c:formatCode>#,##0.0</c:formatCode>
                <c:ptCount val="34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>
                  <c:v>148.19932435921535</c:v>
                </c:pt>
                <c:pt idx="14">
                  <c:v>152.66039185472528</c:v>
                </c:pt>
                <c:pt idx="15">
                  <c:v>181.61058088529293</c:v>
                </c:pt>
                <c:pt idx="16">
                  <c:v>206.23310011413275</c:v>
                </c:pt>
                <c:pt idx="17">
                  <c:v>183.60436215205132</c:v>
                </c:pt>
                <c:pt idx="18">
                  <c:v>140.50476839414773</c:v>
                </c:pt>
                <c:pt idx="19">
                  <c:v>139.40559010693906</c:v>
                </c:pt>
                <c:pt idx="2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>
                  <c:v>100.22420542342689</c:v>
                </c:pt>
                <c:pt idx="25">
                  <c:v>105.81914027975773</c:v>
                </c:pt>
                <c:pt idx="26">
                  <c:v>97.239900027586913</c:v>
                </c:pt>
                <c:pt idx="27">
                  <c:v>80.07855189343411</c:v>
                </c:pt>
                <c:pt idx="28">
                  <c:v>80.902535364374799</c:v>
                </c:pt>
                <c:pt idx="29">
                  <c:v>76.039040702545819</c:v>
                </c:pt>
                <c:pt idx="30">
                  <c:v>89.935850911576011</c:v>
                </c:pt>
                <c:pt idx="31">
                  <c:v>97.612939025815066</c:v>
                </c:pt>
                <c:pt idx="32">
                  <c:v>109.18311544351715</c:v>
                </c:pt>
                <c:pt idx="33">
                  <c:v>97.118700719080934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Ianuarie-octombrie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3'!$B$24:$B$29</c:f>
              <c:numCache>
                <c:formatCode>#,##0.0</c:formatCode>
                <c:ptCount val="6"/>
                <c:pt idx="0">
                  <c:v>13.4</c:v>
                </c:pt>
                <c:pt idx="1">
                  <c:v>3.2</c:v>
                </c:pt>
                <c:pt idx="2">
                  <c:v>81.2</c:v>
                </c:pt>
                <c:pt idx="3">
                  <c:v>1</c:v>
                </c:pt>
                <c:pt idx="4">
                  <c:v>0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Ianuarie-octombrie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3'!$C$24:$C$29</c:f>
              <c:numCache>
                <c:formatCode>#,##0.0</c:formatCode>
                <c:ptCount val="6"/>
                <c:pt idx="0">
                  <c:v>13.9</c:v>
                </c:pt>
                <c:pt idx="1">
                  <c:v>8.3000000000000007</c:v>
                </c:pt>
                <c:pt idx="2">
                  <c:v>76.3</c:v>
                </c:pt>
                <c:pt idx="3">
                  <c:v>1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Ianuarie-octombrie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3'!$D$24:$D$29</c:f>
              <c:numCache>
                <c:formatCode>#,##0.0</c:formatCode>
                <c:ptCount val="6"/>
                <c:pt idx="0">
                  <c:v>8.1</c:v>
                </c:pt>
                <c:pt idx="1">
                  <c:v>4.4000000000000004</c:v>
                </c:pt>
                <c:pt idx="2">
                  <c:v>86.3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Ianuarie-octombrie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3'!$E$24:$E$29</c:f>
              <c:numCache>
                <c:formatCode>#,##0.0</c:formatCode>
                <c:ptCount val="6"/>
                <c:pt idx="0">
                  <c:v>6.9</c:v>
                </c:pt>
                <c:pt idx="1">
                  <c:v>3</c:v>
                </c:pt>
                <c:pt idx="2">
                  <c:v>88.9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Ianuarie-octombrie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3'!$F$24:$F$29</c:f>
              <c:numCache>
                <c:formatCode>#,##0.0</c:formatCode>
                <c:ptCount val="6"/>
                <c:pt idx="0">
                  <c:v>6.6</c:v>
                </c:pt>
                <c:pt idx="1">
                  <c:v>4.5999999999999996</c:v>
                </c:pt>
                <c:pt idx="2">
                  <c:v>87.1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Ianuarie-octombrie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3'!$G$24:$G$29</c:f>
              <c:numCache>
                <c:formatCode>#,##0.0</c:formatCode>
                <c:ptCount val="6"/>
                <c:pt idx="0">
                  <c:v>6.6</c:v>
                </c:pt>
                <c:pt idx="1">
                  <c:v>4.0999999999999996</c:v>
                </c:pt>
                <c:pt idx="2">
                  <c:v>87.5</c:v>
                </c:pt>
                <c:pt idx="3">
                  <c:v>1.8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920768"/>
        <c:axId val="100813632"/>
      </c:barChart>
      <c:catAx>
        <c:axId val="1259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3632"/>
        <c:crossesAt val="0"/>
        <c:auto val="1"/>
        <c:lblAlgn val="ctr"/>
        <c:lblOffset val="100"/>
        <c:noMultiLvlLbl val="0"/>
      </c:catAx>
      <c:valAx>
        <c:axId val="10081363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9207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383985075795487"/>
          <c:y val="0.9043039262949274"/>
          <c:w val="0.77804044922400262"/>
          <c:h val="6.84851893513310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4'!$B$22:$G$22</c:f>
              <c:numCache>
                <c:formatCode>#,##0.0</c:formatCode>
                <c:ptCount val="6"/>
                <c:pt idx="0">
                  <c:v>66.400000000000006</c:v>
                </c:pt>
                <c:pt idx="1">
                  <c:v>63.7</c:v>
                </c:pt>
                <c:pt idx="2">
                  <c:v>66.599999999999994</c:v>
                </c:pt>
                <c:pt idx="3">
                  <c:v>61.4</c:v>
                </c:pt>
                <c:pt idx="4">
                  <c:v>59.2</c:v>
                </c:pt>
                <c:pt idx="5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4'!$B$23:$G$23</c:f>
              <c:numCache>
                <c:formatCode>#,##0.0</c:formatCode>
                <c:ptCount val="6"/>
                <c:pt idx="0">
                  <c:v>15.7</c:v>
                </c:pt>
                <c:pt idx="1">
                  <c:v>15.5</c:v>
                </c:pt>
                <c:pt idx="2">
                  <c:v>15.3</c:v>
                </c:pt>
                <c:pt idx="3">
                  <c:v>15.2</c:v>
                </c:pt>
                <c:pt idx="4">
                  <c:v>22.8</c:v>
                </c:pt>
                <c:pt idx="5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Ianuarie-octombrie 2018</c:v>
                </c:pt>
                <c:pt idx="1">
                  <c:v>Ianuarie-octombrie 2019</c:v>
                </c:pt>
                <c:pt idx="2">
                  <c:v>Ianuarie-octombrie 2020</c:v>
                </c:pt>
                <c:pt idx="3">
                  <c:v>Ianuarie-octombrie 2021</c:v>
                </c:pt>
                <c:pt idx="4">
                  <c:v>Ianuarie-octombrie 2022</c:v>
                </c:pt>
                <c:pt idx="5">
                  <c:v>Ianuarie-octombrie 2023</c:v>
                </c:pt>
              </c:strCache>
            </c:strRef>
          </c:cat>
          <c:val>
            <c:numRef>
              <c:f>'Figura 4'!$B$24:$G$24</c:f>
              <c:numCache>
                <c:formatCode>#,##0.0</c:formatCode>
                <c:ptCount val="6"/>
                <c:pt idx="0">
                  <c:v>17.899999999999999</c:v>
                </c:pt>
                <c:pt idx="1">
                  <c:v>20.8</c:v>
                </c:pt>
                <c:pt idx="2">
                  <c:v>18.100000000000001</c:v>
                </c:pt>
                <c:pt idx="3">
                  <c:v>23.4</c:v>
                </c:pt>
                <c:pt idx="4">
                  <c:v>18</c:v>
                </c:pt>
                <c:pt idx="5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41952"/>
        <c:axId val="100815936"/>
      </c:barChart>
      <c:catAx>
        <c:axId val="126141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5936"/>
        <c:crosses val="autoZero"/>
        <c:auto val="1"/>
        <c:lblAlgn val="ctr"/>
        <c:lblOffset val="100"/>
        <c:noMultiLvlLbl val="0"/>
      </c:catAx>
      <c:valAx>
        <c:axId val="100815936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141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Ianuarie-octombrie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Franta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Elvetia</c:v>
                </c:pt>
                <c:pt idx="19">
                  <c:v>Liban</c:v>
                </c:pt>
                <c:pt idx="20">
                  <c:v>Cipru</c:v>
                </c:pt>
              </c:strCache>
            </c:strRef>
          </c:cat>
          <c:val>
            <c:numRef>
              <c:f>'Figura 5'!$B$26:$B$46</c:f>
              <c:numCache>
                <c:formatCode>#,##0.0</c:formatCode>
                <c:ptCount val="21"/>
                <c:pt idx="0">
                  <c:v>29.144172187892092</c:v>
                </c:pt>
                <c:pt idx="1">
                  <c:v>3.0267334774006152</c:v>
                </c:pt>
                <c:pt idx="2">
                  <c:v>11.675386387815291</c:v>
                </c:pt>
                <c:pt idx="3">
                  <c:v>8.2950098953812113</c:v>
                </c:pt>
                <c:pt idx="4">
                  <c:v>1.556303845699003</c:v>
                </c:pt>
                <c:pt idx="5">
                  <c:v>8.2133172499785161</c:v>
                </c:pt>
                <c:pt idx="6">
                  <c:v>3.2301726317414077</c:v>
                </c:pt>
                <c:pt idx="7">
                  <c:v>3.5901090019046817</c:v>
                </c:pt>
                <c:pt idx="8">
                  <c:v>3.3732303495839169</c:v>
                </c:pt>
                <c:pt idx="9">
                  <c:v>1.914343345999012</c:v>
                </c:pt>
                <c:pt idx="10">
                  <c:v>0.9196491293732969</c:v>
                </c:pt>
                <c:pt idx="11">
                  <c:v>0.8048568873892763</c:v>
                </c:pt>
                <c:pt idx="12">
                  <c:v>0.29930403099398473</c:v>
                </c:pt>
                <c:pt idx="13">
                  <c:v>1.384898933782192</c:v>
                </c:pt>
                <c:pt idx="14">
                  <c:v>0.65322836607440793</c:v>
                </c:pt>
                <c:pt idx="15">
                  <c:v>1.8776034213388999</c:v>
                </c:pt>
                <c:pt idx="16">
                  <c:v>3.0830263441064107</c:v>
                </c:pt>
                <c:pt idx="17">
                  <c:v>1.3566163310492243</c:v>
                </c:pt>
                <c:pt idx="18">
                  <c:v>2.0200165947099986</c:v>
                </c:pt>
                <c:pt idx="19">
                  <c:v>0.56067934400386055</c:v>
                </c:pt>
                <c:pt idx="20">
                  <c:v>0.31201338709203397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Ianuarie-octombrie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Franta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Elvetia</c:v>
                </c:pt>
                <c:pt idx="19">
                  <c:v>Liban</c:v>
                </c:pt>
                <c:pt idx="20">
                  <c:v>Cipru</c:v>
                </c:pt>
              </c:strCache>
            </c:strRef>
          </c:cat>
          <c:val>
            <c:numRef>
              <c:f>'Figura 5'!$C$26:$C$46</c:f>
              <c:numCache>
                <c:formatCode>#,##0.0</c:formatCode>
                <c:ptCount val="21"/>
                <c:pt idx="0">
                  <c:v>27.98792337933892</c:v>
                </c:pt>
                <c:pt idx="1">
                  <c:v>2.8600664632334496</c:v>
                </c:pt>
                <c:pt idx="2">
                  <c:v>9.8385993603980832</c:v>
                </c:pt>
                <c:pt idx="3">
                  <c:v>8.9099521182557186</c:v>
                </c:pt>
                <c:pt idx="4">
                  <c:v>2.1830199688354179</c:v>
                </c:pt>
                <c:pt idx="5">
                  <c:v>8.8389240870477437</c:v>
                </c:pt>
                <c:pt idx="6">
                  <c:v>6.9115651615825628</c:v>
                </c:pt>
                <c:pt idx="7">
                  <c:v>4.0481198573195334</c:v>
                </c:pt>
                <c:pt idx="8">
                  <c:v>2.8991630412192824</c:v>
                </c:pt>
                <c:pt idx="9">
                  <c:v>1.9482976285307751</c:v>
                </c:pt>
                <c:pt idx="10">
                  <c:v>1.22322859951757</c:v>
                </c:pt>
                <c:pt idx="11">
                  <c:v>0.89238551571310409</c:v>
                </c:pt>
                <c:pt idx="12">
                  <c:v>0.36853692729223808</c:v>
                </c:pt>
                <c:pt idx="13">
                  <c:v>1.2967011261207622</c:v>
                </c:pt>
                <c:pt idx="14">
                  <c:v>0.37102424321567545</c:v>
                </c:pt>
                <c:pt idx="15">
                  <c:v>1.1621705361759291</c:v>
                </c:pt>
                <c:pt idx="16">
                  <c:v>1.8316672075341471</c:v>
                </c:pt>
                <c:pt idx="17">
                  <c:v>1.2068105611366089</c:v>
                </c:pt>
                <c:pt idx="18">
                  <c:v>2.9996122456246419</c:v>
                </c:pt>
                <c:pt idx="19">
                  <c:v>0.48647245517306886</c:v>
                </c:pt>
                <c:pt idx="20">
                  <c:v>0.40998536408044428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Ianuarie-octombrie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Franta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Elvetia</c:v>
                </c:pt>
                <c:pt idx="19">
                  <c:v>Liban</c:v>
                </c:pt>
                <c:pt idx="20">
                  <c:v>Cipru</c:v>
                </c:pt>
              </c:strCache>
            </c:strRef>
          </c:cat>
          <c:val>
            <c:numRef>
              <c:f>'Figura 5'!$D$26:$D$46</c:f>
              <c:numCache>
                <c:formatCode>#,##0.0</c:formatCode>
                <c:ptCount val="21"/>
                <c:pt idx="0">
                  <c:v>28.462407729095119</c:v>
                </c:pt>
                <c:pt idx="1">
                  <c:v>2.6100711495818003</c:v>
                </c:pt>
                <c:pt idx="2">
                  <c:v>8.5510950542135156</c:v>
                </c:pt>
                <c:pt idx="3">
                  <c:v>9.377399773774167</c:v>
                </c:pt>
                <c:pt idx="4">
                  <c:v>3.349721761564751</c:v>
                </c:pt>
                <c:pt idx="5">
                  <c:v>9.0098205505669906</c:v>
                </c:pt>
                <c:pt idx="6">
                  <c:v>6.534824652449565</c:v>
                </c:pt>
                <c:pt idx="7">
                  <c:v>4.3524446848962333</c:v>
                </c:pt>
                <c:pt idx="8">
                  <c:v>2.7184961503746843</c:v>
                </c:pt>
                <c:pt idx="9">
                  <c:v>2.0906686034486688</c:v>
                </c:pt>
                <c:pt idx="10">
                  <c:v>1.4558900012099938</c:v>
                </c:pt>
                <c:pt idx="11">
                  <c:v>1.0489719374582864</c:v>
                </c:pt>
                <c:pt idx="12">
                  <c:v>1.0513856924633826</c:v>
                </c:pt>
                <c:pt idx="13">
                  <c:v>1.5135077844088338</c:v>
                </c:pt>
                <c:pt idx="14">
                  <c:v>0.60201200732085347</c:v>
                </c:pt>
                <c:pt idx="15">
                  <c:v>1.2552331601690403</c:v>
                </c:pt>
                <c:pt idx="16">
                  <c:v>1.7628257386765729</c:v>
                </c:pt>
                <c:pt idx="17">
                  <c:v>1.2303127746834814</c:v>
                </c:pt>
                <c:pt idx="18">
                  <c:v>2.4748191078488886</c:v>
                </c:pt>
                <c:pt idx="19">
                  <c:v>0.53185387198216838</c:v>
                </c:pt>
                <c:pt idx="20">
                  <c:v>0.50744650502722255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Ianuarie-octombrie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Franta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Elvetia</c:v>
                </c:pt>
                <c:pt idx="19">
                  <c:v>Liban</c:v>
                </c:pt>
                <c:pt idx="20">
                  <c:v>Cipru</c:v>
                </c:pt>
              </c:strCache>
            </c:strRef>
          </c:cat>
          <c:val>
            <c:numRef>
              <c:f>'Figura 5'!$E$26:$E$46</c:f>
              <c:numCache>
                <c:formatCode>#,##0.0</c:formatCode>
                <c:ptCount val="21"/>
                <c:pt idx="0">
                  <c:v>26.619308315409928</c:v>
                </c:pt>
                <c:pt idx="1">
                  <c:v>3.0129734127987491</c:v>
                </c:pt>
                <c:pt idx="2">
                  <c:v>7.8734189178701088</c:v>
                </c:pt>
                <c:pt idx="3">
                  <c:v>8.531987062230078</c:v>
                </c:pt>
                <c:pt idx="4">
                  <c:v>2.6586807924211411</c:v>
                </c:pt>
                <c:pt idx="5">
                  <c:v>9.0342261565301083</c:v>
                </c:pt>
                <c:pt idx="6">
                  <c:v>9.6493902886941463</c:v>
                </c:pt>
                <c:pt idx="7">
                  <c:v>3.6272724734716135</c:v>
                </c:pt>
                <c:pt idx="8">
                  <c:v>2.1595330340750625</c:v>
                </c:pt>
                <c:pt idx="9">
                  <c:v>2.3669644384805943</c:v>
                </c:pt>
                <c:pt idx="10">
                  <c:v>1.1992168332830739</c:v>
                </c:pt>
                <c:pt idx="11">
                  <c:v>0.98361639335162554</c:v>
                </c:pt>
                <c:pt idx="12">
                  <c:v>1.3830765532966136</c:v>
                </c:pt>
                <c:pt idx="13">
                  <c:v>1.1898961953529414</c:v>
                </c:pt>
                <c:pt idx="14">
                  <c:v>0.45852432642508478</c:v>
                </c:pt>
                <c:pt idx="15">
                  <c:v>1.0645019144793575</c:v>
                </c:pt>
                <c:pt idx="16">
                  <c:v>2.0748977518613874</c:v>
                </c:pt>
                <c:pt idx="17">
                  <c:v>1.1194963703647955</c:v>
                </c:pt>
                <c:pt idx="18">
                  <c:v>3.2883643977265327</c:v>
                </c:pt>
                <c:pt idx="19">
                  <c:v>0.87213750372963506</c:v>
                </c:pt>
                <c:pt idx="20">
                  <c:v>0.26791762874462283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Ianuarie-octombrie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Franta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Elvetia</c:v>
                </c:pt>
                <c:pt idx="19">
                  <c:v>Liban</c:v>
                </c:pt>
                <c:pt idx="20">
                  <c:v>Cipru</c:v>
                </c:pt>
              </c:strCache>
            </c:strRef>
          </c:cat>
          <c:val>
            <c:numRef>
              <c:f>'Figura 5'!$F$26:$F$46</c:f>
              <c:numCache>
                <c:formatCode>#,##0.0</c:formatCode>
                <c:ptCount val="21"/>
                <c:pt idx="0">
                  <c:v>28.551630426534246</c:v>
                </c:pt>
                <c:pt idx="1">
                  <c:v>15.511733402486216</c:v>
                </c:pt>
                <c:pt idx="2">
                  <c:v>7.9141279222719314</c:v>
                </c:pt>
                <c:pt idx="3">
                  <c:v>5.4219163856799719</c:v>
                </c:pt>
                <c:pt idx="4">
                  <c:v>2.344413632453239</c:v>
                </c:pt>
                <c:pt idx="5">
                  <c:v>4.5868231053279356</c:v>
                </c:pt>
                <c:pt idx="6">
                  <c:v>7.4900178797973949</c:v>
                </c:pt>
                <c:pt idx="7">
                  <c:v>2.8271580475433327</c:v>
                </c:pt>
                <c:pt idx="8">
                  <c:v>1.7401709228008406</c:v>
                </c:pt>
                <c:pt idx="9">
                  <c:v>3.6734037813153493</c:v>
                </c:pt>
                <c:pt idx="10">
                  <c:v>0.92573390214247397</c:v>
                </c:pt>
                <c:pt idx="11">
                  <c:v>0.99186860279937028</c:v>
                </c:pt>
                <c:pt idx="12">
                  <c:v>1.2320512316960714</c:v>
                </c:pt>
                <c:pt idx="13">
                  <c:v>1.5739908710846708</c:v>
                </c:pt>
                <c:pt idx="14">
                  <c:v>0.53281712695225136</c:v>
                </c:pt>
                <c:pt idx="15">
                  <c:v>0.89186413414254762</c:v>
                </c:pt>
                <c:pt idx="16">
                  <c:v>1.5155485437977547</c:v>
                </c:pt>
                <c:pt idx="17">
                  <c:v>0.77981799908100213</c:v>
                </c:pt>
                <c:pt idx="18">
                  <c:v>1.6691881416490326</c:v>
                </c:pt>
                <c:pt idx="19">
                  <c:v>0.43647416392811611</c:v>
                </c:pt>
                <c:pt idx="20">
                  <c:v>0.39310361079717665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Ianuarie-octombrie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Franta</c:v>
                </c:pt>
                <c:pt idx="16">
                  <c:v>Regatul Unit </c:v>
                </c:pt>
                <c:pt idx="17">
                  <c:v>Grecia</c:v>
                </c:pt>
                <c:pt idx="18">
                  <c:v>Elvetia</c:v>
                </c:pt>
                <c:pt idx="19">
                  <c:v>Liban</c:v>
                </c:pt>
                <c:pt idx="20">
                  <c:v>Cipru</c:v>
                </c:pt>
              </c:strCache>
            </c:strRef>
          </c:cat>
          <c:val>
            <c:numRef>
              <c:f>'Figura 5'!$G$26:$G$46</c:f>
              <c:numCache>
                <c:formatCode>#,##0.0</c:formatCode>
                <c:ptCount val="21"/>
                <c:pt idx="0">
                  <c:v>34.705115733443023</c:v>
                </c:pt>
                <c:pt idx="1">
                  <c:v>15.685378339585258</c:v>
                </c:pt>
                <c:pt idx="2">
                  <c:v>6.4765227204103351</c:v>
                </c:pt>
                <c:pt idx="3">
                  <c:v>5.4900167133021069</c:v>
                </c:pt>
                <c:pt idx="4">
                  <c:v>3.8779679694953377</c:v>
                </c:pt>
                <c:pt idx="5">
                  <c:v>3.4961954829126971</c:v>
                </c:pt>
                <c:pt idx="6">
                  <c:v>3.38322351925691</c:v>
                </c:pt>
                <c:pt idx="7">
                  <c:v>3.0702432550778789</c:v>
                </c:pt>
                <c:pt idx="8">
                  <c:v>2.1150160894516263</c:v>
                </c:pt>
                <c:pt idx="9">
                  <c:v>1.9964628995476703</c:v>
                </c:pt>
                <c:pt idx="10">
                  <c:v>1.5168046044285126</c:v>
                </c:pt>
                <c:pt idx="11">
                  <c:v>1.3121388968699113</c:v>
                </c:pt>
                <c:pt idx="12">
                  <c:v>1.1907422495004623</c:v>
                </c:pt>
                <c:pt idx="13">
                  <c:v>1.1332882620238518</c:v>
                </c:pt>
                <c:pt idx="14">
                  <c:v>1.10788061083982</c:v>
                </c:pt>
                <c:pt idx="15">
                  <c:v>1.0126240460643854</c:v>
                </c:pt>
                <c:pt idx="16">
                  <c:v>0.99832019873970046</c:v>
                </c:pt>
                <c:pt idx="17">
                  <c:v>0.88712547900556138</c:v>
                </c:pt>
                <c:pt idx="18">
                  <c:v>0.79192735472005205</c:v>
                </c:pt>
                <c:pt idx="19">
                  <c:v>0.79063691914147971</c:v>
                </c:pt>
                <c:pt idx="20">
                  <c:v>0.7677738178982253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137856"/>
        <c:axId val="100818240"/>
      </c:barChart>
      <c:catAx>
        <c:axId val="861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8240"/>
        <c:crosses val="autoZero"/>
        <c:auto val="1"/>
        <c:lblAlgn val="ctr"/>
        <c:lblOffset val="100"/>
        <c:noMultiLvlLbl val="0"/>
      </c:catAx>
      <c:valAx>
        <c:axId val="100818240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37856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4785011629643841E-2"/>
          <c:y val="0.85665627734033245"/>
          <c:w val="0.89206367496745831"/>
          <c:h val="8.1852580927384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octombrie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401312621305361"/>
          <c:y val="5.22294180683035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6'!$B$45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6.1973380302924069E-2"/>
                  <c:y val="3.95505734614920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5.2188434149214355E-2"/>
                  <c:y val="-8.94703734909238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9355994208933006E-2"/>
                  <c:y val="-0.17184823257785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0.10763864543275435"/>
                  <c:y val="-0.159823397865875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24137150794011583"/>
                  <c:y val="-6.1857124592950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30986882776095953"/>
                  <c:y val="1.537922372883905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22506262226848639"/>
                  <c:y val="0.103575720656694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9.4591536895450773E-2"/>
                  <c:y val="0.12662289706623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9570662805955336E-2"/>
                  <c:y val="9.8585090656771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3.2617771343258894E-3"/>
                  <c:y val="2.7176215042085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1.6308757255206845E-2"/>
                  <c:y val="-6.25114124344772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16772828523238"/>
                      <c:h val="0.19764375170124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8.4806205492473127E-2"/>
                  <c:y val="-0.16680850423782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3047108537303553"/>
                  <c:y val="-3.94087231734121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6'!$A$46:$A$58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6'!$B$46:$B$58</c:f>
              <c:numCache>
                <c:formatCode>#,##0.0</c:formatCode>
                <c:ptCount val="13"/>
                <c:pt idx="0">
                  <c:v>15.5</c:v>
                </c:pt>
                <c:pt idx="1">
                  <c:v>11</c:v>
                </c:pt>
                <c:pt idx="2">
                  <c:v>10.3</c:v>
                </c:pt>
                <c:pt idx="3">
                  <c:v>8.6</c:v>
                </c:pt>
                <c:pt idx="4">
                  <c:v>7.1</c:v>
                </c:pt>
                <c:pt idx="5">
                  <c:v>6.8</c:v>
                </c:pt>
                <c:pt idx="6">
                  <c:v>6.2</c:v>
                </c:pt>
                <c:pt idx="7">
                  <c:v>4.9000000000000004</c:v>
                </c:pt>
                <c:pt idx="8">
                  <c:v>3.6</c:v>
                </c:pt>
                <c:pt idx="9">
                  <c:v>2.7</c:v>
                </c:pt>
                <c:pt idx="10">
                  <c:v>2</c:v>
                </c:pt>
                <c:pt idx="11">
                  <c:v>1.6</c:v>
                </c:pt>
                <c:pt idx="12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octombrie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784906855722198"/>
          <c:y val="1.56386039292879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6'!$B$30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Lbls>
            <c:dLbl>
              <c:idx val="0"/>
              <c:layout>
                <c:manualLayout>
                  <c:x val="-3.6035658402021997E-2"/>
                  <c:y val="5.4852143482064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3.2760041210584123E-2"/>
                  <c:y val="8.2720529499030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3.2761330975984914E-3"/>
                  <c:y val="-0.103929949932729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8.8452111268577133E-2"/>
                  <c:y val="-0.122852290522508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4741992749454816"/>
                  <c:y val="-2.79797336942121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25928257057467302"/>
                  <c:y val="2.51356252602489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2172145504109966"/>
                  <c:y val="0.162415286324503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7.5348094784343483E-2"/>
                  <c:y val="0.2174290880398985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1.6380020605292062E-2"/>
                  <c:y val="0.182781858150084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0"/>
                  <c:y val="0.103172103487064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1.6380020605292062E-3"/>
                  <c:y val="-8.4254174110592536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45364557349933"/>
                      <c:h val="0.21482138262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6.5520082421168233E-2"/>
                  <c:y val="-0.108031790143879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9.828012363175237E-2"/>
                  <c:y val="-2.6663431776910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6'!$A$31:$A$43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6'!$B$31:$B$43</c:f>
              <c:numCache>
                <c:formatCode>#,##0.0</c:formatCode>
                <c:ptCount val="13"/>
                <c:pt idx="0">
                  <c:v>12.3</c:v>
                </c:pt>
                <c:pt idx="1">
                  <c:v>12.1</c:v>
                </c:pt>
                <c:pt idx="2">
                  <c:v>11.2</c:v>
                </c:pt>
                <c:pt idx="3">
                  <c:v>8</c:v>
                </c:pt>
                <c:pt idx="4">
                  <c:v>6.8</c:v>
                </c:pt>
                <c:pt idx="5">
                  <c:v>9.6999999999999993</c:v>
                </c:pt>
                <c:pt idx="6">
                  <c:v>8.9</c:v>
                </c:pt>
                <c:pt idx="7">
                  <c:v>4</c:v>
                </c:pt>
                <c:pt idx="8">
                  <c:v>3.3</c:v>
                </c:pt>
                <c:pt idx="9">
                  <c:v>2.1</c:v>
                </c:pt>
                <c:pt idx="10">
                  <c:v>2.2000000000000002</c:v>
                </c:pt>
                <c:pt idx="11">
                  <c:v>2.1</c:v>
                </c:pt>
                <c:pt idx="1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  <c:pt idx="5">
                  <c:v>639.5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  <c:pt idx="5">
                  <c:v>698.9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  <c:pt idx="5">
                  <c:v>702.1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  <c:pt idx="5">
                  <c:v>713.7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1536"/>
        <c:axId val="126078912"/>
      </c:barChart>
      <c:catAx>
        <c:axId val="128641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78912"/>
        <c:crosses val="autoZero"/>
        <c:auto val="0"/>
        <c:lblAlgn val="ctr"/>
        <c:lblOffset val="100"/>
        <c:tickLblSkip val="1"/>
        <c:noMultiLvlLbl val="0"/>
      </c:catAx>
      <c:valAx>
        <c:axId val="1260789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64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'Figura 8'!$B$23:$AI$24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8'!$B$25:$AI$25</c:f>
              <c:numCache>
                <c:formatCode>#,##0.0</c:formatCode>
                <c:ptCount val="34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>
                  <c:v>88.988673647198652</c:v>
                </c:pt>
                <c:pt idx="22">
                  <c:v>114.26056736134905</c:v>
                </c:pt>
                <c:pt idx="23">
                  <c:v>101.80484196839581</c:v>
                </c:pt>
                <c:pt idx="24">
                  <c:v>83.926621848561766</c:v>
                </c:pt>
                <c:pt idx="25">
                  <c:v>102.61098940878497</c:v>
                </c:pt>
                <c:pt idx="26">
                  <c:v>109.12124896586097</c:v>
                </c:pt>
                <c:pt idx="27">
                  <c:v>84.108871928407495</c:v>
                </c:pt>
                <c:pt idx="28">
                  <c:v>102.68878207006242</c:v>
                </c:pt>
                <c:pt idx="29">
                  <c:v>93.851597003176721</c:v>
                </c:pt>
                <c:pt idx="30">
                  <c:v>96.086512164873767</c:v>
                </c:pt>
                <c:pt idx="31">
                  <c:v>109.27507416248771</c:v>
                </c:pt>
                <c:pt idx="32">
                  <c:v>100.47049386929925</c:v>
                </c:pt>
                <c:pt idx="33">
                  <c:v>101.64405035986022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8'!$B$23:$AI$24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8'!$B$26:$AI$26</c:f>
              <c:numCache>
                <c:formatCode>#,##0.0</c:formatCode>
                <c:ptCount val="34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>
                  <c:v>117.96075072735046</c:v>
                </c:pt>
                <c:pt idx="25">
                  <c:v>112.46174232268726</c:v>
                </c:pt>
                <c:pt idx="26">
                  <c:v>109.73131291449928</c:v>
                </c:pt>
                <c:pt idx="27">
                  <c:v>89.640885386791396</c:v>
                </c:pt>
                <c:pt idx="28">
                  <c:v>91.785057597523661</c:v>
                </c:pt>
                <c:pt idx="29">
                  <c:v>86.618584173522549</c:v>
                </c:pt>
                <c:pt idx="30">
                  <c:v>84.03316568775648</c:v>
                </c:pt>
                <c:pt idx="31">
                  <c:v>89.601282788060971</c:v>
                </c:pt>
                <c:pt idx="32">
                  <c:v>83.178845399391065</c:v>
                </c:pt>
                <c:pt idx="33">
                  <c:v>95.013725878876059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5776"/>
        <c:axId val="126082368"/>
      </c:lineChart>
      <c:catAx>
        <c:axId val="12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82368"/>
        <c:crossesAt val="30"/>
        <c:auto val="1"/>
        <c:lblAlgn val="ctr"/>
        <c:lblOffset val="100"/>
        <c:noMultiLvlLbl val="0"/>
      </c:catAx>
      <c:valAx>
        <c:axId val="12608236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75776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400049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95250</xdr:rowOff>
    </xdr:from>
    <xdr:to>
      <xdr:col>8</xdr:col>
      <xdr:colOff>66675</xdr:colOff>
      <xdr:row>24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85724</xdr:rowOff>
    </xdr:from>
    <xdr:to>
      <xdr:col>1</xdr:col>
      <xdr:colOff>781050</xdr:colOff>
      <xdr:row>24</xdr:row>
      <xdr:rowOff>114299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142874</xdr:rowOff>
    </xdr:from>
    <xdr:to>
      <xdr:col>19</xdr:col>
      <xdr:colOff>419100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726042</xdr:colOff>
      <xdr:row>2</xdr:row>
      <xdr:rowOff>19050</xdr:rowOff>
    </xdr:from>
    <xdr:to>
      <xdr:col>7</xdr:col>
      <xdr:colOff>323850</xdr:colOff>
      <xdr:row>23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38100</xdr:rowOff>
    </xdr:from>
    <xdr:to>
      <xdr:col>1</xdr:col>
      <xdr:colOff>742949</xdr:colOff>
      <xdr:row>23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RowHeight="12" x14ac:dyDescent="0.2"/>
  <cols>
    <col min="1" max="1" width="9" style="3" customWidth="1"/>
    <col min="2" max="2" width="9.5703125" style="3" customWidth="1"/>
    <col min="3" max="4" width="9.85546875" style="3" customWidth="1"/>
    <col min="5" max="5" width="9.28515625" style="3" customWidth="1"/>
    <col min="6" max="6" width="9.85546875" style="3" customWidth="1"/>
    <col min="7" max="7" width="9.140625" style="3" customWidth="1"/>
    <col min="8" max="8" width="8.7109375" style="3" customWidth="1"/>
    <col min="9" max="9" width="9.140625" style="3" customWidth="1"/>
    <col min="10" max="10" width="11" style="3" customWidth="1"/>
    <col min="11" max="11" width="10.140625" style="3" customWidth="1"/>
    <col min="12" max="12" width="9.85546875" style="3" customWidth="1"/>
    <col min="13" max="13" width="10.4257812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40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x14ac:dyDescent="0.2">
      <c r="A27" s="29">
        <v>2023</v>
      </c>
      <c r="B27" s="10">
        <v>331.1</v>
      </c>
      <c r="C27" s="10">
        <v>356</v>
      </c>
      <c r="D27" s="10">
        <v>384.9</v>
      </c>
      <c r="E27" s="10">
        <v>317.39999999999998</v>
      </c>
      <c r="F27" s="35">
        <v>336.5</v>
      </c>
      <c r="G27" s="35">
        <v>316.7</v>
      </c>
      <c r="H27" s="35">
        <v>304.2</v>
      </c>
      <c r="I27" s="35">
        <v>321.60000000000002</v>
      </c>
      <c r="J27" s="35">
        <v>348.1</v>
      </c>
      <c r="K27" s="35">
        <v>341.8</v>
      </c>
      <c r="L27" s="35"/>
      <c r="M27" s="36"/>
    </row>
    <row r="28" spans="1:21" x14ac:dyDescent="0.2">
      <c r="D28" s="6"/>
      <c r="E28" s="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RowHeight="12" x14ac:dyDescent="0.2"/>
  <cols>
    <col min="1" max="1" width="24" style="3" customWidth="1"/>
    <col min="2" max="7" width="14" style="3" customWidth="1"/>
    <col min="8" max="16384" width="9.140625" style="3"/>
  </cols>
  <sheetData>
    <row r="2" spans="1:13" ht="12.75" x14ac:dyDescent="0.2">
      <c r="A2" s="146" t="s">
        <v>111</v>
      </c>
      <c r="B2" s="146"/>
      <c r="C2" s="146"/>
      <c r="D2" s="146"/>
      <c r="E2" s="146"/>
      <c r="F2" s="146"/>
      <c r="G2" s="146"/>
      <c r="H2" s="39"/>
      <c r="I2" s="39"/>
      <c r="J2" s="39"/>
      <c r="K2" s="39"/>
      <c r="L2" s="39"/>
      <c r="M2" s="39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34.5" customHeight="1" x14ac:dyDescent="0.2">
      <c r="A23" s="38" t="s">
        <v>25</v>
      </c>
      <c r="B23" s="24" t="s">
        <v>100</v>
      </c>
      <c r="C23" s="24" t="s">
        <v>101</v>
      </c>
      <c r="D23" s="24" t="s">
        <v>102</v>
      </c>
      <c r="E23" s="24" t="s">
        <v>103</v>
      </c>
      <c r="F23" s="24" t="s">
        <v>104</v>
      </c>
      <c r="G23" s="24" t="s">
        <v>105</v>
      </c>
    </row>
    <row r="24" spans="1:7" x14ac:dyDescent="0.2">
      <c r="A24" s="30" t="s">
        <v>26</v>
      </c>
      <c r="B24" s="121">
        <v>8</v>
      </c>
      <c r="C24" s="122">
        <v>7.4</v>
      </c>
      <c r="D24" s="122">
        <v>3.3</v>
      </c>
      <c r="E24" s="122">
        <v>1.5</v>
      </c>
      <c r="F24" s="122">
        <v>2.2000000000000002</v>
      </c>
      <c r="G24" s="123">
        <v>3</v>
      </c>
    </row>
    <row r="25" spans="1:7" x14ac:dyDescent="0.2">
      <c r="A25" s="31" t="s">
        <v>27</v>
      </c>
      <c r="B25" s="124">
        <v>3.9</v>
      </c>
      <c r="C25" s="125">
        <v>4.8</v>
      </c>
      <c r="D25" s="125">
        <v>4.7</v>
      </c>
      <c r="E25" s="125">
        <v>4.8</v>
      </c>
      <c r="F25" s="125">
        <v>4.8</v>
      </c>
      <c r="G25" s="126">
        <v>5.9</v>
      </c>
    </row>
    <row r="26" spans="1:7" x14ac:dyDescent="0.2">
      <c r="A26" s="31" t="s">
        <v>28</v>
      </c>
      <c r="B26" s="124">
        <v>79.3</v>
      </c>
      <c r="C26" s="125">
        <v>76.400000000000006</v>
      </c>
      <c r="D26" s="125">
        <v>84.9</v>
      </c>
      <c r="E26" s="125">
        <v>87.6</v>
      </c>
      <c r="F26" s="125">
        <v>84.9</v>
      </c>
      <c r="G26" s="126">
        <v>83.4</v>
      </c>
    </row>
    <row r="27" spans="1:7" x14ac:dyDescent="0.2">
      <c r="A27" s="31" t="s">
        <v>29</v>
      </c>
      <c r="B27" s="124">
        <v>1.9</v>
      </c>
      <c r="C27" s="125">
        <v>1.7</v>
      </c>
      <c r="D27" s="125">
        <v>2.4</v>
      </c>
      <c r="E27" s="125">
        <v>2.2999999999999998</v>
      </c>
      <c r="F27" s="125">
        <v>2.7</v>
      </c>
      <c r="G27" s="126">
        <v>2.6</v>
      </c>
    </row>
    <row r="28" spans="1:7" x14ac:dyDescent="0.2">
      <c r="A28" s="31" t="s">
        <v>45</v>
      </c>
      <c r="B28" s="124">
        <v>0.1</v>
      </c>
      <c r="C28" s="125">
        <v>0.1</v>
      </c>
      <c r="D28" s="125">
        <v>0.2</v>
      </c>
      <c r="E28" s="125">
        <v>0.2</v>
      </c>
      <c r="F28" s="125">
        <v>0.2</v>
      </c>
      <c r="G28" s="126">
        <v>0.2</v>
      </c>
    </row>
    <row r="29" spans="1:7" x14ac:dyDescent="0.2">
      <c r="A29" s="31" t="s">
        <v>46</v>
      </c>
      <c r="B29" s="124">
        <v>6.1</v>
      </c>
      <c r="C29" s="125">
        <v>9</v>
      </c>
      <c r="D29" s="125">
        <v>3.9</v>
      </c>
      <c r="E29" s="125">
        <v>3</v>
      </c>
      <c r="F29" s="125">
        <v>4.5</v>
      </c>
      <c r="G29" s="126">
        <v>4.3</v>
      </c>
    </row>
    <row r="30" spans="1:7" x14ac:dyDescent="0.2">
      <c r="A30" s="32" t="s">
        <v>47</v>
      </c>
      <c r="B30" s="127">
        <v>0.7</v>
      </c>
      <c r="C30" s="128">
        <v>0.6</v>
      </c>
      <c r="D30" s="128">
        <v>0.6</v>
      </c>
      <c r="E30" s="128">
        <v>0.6</v>
      </c>
      <c r="F30" s="128">
        <v>0.7</v>
      </c>
      <c r="G30" s="129">
        <v>0.6</v>
      </c>
    </row>
    <row r="35" spans="2:7" ht="15" x14ac:dyDescent="0.2">
      <c r="B35" s="50"/>
      <c r="C35" s="50"/>
      <c r="D35" s="51"/>
      <c r="E35" s="51"/>
      <c r="F35" s="51"/>
      <c r="G35" s="51"/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6.42578125" style="3" bestFit="1" customWidth="1"/>
    <col min="2" max="7" width="14.140625" style="3" customWidth="1"/>
    <col min="8" max="16384" width="9.140625" style="3"/>
  </cols>
  <sheetData>
    <row r="2" spans="1:13" ht="12.75" x14ac:dyDescent="0.2">
      <c r="A2" s="157" t="s">
        <v>116</v>
      </c>
      <c r="B2" s="157"/>
      <c r="C2" s="157"/>
      <c r="D2" s="157"/>
      <c r="E2" s="157"/>
      <c r="F2" s="157"/>
      <c r="G2" s="157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34.5" customHeight="1" x14ac:dyDescent="0.2">
      <c r="A22" s="20"/>
      <c r="B22" s="9" t="s">
        <v>105</v>
      </c>
      <c r="C22" s="9" t="s">
        <v>104</v>
      </c>
      <c r="D22" s="9" t="s">
        <v>103</v>
      </c>
      <c r="E22" s="9" t="s">
        <v>102</v>
      </c>
      <c r="F22" s="9" t="s">
        <v>101</v>
      </c>
      <c r="G22" s="9" t="s">
        <v>100</v>
      </c>
    </row>
    <row r="23" spans="1:7" ht="15" customHeight="1" x14ac:dyDescent="0.2">
      <c r="A23" s="16" t="s">
        <v>48</v>
      </c>
      <c r="B23" s="121">
        <v>49.3</v>
      </c>
      <c r="C23" s="122">
        <v>48.9</v>
      </c>
      <c r="D23" s="122">
        <v>45.8</v>
      </c>
      <c r="E23" s="122">
        <v>45.3</v>
      </c>
      <c r="F23" s="122">
        <v>46.3</v>
      </c>
      <c r="G23" s="123">
        <v>48.6</v>
      </c>
    </row>
    <row r="24" spans="1:7" ht="15" customHeight="1" x14ac:dyDescent="0.2">
      <c r="A24" s="17" t="s">
        <v>49</v>
      </c>
      <c r="B24" s="124">
        <v>24.3</v>
      </c>
      <c r="C24" s="125">
        <v>24</v>
      </c>
      <c r="D24" s="125">
        <v>24.7</v>
      </c>
      <c r="E24" s="125">
        <v>25.1</v>
      </c>
      <c r="F24" s="125">
        <v>24.9</v>
      </c>
      <c r="G24" s="126">
        <v>17.899999999999999</v>
      </c>
    </row>
    <row r="25" spans="1:7" ht="15.75" customHeight="1" x14ac:dyDescent="0.2">
      <c r="A25" s="18" t="s">
        <v>50</v>
      </c>
      <c r="B25" s="127">
        <v>26.4</v>
      </c>
      <c r="C25" s="128">
        <v>27.1</v>
      </c>
      <c r="D25" s="128">
        <v>29.5</v>
      </c>
      <c r="E25" s="128">
        <v>29.6</v>
      </c>
      <c r="F25" s="128">
        <v>28.8</v>
      </c>
      <c r="G25" s="129">
        <v>33.5</v>
      </c>
    </row>
    <row r="26" spans="1:7" x14ac:dyDescent="0.2">
      <c r="G26" s="6"/>
    </row>
    <row r="27" spans="1:7" x14ac:dyDescent="0.2">
      <c r="C27" s="107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6"/>
  <sheetViews>
    <sheetView workbookViewId="0">
      <selection activeCell="A2" sqref="A2:G2"/>
    </sheetView>
  </sheetViews>
  <sheetFormatPr defaultRowHeight="12" x14ac:dyDescent="0.2"/>
  <cols>
    <col min="1" max="1" width="22.85546875" style="3" customWidth="1"/>
    <col min="2" max="7" width="14.140625" style="3" customWidth="1"/>
    <col min="8" max="16384" width="9.140625" style="3"/>
  </cols>
  <sheetData>
    <row r="2" spans="1:10" ht="13.5" customHeight="1" x14ac:dyDescent="0.2">
      <c r="A2" s="146" t="s">
        <v>112</v>
      </c>
      <c r="B2" s="146"/>
      <c r="C2" s="146"/>
      <c r="D2" s="146"/>
      <c r="E2" s="146"/>
      <c r="F2" s="146"/>
      <c r="G2" s="146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39.75" customHeight="1" x14ac:dyDescent="0.2">
      <c r="A24" s="37"/>
      <c r="B24" s="9" t="s">
        <v>105</v>
      </c>
      <c r="C24" s="9" t="s">
        <v>104</v>
      </c>
      <c r="D24" s="9" t="s">
        <v>103</v>
      </c>
      <c r="E24" s="9" t="s">
        <v>102</v>
      </c>
      <c r="F24" s="9" t="s">
        <v>101</v>
      </c>
      <c r="G24" s="9" t="s">
        <v>100</v>
      </c>
    </row>
    <row r="25" spans="1:7" x14ac:dyDescent="0.2">
      <c r="A25" s="117" t="s">
        <v>33</v>
      </c>
      <c r="B25" s="14">
        <f>IF(OR(704860.97046="",704860.97046="***"),"-",704860.97046/4718168.92486*100)</f>
        <v>14.939290680036748</v>
      </c>
      <c r="C25" s="14">
        <f>IF(701357.34308="","-",701357.34308/4798692.63363*100)</f>
        <v>14.615592133673584</v>
      </c>
      <c r="D25" s="14">
        <f>IF(513670.18152="","-",513670.18152/4325799.3036*100)</f>
        <v>11.874572662039947</v>
      </c>
      <c r="E25" s="14">
        <f>IF(687629.13123="","-",687629.13123/5721069.63319*100)</f>
        <v>12.019240724510921</v>
      </c>
      <c r="F25" s="14">
        <f>IF(1295552.89283="","-",1295552.89283/7486893.14515*100)</f>
        <v>17.304279194491475</v>
      </c>
      <c r="G25" s="11">
        <f>IF(1083138.29608="","-",1083138.29608/7126566.5717*100)</f>
        <v>15.198599285961961</v>
      </c>
    </row>
    <row r="26" spans="1:7" x14ac:dyDescent="0.2">
      <c r="A26" s="118" t="s">
        <v>94</v>
      </c>
      <c r="B26" s="15">
        <f>IF(OR(495166.27571="",495166.27571="***"),"-",495166.27571/4718168.92486*100)</f>
        <v>10.494882307010508</v>
      </c>
      <c r="C26" s="15">
        <f>IF(493371.68709="","-",493371.68709/4798692.63363*100)</f>
        <v>10.28137713243755</v>
      </c>
      <c r="D26" s="15">
        <f>IF(508457.31741="","-",508457.31741/4325799.3036*100)</f>
        <v>11.754066282891433</v>
      </c>
      <c r="E26" s="15">
        <f>IF(664924.43339="","-",664924.43339/5721069.63319*100)</f>
        <v>11.622379660134396</v>
      </c>
      <c r="F26" s="15">
        <f>IF(764840.74703="","-",764840.74703/7486893.14515*100)</f>
        <v>10.215729438124315</v>
      </c>
      <c r="G26" s="120">
        <f>IF(828287.99058="","-",828287.99058/7126566.5717*100)</f>
        <v>11.622539160290433</v>
      </c>
    </row>
    <row r="27" spans="1:7" x14ac:dyDescent="0.2">
      <c r="A27" s="118" t="s">
        <v>38</v>
      </c>
      <c r="B27" s="15">
        <f>IF(OR(476372.51382="",476372.51382="***"),"-",476372.51382/4718168.92486*100)</f>
        <v>10.096554858601957</v>
      </c>
      <c r="C27" s="15">
        <f>IF(477622.95731="","-",477622.95731/4798692.63363*100)</f>
        <v>9.9531892074675188</v>
      </c>
      <c r="D27" s="15">
        <f>IF(432121.74317="","-",432121.74317/4325799.3036*100)</f>
        <v>9.9894080340338789</v>
      </c>
      <c r="E27" s="15">
        <f>IF(539946.24131="","-",539946.24131/5721069.63319*100)</f>
        <v>9.4378547357224249</v>
      </c>
      <c r="F27" s="15">
        <f>IF(727535.05888="","-",727535.05888/7486893.14515*100)</f>
        <v>9.7174494783767056</v>
      </c>
      <c r="G27" s="120">
        <f>IF(819983.3252="","-",819983.3252/7126566.5717*100)</f>
        <v>11.50600807485894</v>
      </c>
    </row>
    <row r="28" spans="1:7" x14ac:dyDescent="0.2">
      <c r="A28" s="118" t="s">
        <v>35</v>
      </c>
      <c r="B28" s="15">
        <f>IF(OR(273952.99189="",273952.99189="***"),"-",273952.99189/4718168.92486*100)</f>
        <v>5.8063413212389152</v>
      </c>
      <c r="C28" s="15">
        <f>IF(323158.83836="","-",323158.83836/4798692.63363*100)</f>
        <v>6.7343100096732913</v>
      </c>
      <c r="D28" s="15">
        <f>IF(302650.3442="","-",302650.3442/4325799.3036*100)</f>
        <v>6.9964028138829626</v>
      </c>
      <c r="E28" s="15">
        <f>IF(428342.4325="","-",428342.4325/5721069.63319*100)</f>
        <v>7.4871039851539329</v>
      </c>
      <c r="F28" s="15">
        <f>IF(529324.49453="","-",529324.49453/7486893.14515*100)</f>
        <v>7.0700153490623237</v>
      </c>
      <c r="G28" s="120">
        <f>IF(627933.58424="","-",627933.58424/7126566.5717*100)</f>
        <v>8.8111656282502135</v>
      </c>
    </row>
    <row r="29" spans="1:7" x14ac:dyDescent="0.2">
      <c r="A29" s="118" t="s">
        <v>34</v>
      </c>
      <c r="B29" s="15">
        <f>IF(OR(401638.28799="",401638.28799="***"),"-",401638.28799/4718168.92486*100)</f>
        <v>8.5125881329464601</v>
      </c>
      <c r="C29" s="15">
        <f>IF(399024.58471="","-",399024.58471/4798692.63363*100)</f>
        <v>8.31527699677142</v>
      </c>
      <c r="D29" s="15">
        <f>IF(361349.29444="","-",361349.29444/4325799.3036*100)</f>
        <v>8.3533531973912716</v>
      </c>
      <c r="E29" s="15">
        <f>IF(446094.71229="","-",446094.71229/5721069.63319*100)</f>
        <v>7.7974005018579522</v>
      </c>
      <c r="F29" s="15">
        <f>IF(481100.30621="","-",481100.30621/7486893.14515*100)</f>
        <v>6.425900528868322</v>
      </c>
      <c r="G29" s="120">
        <f>IF(507680.37715="","-",507680.37715/7126566.5717*100)</f>
        <v>7.1237723248952385</v>
      </c>
    </row>
    <row r="30" spans="1:7" x14ac:dyDescent="0.2">
      <c r="A30" s="118" t="s">
        <v>36</v>
      </c>
      <c r="B30" s="15">
        <f>IF(OR(325485.80221="",325485.80221="***"),"-",325485.80221/4718168.92486*100)</f>
        <v>6.898561865706367</v>
      </c>
      <c r="C30" s="15">
        <f>IF(336243.34045="","-",336243.34045/4798692.63363*100)</f>
        <v>7.0069780692673094</v>
      </c>
      <c r="D30" s="15">
        <f>IF(277658.81248="","-",277658.81248/4325799.3036*100)</f>
        <v>6.4186707009020934</v>
      </c>
      <c r="E30" s="15">
        <f>IF(366003.73959="","-",366003.73959/5721069.63319*100)</f>
        <v>6.3974704566901188</v>
      </c>
      <c r="F30" s="15">
        <f>IF(364208.64408="","-",364208.64408/7486893.14515*100)</f>
        <v>4.8646165641609818</v>
      </c>
      <c r="G30" s="120">
        <f>IF(392352.03898="","-",392352.03898/7126566.5717*100)</f>
        <v>5.5054847945720766</v>
      </c>
    </row>
    <row r="31" spans="1:7" x14ac:dyDescent="0.2">
      <c r="A31" s="118" t="s">
        <v>92</v>
      </c>
      <c r="B31" s="15">
        <f>IF(OR(545189.6438="",545189.6438="***"),"-",545189.6438/4718168.92486*100)</f>
        <v>11.555110732203747</v>
      </c>
      <c r="C31" s="15">
        <f>IF(547754.29408="","-",547754.29408/4798692.63363*100)</f>
        <v>11.414656780499984</v>
      </c>
      <c r="D31" s="15">
        <f>IF(472842.78069="","-",472842.78069/4325799.3036*100)</f>
        <v>10.930760941601998</v>
      </c>
      <c r="E31" s="15">
        <f>IF(752561.75961="","-",752561.75961/5721069.63319*100)</f>
        <v>13.154214296643344</v>
      </c>
      <c r="F31" s="15">
        <f>IF(991961.59433="","-",991961.59433/7486893.14515*100)</f>
        <v>13.24930882675401</v>
      </c>
      <c r="G31" s="120">
        <f>IF(277928.28995="","-",277928.28995/7126566.5717*100)</f>
        <v>3.8998904613291483</v>
      </c>
    </row>
    <row r="32" spans="1:7" x14ac:dyDescent="0.2">
      <c r="A32" s="118" t="s">
        <v>37</v>
      </c>
      <c r="B32" s="15">
        <f>IF(OR(166181.85778="",166181.85778="***"),"-",166181.85778/4718168.92486*100)</f>
        <v>3.5221684604039698</v>
      </c>
      <c r="C32" s="15">
        <f>IF(164485.2882="","-",164485.2882/4798692.63363*100)</f>
        <v>3.4277104361146407</v>
      </c>
      <c r="D32" s="15">
        <f>IF(175340.28438="","-",175340.28438/4325799.3036*100)</f>
        <v>4.0533615194324657</v>
      </c>
      <c r="E32" s="15">
        <f>IF(213532.8762="","-",213532.8762/5721069.63319*100)</f>
        <v>3.7323942879705281</v>
      </c>
      <c r="F32" s="15">
        <f>IF(251874.76622="","-",251874.76622/7486893.14515*100)</f>
        <v>3.3642094435816028</v>
      </c>
      <c r="G32" s="120">
        <f>IF(261548.17114="","-",261548.17114/7126566.5717*100)</f>
        <v>3.6700445931231824</v>
      </c>
    </row>
    <row r="33" spans="1:7" x14ac:dyDescent="0.2">
      <c r="A33" s="118" t="s">
        <v>95</v>
      </c>
      <c r="B33" s="15">
        <f>IF(OR(24773.29902="",24773.29902="***"),"-",24773.29902/4718168.92486*100)</f>
        <v>0.52506172234465065</v>
      </c>
      <c r="C33" s="15">
        <f>IF(29479.46223="","-",29479.46223/4798692.63363*100)</f>
        <v>0.61432278498946258</v>
      </c>
      <c r="D33" s="15">
        <f>IF(32767.56654="","-",32767.56654/4325799.3036*100)</f>
        <v>0.757491604215903</v>
      </c>
      <c r="E33" s="15">
        <f>IF(36673.67741="","-",36673.67741/5721069.63319*100)</f>
        <v>0.6410283349330812</v>
      </c>
      <c r="F33" s="15">
        <f>IF(213683.46622="","-",213683.46622/7486893.14515*100)</f>
        <v>2.8541006539999021</v>
      </c>
      <c r="G33" s="120">
        <f>IF(183262.26592="","-",183262.26592/7126566.5717*100)</f>
        <v>2.5715365748177366</v>
      </c>
    </row>
    <row r="34" spans="1:7" x14ac:dyDescent="0.2">
      <c r="A34" s="118" t="s">
        <v>93</v>
      </c>
      <c r="B34" s="15">
        <f>IF(OR(111446.15686="",111446.15686="***"),"-",111446.15686/4718168.92486*100)</f>
        <v>2.3620637292741038</v>
      </c>
      <c r="C34" s="15">
        <f>IF(119578.059="","-",119578.059/4798692.63363*100)</f>
        <v>2.4918882731095957</v>
      </c>
      <c r="D34" s="15">
        <f>IF(98371.49939="","-",98371.49939/4325799.3036*100)</f>
        <v>2.2740652648432778</v>
      </c>
      <c r="E34" s="15">
        <f>IF(140155.71639="","-",140155.71639/5721069.63319*100)</f>
        <v>2.4498166492661766</v>
      </c>
      <c r="F34" s="15">
        <f>IF(152119.92295="","-",152119.92295/7486893.14515*100)</f>
        <v>2.0318164023556702</v>
      </c>
      <c r="G34" s="120">
        <f>IF(171729.87347="","-",171729.87347/7126566.5717*100)</f>
        <v>2.4097140150482708</v>
      </c>
    </row>
    <row r="35" spans="1:7" x14ac:dyDescent="0.2">
      <c r="A35" s="118" t="s">
        <v>40</v>
      </c>
      <c r="B35" s="15">
        <f>IF(OR(94697.40823="",94697.40823="***"),"-",94697.40823/4718168.92486*100)</f>
        <v>2.0070796475946424</v>
      </c>
      <c r="C35" s="15">
        <f>IF(93328.59869="","-",93328.59869/4798692.63363*100)</f>
        <v>1.9448755278872909</v>
      </c>
      <c r="D35" s="15">
        <f>IF(82966.12953="","-",82966.12953/4325799.3036*100)</f>
        <v>1.9179375580590217</v>
      </c>
      <c r="E35" s="15">
        <f>IF(101417.63121="","-",101417.63121/5721069.63319*100)</f>
        <v>1.772704017123643</v>
      </c>
      <c r="F35" s="15">
        <f>IF(150405.40616="","-",150405.40616/7486893.14515*100)</f>
        <v>2.0089161584659778</v>
      </c>
      <c r="G35" s="120">
        <f>IF(152854.06296="","-",152854.06296/7126566.5717*100)</f>
        <v>2.1448485946513456</v>
      </c>
    </row>
    <row r="36" spans="1:7" ht="13.5" customHeight="1" x14ac:dyDescent="0.2">
      <c r="A36" s="118" t="s">
        <v>58</v>
      </c>
      <c r="B36" s="15">
        <f>IF(OR(70803.01415="",70803.01415="***"),"-",70803.01415/4718168.92486*100)</f>
        <v>1.5006460191990882</v>
      </c>
      <c r="C36" s="15">
        <f>IF(93235.99267="","-",93235.99267/4798692.63363*100)</f>
        <v>1.9429457101833814</v>
      </c>
      <c r="D36" s="15">
        <f>IF(76388.78536="","-",76388.78536/4325799.3036*100)</f>
        <v>1.7658883364382625</v>
      </c>
      <c r="E36" s="15">
        <f>IF(93978.38889="","-",93978.38889/5721069.63319*100)</f>
        <v>1.6426716491055673</v>
      </c>
      <c r="F36" s="15">
        <f>IF(110746.97053="","-",110746.97053/7486893.14515*100)</f>
        <v>1.479211314799407</v>
      </c>
      <c r="G36" s="120">
        <f>IF(129168.67709="","-",129168.67709/7126566.5717*100)</f>
        <v>1.8124952007455615</v>
      </c>
    </row>
    <row r="37" spans="1:7" ht="12" customHeight="1" x14ac:dyDescent="0.2">
      <c r="A37" s="118" t="s">
        <v>42</v>
      </c>
      <c r="B37" s="15">
        <f>IF(OR(54630.62425="",54630.62425="***"),"-",54630.62425/4718168.92486*100)</f>
        <v>1.1578776665276145</v>
      </c>
      <c r="C37" s="15">
        <f>IF(47747.56646="","-",47747.56646/4798692.63363*100)</f>
        <v>0.99501197733268998</v>
      </c>
      <c r="D37" s="15">
        <f>IF(51903.73933="","-",51903.73933/4325799.3036*100)</f>
        <v>1.1998647114026963</v>
      </c>
      <c r="E37" s="15">
        <f>IF(68060.36523="","-",68060.36523/5721069.63319*100)</f>
        <v>1.1896440629765652</v>
      </c>
      <c r="F37" s="15">
        <f>IF(115718.68348="","-",115718.68348/7486893.14515*100)</f>
        <v>1.5456168698622663</v>
      </c>
      <c r="G37" s="120">
        <f>IF(119532.71206="","-",119532.71206/7126566.5717*100)</f>
        <v>1.677283315287774</v>
      </c>
    </row>
    <row r="38" spans="1:7" ht="11.25" customHeight="1" x14ac:dyDescent="0.2">
      <c r="A38" s="118" t="s">
        <v>57</v>
      </c>
      <c r="B38" s="15">
        <f>IF(OR(19317.43087="",19317.43087="***"),"-",19317.43087/4718168.92486*100)</f>
        <v>0.40942643592552586</v>
      </c>
      <c r="C38" s="15">
        <f>IF(18324.46215="","-",18324.46215/4798692.63363*100)</f>
        <v>0.38186363555730279</v>
      </c>
      <c r="D38" s="15">
        <f>IF(19621.10915="","-",19621.10915/4325799.3036*100)</f>
        <v>0.45358343679215524</v>
      </c>
      <c r="E38" s="15">
        <f>IF(36830.30232="","-",36830.30232/5721069.63319*100)</f>
        <v>0.64376602071637201</v>
      </c>
      <c r="F38" s="15">
        <f>IF(53139.31031="","-",53139.31031/7486893.14515*100)</f>
        <v>0.70976450818486148</v>
      </c>
      <c r="G38" s="120">
        <f>IF(118293.2326="","-",118293.2326/7126566.5717*100)</f>
        <v>1.6598909363977479</v>
      </c>
    </row>
    <row r="39" spans="1:7" x14ac:dyDescent="0.2">
      <c r="A39" s="118" t="s">
        <v>59</v>
      </c>
      <c r="B39" s="15">
        <f>IF(OR(60678.00942="",60678.00942="***"),"-",60678.00942/4718168.92486*100)</f>
        <v>1.2860499568018429</v>
      </c>
      <c r="C39" s="15">
        <f>IF(62899.00932="","-",62899.00932/4798692.63363*100)</f>
        <v>1.3107530346743559</v>
      </c>
      <c r="D39" s="15">
        <f>IF(54133.35996="","-",54133.35996/4325799.3036*100)</f>
        <v>1.2514071079291482</v>
      </c>
      <c r="E39" s="15">
        <f>IF(86270.2289="","-",86270.2289/5721069.63319*100)</f>
        <v>1.5079388022043134</v>
      </c>
      <c r="F39" s="15">
        <f>IF(113361.44969="","-",113361.44969/7486893.14515*100)</f>
        <v>1.5141320637577871</v>
      </c>
      <c r="G39" s="120">
        <f>IF(98085.58545="","-",98085.58545/7126566.5717*100)</f>
        <v>1.3763371809295015</v>
      </c>
    </row>
    <row r="40" spans="1:7" x14ac:dyDescent="0.2">
      <c r="A40" s="118" t="s">
        <v>41</v>
      </c>
      <c r="B40" s="15">
        <f>IF(OR(63261.34573="",63261.34573="***"),"-",63261.34573/4718168.92486*100)</f>
        <v>1.3408028991220811</v>
      </c>
      <c r="C40" s="15">
        <f>IF(66680.15756="","-",66680.15756/4798692.63363*100)</f>
        <v>1.3895484176814092</v>
      </c>
      <c r="D40" s="15">
        <f>IF(62819.99937="","-",62819.99937/4325799.3036*100)</f>
        <v>1.4522171501974255</v>
      </c>
      <c r="E40" s="15">
        <f>IF(75425.22895="","-",75425.22895/5721069.63319*100)</f>
        <v>1.3183763489336136</v>
      </c>
      <c r="F40" s="15">
        <f>IF(88147.0459="","-",88147.0459/7486893.14515*100)</f>
        <v>1.1773514619625838</v>
      </c>
      <c r="G40" s="120">
        <f>IF(97453.64615="","-",97453.64615/7126566.5717*100)</f>
        <v>1.3674698070876647</v>
      </c>
    </row>
    <row r="41" spans="1:7" x14ac:dyDescent="0.2">
      <c r="A41" s="118" t="s">
        <v>97</v>
      </c>
      <c r="B41" s="15">
        <f>IF(OR(45197.06256="",45197.06256="***"),"-",45197.06256/4718168.92486*100)</f>
        <v>0.95793650629711435</v>
      </c>
      <c r="C41" s="15">
        <f>IF(41002.15422="","-",41002.15422/4798692.63363*100)</f>
        <v>0.85444426952146069</v>
      </c>
      <c r="D41" s="15">
        <f>IF(43444.75648="","-",43444.75648/4325799.3036*100)</f>
        <v>1.0043174320141151</v>
      </c>
      <c r="E41" s="15">
        <f>IF(54142.80719="","-",54142.80719/5721069.63319*100)</f>
        <v>0.94637560214086425</v>
      </c>
      <c r="F41" s="15">
        <f>IF(57717.96184="","-",57717.96184/7486893.14515*100)</f>
        <v>0.77092006952696568</v>
      </c>
      <c r="G41" s="120">
        <f>IF(81493.50431="","-",81493.50431/7126566.5717*100)</f>
        <v>1.1435170567775979</v>
      </c>
    </row>
    <row r="42" spans="1:7" x14ac:dyDescent="0.2">
      <c r="A42" s="118" t="s">
        <v>96</v>
      </c>
      <c r="B42" s="15">
        <f>IF(OR(88073.26069="",88073.26069="***"),"-",88073.26069/4718168.92486*100)</f>
        <v>1.8666830732986812</v>
      </c>
      <c r="C42" s="15">
        <f>IF(77995.20255="","-",77995.20255/4798692.63363*100)</f>
        <v>1.6253427444674666</v>
      </c>
      <c r="D42" s="15">
        <f>IF(49264.65442="","-",49264.65442/4325799.3036*100)</f>
        <v>1.1388566820240864</v>
      </c>
      <c r="E42" s="15">
        <f>IF(83449.21523="","-",83449.21523/5721069.63319*100)</f>
        <v>1.4586296021618201</v>
      </c>
      <c r="F42" s="15">
        <f>IF(68829.82809="","-",68829.82809/7486893.14515*100)</f>
        <v>0.91933765789869548</v>
      </c>
      <c r="G42" s="120">
        <f>IF(73266.0831="","-",73266.0831/7126566.5717*100)</f>
        <v>1.0280698617331911</v>
      </c>
    </row>
    <row r="43" spans="1:7" x14ac:dyDescent="0.2">
      <c r="A43" s="118" t="s">
        <v>39</v>
      </c>
      <c r="B43" s="15">
        <f>IF(OR(103829.87086="",103829.87086="***"),"-",103829.87086/4718168.92486*100)</f>
        <v>2.2006391147404902</v>
      </c>
      <c r="C43" s="15">
        <f>IF(108853.01703="","-",108853.01703/4798692.63363*100)</f>
        <v>2.2683890246927003</v>
      </c>
      <c r="D43" s="15">
        <f>IF(93141.56839="","-",93141.56839/4325799.3036*100)</f>
        <v>2.1531643484358156</v>
      </c>
      <c r="E43" s="15">
        <f>IF(112028.03215="","-",112028.03215/5721069.63319*100)</f>
        <v>1.9581658559106632</v>
      </c>
      <c r="F43" s="15">
        <f>IF(81923.79558="","-",81923.79558/7486893.14515*100)</f>
        <v>1.0942295287474502</v>
      </c>
      <c r="G43" s="120">
        <f>IF(71846.1849="","-",71846.1849/7126566.5717*100)</f>
        <v>1.0081458466311852</v>
      </c>
    </row>
    <row r="44" spans="1:7" ht="12" customHeight="1" x14ac:dyDescent="0.2">
      <c r="A44" s="118" t="s">
        <v>98</v>
      </c>
      <c r="B44" s="15">
        <f>IF(OR(26830.30568="",26830.30568="***"),"-",26830.30568/4718168.92486*100)</f>
        <v>0.56865928514410125</v>
      </c>
      <c r="C44" s="15">
        <f>IF(27618.81841="","-",27618.81841/4798692.63363*100)</f>
        <v>0.57554881128336777</v>
      </c>
      <c r="D44" s="15">
        <f>IF(23969.0611="","-",23969.0611/4325799.3036*100)</f>
        <v>0.55409554206670097</v>
      </c>
      <c r="E44" s="15">
        <f>IF(32205.23501="","-",32205.23501/5721069.63319*100)</f>
        <v>0.56292331810061791</v>
      </c>
      <c r="F44" s="15">
        <f>IF(50444.94285="","-",50444.94285/7486893.14515*100)</f>
        <v>0.67377671715106779</v>
      </c>
      <c r="G44" s="120">
        <f>IF(69195.63171="","-",69195.63171/7126566.5717*100)</f>
        <v>0.97095327762431594</v>
      </c>
    </row>
    <row r="45" spans="1:7" x14ac:dyDescent="0.2">
      <c r="A45" s="118" t="s">
        <v>74</v>
      </c>
      <c r="B45" s="15">
        <f>IF(OR(48993.59018="",48993.59018="***"),"-",48993.59018/4718168.92486*100)</f>
        <v>1.0384026295000399</v>
      </c>
      <c r="C45" s="15">
        <f>IF(47528.18611="","-",47528.18611/4798692.63363*100)</f>
        <v>0.99044030819800644</v>
      </c>
      <c r="D45" s="15">
        <f>IF(46127.48813="","-",46127.48813/4325799.3036*100)</f>
        <v>1.0663344481010009</v>
      </c>
      <c r="E45" s="15">
        <f>IF(60918.93366="","-",60918.93366/5721069.63319*100)</f>
        <v>1.0648172031780065</v>
      </c>
      <c r="F45" s="15">
        <f>IF(73353.04666="","-",73353.04666/7486893.14515*100)</f>
        <v>0.97975281919868218</v>
      </c>
      <c r="G45" s="120">
        <f>IF(68504.74508="","-",68504.74508/7126566.5717*100)</f>
        <v>0.96125875470014155</v>
      </c>
    </row>
    <row r="46" spans="1:7" x14ac:dyDescent="0.2">
      <c r="A46" s="119" t="s">
        <v>110</v>
      </c>
      <c r="B46" s="10">
        <f>IF(OR(48420.95825="",48420.95825="***"),"-",48420.95825/4718168.92486*100)</f>
        <v>1.0262658887618523</v>
      </c>
      <c r="C46" s="10">
        <f>IF(46868.68347="","-",46868.68347/4798692.63363*100)</f>
        <v>0.97669692660740193</v>
      </c>
      <c r="D46" s="10">
        <f>IF(39221.38907="","-",39221.38907/4325799.3036*100)</f>
        <v>0.90668536187888615</v>
      </c>
      <c r="E46" s="10">
        <f>IF(52159.99976="","-",52159.99976/5721069.63319*100)</f>
        <v>0.91171761758327352</v>
      </c>
      <c r="F46" s="10">
        <f>IF(57848.05114="","-",57848.05114/7486893.14515*100)</f>
        <v>0.77265763005411525</v>
      </c>
      <c r="G46" s="12">
        <f>IF(63074.95658="","-",63074.95658/7126566.5717*100)</f>
        <v>0.88506794885596429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7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40" t="s">
        <v>83</v>
      </c>
      <c r="B2" s="140"/>
      <c r="C2" s="140"/>
      <c r="D2" s="140"/>
      <c r="E2" s="140"/>
      <c r="F2" s="140"/>
      <c r="G2" s="140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3" t="s">
        <v>108</v>
      </c>
      <c r="B27" s="37" t="s">
        <v>44</v>
      </c>
    </row>
    <row r="28" spans="1:6" x14ac:dyDescent="0.2">
      <c r="A28" s="114" t="s">
        <v>77</v>
      </c>
      <c r="B28" s="130">
        <v>16.600000000000001</v>
      </c>
    </row>
    <row r="29" spans="1:6" ht="13.5" customHeight="1" x14ac:dyDescent="0.2">
      <c r="A29" s="115" t="s">
        <v>65</v>
      </c>
      <c r="B29" s="131">
        <v>6.3</v>
      </c>
    </row>
    <row r="30" spans="1:6" x14ac:dyDescent="0.2">
      <c r="A30" s="115" t="s">
        <v>75</v>
      </c>
      <c r="B30" s="131">
        <v>5.9</v>
      </c>
    </row>
    <row r="31" spans="1:6" x14ac:dyDescent="0.2">
      <c r="A31" s="115" t="s">
        <v>70</v>
      </c>
      <c r="B31" s="131">
        <v>8.8000000000000007</v>
      </c>
    </row>
    <row r="32" spans="1:6" x14ac:dyDescent="0.2">
      <c r="A32" s="115" t="s">
        <v>78</v>
      </c>
      <c r="B32" s="131">
        <v>3.6</v>
      </c>
    </row>
    <row r="33" spans="1:5" x14ac:dyDescent="0.2">
      <c r="A33" s="115" t="s">
        <v>64</v>
      </c>
      <c r="B33" s="131">
        <v>3.1</v>
      </c>
    </row>
    <row r="34" spans="1:5" x14ac:dyDescent="0.2">
      <c r="A34" s="115" t="s">
        <v>73</v>
      </c>
      <c r="B34" s="131">
        <v>2.8</v>
      </c>
    </row>
    <row r="35" spans="1:5" x14ac:dyDescent="0.2">
      <c r="A35" s="115" t="s">
        <v>80</v>
      </c>
      <c r="B35" s="134">
        <v>2.1</v>
      </c>
    </row>
    <row r="36" spans="1:5" x14ac:dyDescent="0.2">
      <c r="A36" s="115" t="s">
        <v>71</v>
      </c>
      <c r="B36" s="134">
        <v>3.4</v>
      </c>
    </row>
    <row r="37" spans="1:5" x14ac:dyDescent="0.2">
      <c r="A37" s="115" t="s">
        <v>61</v>
      </c>
      <c r="B37" s="134">
        <v>2</v>
      </c>
    </row>
    <row r="38" spans="1:5" x14ac:dyDescent="0.2">
      <c r="A38" s="115" t="s">
        <v>67</v>
      </c>
      <c r="B38" s="134">
        <v>2.2000000000000002</v>
      </c>
    </row>
    <row r="39" spans="1:5" x14ac:dyDescent="0.2">
      <c r="A39" s="115" t="s">
        <v>91</v>
      </c>
      <c r="B39" s="134">
        <v>2.2999999999999998</v>
      </c>
    </row>
    <row r="40" spans="1:5" x14ac:dyDescent="0.2">
      <c r="A40" s="115" t="s">
        <v>76</v>
      </c>
      <c r="B40" s="134">
        <v>1.9</v>
      </c>
    </row>
    <row r="41" spans="1:5" x14ac:dyDescent="0.2">
      <c r="A41" s="116" t="s">
        <v>68</v>
      </c>
      <c r="B41" s="135">
        <v>39</v>
      </c>
    </row>
    <row r="42" spans="1:5" x14ac:dyDescent="0.2">
      <c r="A42" s="103"/>
      <c r="B42" s="33"/>
    </row>
    <row r="43" spans="1:5" ht="11.25" customHeight="1" x14ac:dyDescent="0.2">
      <c r="A43" s="93" t="s">
        <v>109</v>
      </c>
      <c r="B43" s="104" t="s">
        <v>44</v>
      </c>
    </row>
    <row r="44" spans="1:5" ht="12.75" customHeight="1" x14ac:dyDescent="0.2">
      <c r="A44" s="114" t="s">
        <v>77</v>
      </c>
      <c r="B44" s="136">
        <v>15.9</v>
      </c>
      <c r="E44" s="99"/>
    </row>
    <row r="45" spans="1:5" ht="12.75" customHeight="1" x14ac:dyDescent="0.2">
      <c r="A45" s="115" t="s">
        <v>65</v>
      </c>
      <c r="B45" s="137">
        <v>7.7</v>
      </c>
      <c r="E45" s="99"/>
    </row>
    <row r="46" spans="1:5" ht="12.75" customHeight="1" x14ac:dyDescent="0.2">
      <c r="A46" s="115" t="s">
        <v>75</v>
      </c>
      <c r="B46" s="137">
        <v>6.9</v>
      </c>
      <c r="E46" s="99"/>
    </row>
    <row r="47" spans="1:5" ht="12.75" customHeight="1" x14ac:dyDescent="0.2">
      <c r="A47" s="115" t="s">
        <v>70</v>
      </c>
      <c r="B47" s="137">
        <v>6.1</v>
      </c>
      <c r="E47" s="99"/>
    </row>
    <row r="48" spans="1:5" ht="12.75" customHeight="1" x14ac:dyDescent="0.2">
      <c r="A48" s="115" t="s">
        <v>78</v>
      </c>
      <c r="B48" s="137">
        <v>3.5</v>
      </c>
      <c r="E48" s="99"/>
    </row>
    <row r="49" spans="1:5" ht="12.75" customHeight="1" x14ac:dyDescent="0.2">
      <c r="A49" s="115" t="s">
        <v>64</v>
      </c>
      <c r="B49" s="137">
        <v>3.5</v>
      </c>
      <c r="E49" s="99"/>
    </row>
    <row r="50" spans="1:5" ht="12.75" customHeight="1" x14ac:dyDescent="0.2">
      <c r="A50" s="115" t="s">
        <v>73</v>
      </c>
      <c r="B50" s="137">
        <v>2.9</v>
      </c>
      <c r="E50" s="99"/>
    </row>
    <row r="51" spans="1:5" ht="12.75" customHeight="1" x14ac:dyDescent="0.2">
      <c r="A51" s="115" t="s">
        <v>80</v>
      </c>
      <c r="B51" s="133">
        <v>2.6</v>
      </c>
      <c r="E51" s="99"/>
    </row>
    <row r="52" spans="1:5" ht="12.75" customHeight="1" x14ac:dyDescent="0.2">
      <c r="A52" s="115" t="s">
        <v>71</v>
      </c>
      <c r="B52" s="133">
        <v>2.6</v>
      </c>
      <c r="E52" s="99"/>
    </row>
    <row r="53" spans="1:5" ht="12.75" customHeight="1" x14ac:dyDescent="0.2">
      <c r="A53" s="115" t="s">
        <v>61</v>
      </c>
      <c r="B53" s="133">
        <v>2.5</v>
      </c>
      <c r="E53" s="99"/>
    </row>
    <row r="54" spans="1:5" ht="12.75" customHeight="1" x14ac:dyDescent="0.2">
      <c r="A54" s="115" t="s">
        <v>67</v>
      </c>
      <c r="B54" s="133">
        <v>2.5</v>
      </c>
      <c r="E54" s="99"/>
    </row>
    <row r="55" spans="1:5" ht="12.75" customHeight="1" x14ac:dyDescent="0.2">
      <c r="A55" s="115" t="s">
        <v>91</v>
      </c>
      <c r="B55" s="133">
        <v>2.2999999999999998</v>
      </c>
      <c r="E55" s="99"/>
    </row>
    <row r="56" spans="1:5" ht="12.75" customHeight="1" x14ac:dyDescent="0.2">
      <c r="A56" s="115" t="s">
        <v>76</v>
      </c>
      <c r="B56" s="133">
        <v>2.1</v>
      </c>
      <c r="E56" s="99"/>
    </row>
    <row r="57" spans="1:5" ht="12.75" customHeight="1" x14ac:dyDescent="0.2">
      <c r="A57" s="116" t="s">
        <v>68</v>
      </c>
      <c r="B57" s="138">
        <v>38.9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9.140625" style="3"/>
    <col min="2" max="2" width="9.85546875" style="3" customWidth="1"/>
    <col min="3" max="3" width="9.7109375" style="3" customWidth="1"/>
    <col min="4" max="4" width="10" style="3" customWidth="1"/>
    <col min="5" max="6" width="9.7109375" style="3" customWidth="1"/>
    <col min="7" max="7" width="9.5703125" style="3" customWidth="1"/>
    <col min="8" max="9" width="9.140625" style="3"/>
    <col min="10" max="10" width="10.7109375" style="3" customWidth="1"/>
    <col min="11" max="11" width="10.85546875" style="3" customWidth="1"/>
    <col min="12" max="12" width="10.42578125" style="3" customWidth="1"/>
    <col min="13" max="13" width="10.5703125" style="3" customWidth="1"/>
    <col min="14" max="16384" width="9.140625" style="3"/>
  </cols>
  <sheetData>
    <row r="2" spans="1:13" ht="12.75" x14ac:dyDescent="0.2">
      <c r="A2" s="146" t="s">
        <v>88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-373.2</v>
      </c>
      <c r="F28" s="35">
        <v>-372.7</v>
      </c>
      <c r="G28" s="35">
        <v>-348.9</v>
      </c>
      <c r="H28" s="35">
        <v>-335.3</v>
      </c>
      <c r="I28" s="35">
        <v>-377.3</v>
      </c>
      <c r="J28" s="35">
        <v>-354</v>
      </c>
      <c r="K28" s="35">
        <v>-371.9</v>
      </c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A2" sqref="A2:F2"/>
    </sheetView>
  </sheetViews>
  <sheetFormatPr defaultRowHeight="12" x14ac:dyDescent="0.2"/>
  <cols>
    <col min="1" max="1" width="22.570312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51" t="s">
        <v>117</v>
      </c>
      <c r="B2" s="151"/>
      <c r="C2" s="151"/>
      <c r="D2" s="151"/>
      <c r="E2" s="151"/>
      <c r="F2" s="151"/>
      <c r="G2" s="39"/>
      <c r="H2" s="39"/>
      <c r="I2" s="39"/>
      <c r="J2" s="39"/>
      <c r="K2" s="39"/>
      <c r="L2" s="39"/>
      <c r="M2" s="39"/>
    </row>
    <row r="3" spans="1:13" x14ac:dyDescent="0.2">
      <c r="A3" s="73"/>
      <c r="B3" s="73"/>
      <c r="C3" s="73"/>
      <c r="D3" s="73"/>
      <c r="E3" s="73"/>
      <c r="F3" s="73"/>
      <c r="G3" s="39"/>
      <c r="H3" s="39"/>
      <c r="I3" s="39"/>
      <c r="J3" s="39"/>
      <c r="K3" s="39"/>
      <c r="L3" s="39"/>
      <c r="M3" s="39"/>
    </row>
    <row r="4" spans="1:13" ht="19.5" customHeight="1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ht="15.75" customHeight="1" x14ac:dyDescent="0.2">
      <c r="A27" s="91" t="s">
        <v>51</v>
      </c>
      <c r="B27" s="21" t="s">
        <v>52</v>
      </c>
      <c r="C27" s="21" t="s">
        <v>53</v>
      </c>
      <c r="D27" s="22" t="s">
        <v>54</v>
      </c>
    </row>
    <row r="28" spans="1:6" ht="15.75" customHeight="1" x14ac:dyDescent="0.2">
      <c r="A28" s="89" t="s">
        <v>105</v>
      </c>
      <c r="B28" s="139">
        <v>2218.5</v>
      </c>
      <c r="C28" s="139">
        <v>4718.2</v>
      </c>
      <c r="D28" s="112">
        <v>-2499.6999999999998</v>
      </c>
    </row>
    <row r="29" spans="1:6" ht="15.75" customHeight="1" x14ac:dyDescent="0.2">
      <c r="A29" s="90" t="s">
        <v>104</v>
      </c>
      <c r="B29" s="139">
        <v>2294.3000000000002</v>
      </c>
      <c r="C29" s="139">
        <v>4798.7</v>
      </c>
      <c r="D29" s="112">
        <v>-2504.3999999999996</v>
      </c>
    </row>
    <row r="30" spans="1:6" ht="15.75" customHeight="1" x14ac:dyDescent="0.2">
      <c r="A30" s="90" t="s">
        <v>103</v>
      </c>
      <c r="B30" s="139">
        <v>1986.8</v>
      </c>
      <c r="C30" s="139">
        <v>4325.8</v>
      </c>
      <c r="D30" s="112">
        <v>-2339</v>
      </c>
    </row>
    <row r="31" spans="1:6" ht="15.75" customHeight="1" x14ac:dyDescent="0.2">
      <c r="A31" s="90" t="s">
        <v>102</v>
      </c>
      <c r="B31" s="139">
        <v>2455.6999999999998</v>
      </c>
      <c r="C31" s="139">
        <v>5721.1</v>
      </c>
      <c r="D31" s="112">
        <v>-3265.4000000000005</v>
      </c>
    </row>
    <row r="32" spans="1:6" ht="15.75" customHeight="1" x14ac:dyDescent="0.2">
      <c r="A32" s="90" t="s">
        <v>101</v>
      </c>
      <c r="B32" s="139">
        <v>3629.8</v>
      </c>
      <c r="C32" s="139">
        <v>7486.9</v>
      </c>
      <c r="D32" s="112">
        <v>-3857.0999999999995</v>
      </c>
    </row>
    <row r="33" spans="1:4" ht="15.75" customHeight="1" x14ac:dyDescent="0.2">
      <c r="A33" s="90" t="s">
        <v>100</v>
      </c>
      <c r="B33" s="139">
        <v>3358.2</v>
      </c>
      <c r="C33" s="139">
        <v>7126.6</v>
      </c>
      <c r="D33" s="112">
        <v>-3768.4000000000005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38"/>
  <sheetViews>
    <sheetView workbookViewId="0">
      <selection activeCell="A2" sqref="A2:S2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33" width="5.7109375" style="3" customWidth="1"/>
    <col min="34" max="35" width="6.140625" style="3" customWidth="1"/>
    <col min="36" max="16384" width="9.140625" style="3"/>
  </cols>
  <sheetData>
    <row r="2" spans="1:19" ht="15.75" customHeight="1" x14ac:dyDescent="0.2">
      <c r="A2" s="146" t="s">
        <v>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5" ht="22.5" customHeight="1" x14ac:dyDescent="0.2">
      <c r="A17" s="4"/>
    </row>
    <row r="18" spans="1:35" x14ac:dyDescent="0.2">
      <c r="A18" s="4"/>
    </row>
    <row r="19" spans="1:35" x14ac:dyDescent="0.2">
      <c r="A19" s="5"/>
    </row>
    <row r="20" spans="1:35" x14ac:dyDescent="0.2">
      <c r="A20" s="5"/>
    </row>
    <row r="21" spans="1:35" x14ac:dyDescent="0.2">
      <c r="A21" s="5"/>
    </row>
    <row r="22" spans="1:35" ht="19.5" customHeight="1" x14ac:dyDescent="0.2">
      <c r="A22" s="5"/>
    </row>
    <row r="23" spans="1:35" ht="15" customHeight="1" x14ac:dyDescent="0.2">
      <c r="A23" s="141"/>
      <c r="B23" s="143">
        <v>2021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43">
        <v>2022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5"/>
      <c r="Z23" s="147">
        <v>2023</v>
      </c>
      <c r="AA23" s="148"/>
      <c r="AB23" s="148"/>
      <c r="AC23" s="149"/>
      <c r="AD23" s="148"/>
      <c r="AE23" s="148"/>
      <c r="AF23" s="148"/>
      <c r="AG23" s="148"/>
      <c r="AH23" s="148"/>
      <c r="AI23" s="150"/>
    </row>
    <row r="24" spans="1:35" x14ac:dyDescent="0.2">
      <c r="A24" s="142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5" t="s">
        <v>13</v>
      </c>
      <c r="O24" s="85" t="s">
        <v>14</v>
      </c>
      <c r="P24" s="86" t="s">
        <v>15</v>
      </c>
      <c r="Q24" s="78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57" t="s">
        <v>13</v>
      </c>
      <c r="AA24" s="57" t="s">
        <v>14</v>
      </c>
      <c r="AB24" s="78" t="s">
        <v>15</v>
      </c>
      <c r="AC24" s="20" t="s">
        <v>16</v>
      </c>
      <c r="AD24" s="113" t="s">
        <v>17</v>
      </c>
      <c r="AE24" s="85" t="s">
        <v>22</v>
      </c>
      <c r="AF24" s="85" t="s">
        <v>18</v>
      </c>
      <c r="AG24" s="85" t="s">
        <v>23</v>
      </c>
      <c r="AH24" s="2" t="s">
        <v>19</v>
      </c>
      <c r="AI24" s="27" t="s">
        <v>24</v>
      </c>
    </row>
    <row r="25" spans="1:35" ht="28.5" customHeight="1" x14ac:dyDescent="0.2">
      <c r="A25" s="13" t="s">
        <v>55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14">
        <v>110.41268252711565</v>
      </c>
      <c r="X25" s="14">
        <v>101.07685140675132</v>
      </c>
      <c r="Y25" s="11">
        <v>98.231011775552389</v>
      </c>
      <c r="Z25" s="55">
        <v>95.423145055942825</v>
      </c>
      <c r="AA25" s="14">
        <v>107.53426155303467</v>
      </c>
      <c r="AB25" s="14">
        <v>108.10569775638508</v>
      </c>
      <c r="AC25" s="15">
        <v>82.457500951649791</v>
      </c>
      <c r="AD25" s="14">
        <v>106.03224634475339</v>
      </c>
      <c r="AE25" s="14">
        <v>94.094313438764019</v>
      </c>
      <c r="AF25" s="14">
        <v>96.062601900370808</v>
      </c>
      <c r="AG25" s="14">
        <v>105.70970185102763</v>
      </c>
      <c r="AH25" s="14">
        <v>108.24618309689178</v>
      </c>
      <c r="AI25" s="11">
        <v>98.195823302702834</v>
      </c>
    </row>
    <row r="26" spans="1:35" ht="40.5" customHeight="1" x14ac:dyDescent="0.2">
      <c r="A26" s="18" t="s">
        <v>56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10">
        <f>IF(227034.99772="","-",336464.33268/227034.99772*100)</f>
        <v>148.19932435921535</v>
      </c>
      <c r="P26" s="10">
        <f>IF(259287.13538="","-",395828.7569/259287.13538*100)</f>
        <v>152.66039185472528</v>
      </c>
      <c r="Q26" s="10">
        <f>IF(218235.12722="","-",396338.08224/218235.12722*100)</f>
        <v>181.61058088529293</v>
      </c>
      <c r="R26" s="10">
        <f>IF(201697.01673="","-",415966.01044/201697.01673*100)</f>
        <v>206.23310011413275</v>
      </c>
      <c r="S26" s="10">
        <f>IF(226810.79989="","-",416434.52243/226810.79989*100)</f>
        <v>183.60436215205132</v>
      </c>
      <c r="T26" s="10">
        <f>IF(240720.89459="","-",338224.33542/240720.89459*100)</f>
        <v>140.50476839414773</v>
      </c>
      <c r="U26" s="10">
        <f>IF(236300.67911="","-",329416.35614/236300.67911*100)</f>
        <v>139.40559010693906</v>
      </c>
      <c r="V26" s="10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19">
        <f>IF(330357.20487="","-",331097.88364/330357.20487*100)</f>
        <v>100.22420542342689</v>
      </c>
      <c r="AA26" s="10">
        <f>IF(336464.33268="","-",356043.66419/336464.33268*100)</f>
        <v>105.81914027975773</v>
      </c>
      <c r="AB26" s="10">
        <f>IF(395828.7569="","-",384903.48749/395828.7569*100)</f>
        <v>97.239900027586913</v>
      </c>
      <c r="AC26" s="10">
        <f>IF(396338.08224="","-",317381.79686/396338.08224*100)</f>
        <v>80.07855189343411</v>
      </c>
      <c r="AD26" s="10">
        <f>IF(415966.01044="","-",336527.0487/415966.01044*100)</f>
        <v>80.902535364374799</v>
      </c>
      <c r="AE26" s="10">
        <f>IF(416434.52243="","-",316652.81601/416434.52243*100)</f>
        <v>76.039040702545819</v>
      </c>
      <c r="AF26" s="10">
        <f>IF(338224.33542="","-",304184.93405/338224.33542*100)</f>
        <v>89.935850911576011</v>
      </c>
      <c r="AG26" s="10">
        <f>IF(329416.35614="","-",321552.98686/329416.35614*100)</f>
        <v>97.612939025815066</v>
      </c>
      <c r="AH26" s="10">
        <f>IF(318793.64634="","-",348068.83491/318793.64634*100)</f>
        <v>109.18311544351715</v>
      </c>
      <c r="AI26" s="12">
        <f>IF(351929.19136="","-",341789.0581/351929.19136*100)</f>
        <v>97.118700719080934</v>
      </c>
    </row>
    <row r="29" spans="1:35" ht="15.75" x14ac:dyDescent="0.25">
      <c r="N29" s="64"/>
      <c r="O29" s="80"/>
      <c r="P29" s="60"/>
      <c r="Q29" s="81"/>
      <c r="R29" s="60"/>
      <c r="S29" s="60"/>
      <c r="T29" s="60"/>
      <c r="U29" s="60"/>
      <c r="V29" s="60"/>
      <c r="W29" s="75"/>
      <c r="X29" s="75"/>
      <c r="Y29" s="75"/>
    </row>
    <row r="30" spans="1:35" ht="15.75" x14ac:dyDescent="0.25">
      <c r="N30" s="61"/>
      <c r="O30" s="82"/>
      <c r="P30" s="83"/>
      <c r="Q30" s="83"/>
      <c r="R30" s="83"/>
      <c r="S30" s="83"/>
      <c r="T30" s="83"/>
      <c r="U30" s="83"/>
      <c r="V30" s="83"/>
      <c r="W30" s="64"/>
      <c r="X30" s="64"/>
      <c r="Y30" s="79"/>
    </row>
    <row r="33" spans="14:21" ht="15.75" x14ac:dyDescent="0.25">
      <c r="N33" s="64"/>
      <c r="O33" s="65"/>
      <c r="P33" s="66"/>
      <c r="Q33" s="66"/>
      <c r="R33" s="66"/>
      <c r="S33" s="67"/>
      <c r="T33" s="46"/>
      <c r="U33" s="46"/>
    </row>
    <row r="34" spans="14:21" ht="15.75" x14ac:dyDescent="0.25">
      <c r="N34" s="66"/>
      <c r="O34" s="66"/>
      <c r="P34" s="66"/>
      <c r="Q34" s="66"/>
      <c r="R34" s="66"/>
      <c r="S34" s="67"/>
      <c r="T34" s="46"/>
      <c r="U34" s="46"/>
    </row>
    <row r="35" spans="14:21" ht="15.75" x14ac:dyDescent="0.25">
      <c r="N35" s="68"/>
      <c r="O35" s="68"/>
      <c r="P35" s="66"/>
      <c r="Q35" s="66"/>
      <c r="R35" s="68"/>
      <c r="S35" s="69"/>
      <c r="T35" s="69"/>
      <c r="U35" s="69"/>
    </row>
    <row r="36" spans="14:21" ht="15.75" x14ac:dyDescent="0.25">
      <c r="N36" s="68"/>
      <c r="O36" s="68"/>
      <c r="P36" s="66"/>
      <c r="Q36" s="66"/>
      <c r="R36" s="68"/>
      <c r="S36" s="69"/>
      <c r="T36" s="69"/>
      <c r="U36" s="69"/>
    </row>
    <row r="37" spans="14:21" ht="16.5" x14ac:dyDescent="0.25">
      <c r="N37" s="63"/>
      <c r="O37" s="65"/>
      <c r="P37" s="66"/>
      <c r="Q37" s="66"/>
      <c r="R37" s="66"/>
      <c r="S37" s="70"/>
      <c r="T37" s="46"/>
      <c r="U37" s="42"/>
    </row>
    <row r="38" spans="14:21" ht="15.75" x14ac:dyDescent="0.25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I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9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51" t="s">
        <v>113</v>
      </c>
      <c r="B2" s="151"/>
      <c r="C2" s="151"/>
      <c r="D2" s="151"/>
      <c r="E2" s="151"/>
      <c r="F2" s="151"/>
      <c r="G2" s="151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4.5" customHeight="1" x14ac:dyDescent="0.2">
      <c r="A23" s="38" t="s">
        <v>25</v>
      </c>
      <c r="B23" s="24" t="s">
        <v>100</v>
      </c>
      <c r="C23" s="24" t="s">
        <v>101</v>
      </c>
      <c r="D23" s="24" t="s">
        <v>102</v>
      </c>
      <c r="E23" s="24" t="s">
        <v>103</v>
      </c>
      <c r="F23" s="24" t="s">
        <v>104</v>
      </c>
      <c r="G23" s="24" t="s">
        <v>105</v>
      </c>
    </row>
    <row r="24" spans="1:7" x14ac:dyDescent="0.2">
      <c r="A24" s="94" t="s">
        <v>26</v>
      </c>
      <c r="B24" s="121">
        <v>13.4</v>
      </c>
      <c r="C24" s="122">
        <v>13.9</v>
      </c>
      <c r="D24" s="122">
        <v>8.1</v>
      </c>
      <c r="E24" s="122">
        <v>6.9</v>
      </c>
      <c r="F24" s="122">
        <v>6.6</v>
      </c>
      <c r="G24" s="123">
        <v>6.6</v>
      </c>
    </row>
    <row r="25" spans="1:7" x14ac:dyDescent="0.2">
      <c r="A25" s="95" t="s">
        <v>27</v>
      </c>
      <c r="B25" s="124">
        <v>3.2</v>
      </c>
      <c r="C25" s="125">
        <v>8.3000000000000007</v>
      </c>
      <c r="D25" s="125">
        <v>4.4000000000000004</v>
      </c>
      <c r="E25" s="125">
        <v>3</v>
      </c>
      <c r="F25" s="125">
        <v>4.5999999999999996</v>
      </c>
      <c r="G25" s="126">
        <v>4.0999999999999996</v>
      </c>
    </row>
    <row r="26" spans="1:7" x14ac:dyDescent="0.2">
      <c r="A26" s="95" t="s">
        <v>28</v>
      </c>
      <c r="B26" s="124">
        <v>81.2</v>
      </c>
      <c r="C26" s="125">
        <v>76.3</v>
      </c>
      <c r="D26" s="125">
        <v>86.3</v>
      </c>
      <c r="E26" s="125">
        <v>88.9</v>
      </c>
      <c r="F26" s="125">
        <v>87.1</v>
      </c>
      <c r="G26" s="126">
        <v>87.5</v>
      </c>
    </row>
    <row r="27" spans="1:7" x14ac:dyDescent="0.2">
      <c r="A27" s="95" t="s">
        <v>29</v>
      </c>
      <c r="B27" s="124">
        <v>1</v>
      </c>
      <c r="C27" s="125">
        <v>1</v>
      </c>
      <c r="D27" s="125">
        <v>1.2</v>
      </c>
      <c r="E27" s="125">
        <v>1.1000000000000001</v>
      </c>
      <c r="F27" s="125">
        <v>1.6</v>
      </c>
      <c r="G27" s="126">
        <v>1.8</v>
      </c>
    </row>
    <row r="28" spans="1:7" x14ac:dyDescent="0.2">
      <c r="A28" s="95" t="s">
        <v>45</v>
      </c>
      <c r="B28" s="124">
        <v>0</v>
      </c>
      <c r="C28" s="125">
        <v>0</v>
      </c>
      <c r="D28" s="125">
        <v>0</v>
      </c>
      <c r="E28" s="125">
        <v>0.1</v>
      </c>
      <c r="F28" s="125">
        <v>0.1</v>
      </c>
      <c r="G28" s="126">
        <v>0</v>
      </c>
    </row>
    <row r="29" spans="1:7" x14ac:dyDescent="0.2">
      <c r="A29" s="32" t="s">
        <v>46</v>
      </c>
      <c r="B29" s="127">
        <v>1.2</v>
      </c>
      <c r="C29" s="128">
        <v>0.5</v>
      </c>
      <c r="D29" s="128">
        <v>0</v>
      </c>
      <c r="E29" s="128">
        <v>0</v>
      </c>
      <c r="F29" s="128">
        <v>0</v>
      </c>
      <c r="G29" s="129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1.140625" style="3" bestFit="1" customWidth="1"/>
    <col min="2" max="7" width="14.28515625" style="3" customWidth="1"/>
    <col min="8" max="16384" width="9.140625" style="3"/>
  </cols>
  <sheetData>
    <row r="2" spans="1:13" ht="12.75" x14ac:dyDescent="0.2">
      <c r="A2" s="151" t="s">
        <v>114</v>
      </c>
      <c r="B2" s="151"/>
      <c r="C2" s="151"/>
      <c r="D2" s="151"/>
      <c r="E2" s="151"/>
      <c r="F2" s="151"/>
      <c r="G2" s="151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6" customHeight="1" x14ac:dyDescent="0.2">
      <c r="A21" s="20"/>
      <c r="B21" s="9" t="s">
        <v>105</v>
      </c>
      <c r="C21" s="9" t="s">
        <v>104</v>
      </c>
      <c r="D21" s="9" t="s">
        <v>103</v>
      </c>
      <c r="E21" s="9" t="s">
        <v>102</v>
      </c>
      <c r="F21" s="9" t="s">
        <v>101</v>
      </c>
      <c r="G21" s="9" t="s">
        <v>100</v>
      </c>
    </row>
    <row r="22" spans="1:8" ht="15" customHeight="1" x14ac:dyDescent="0.2">
      <c r="A22" s="16" t="s">
        <v>30</v>
      </c>
      <c r="B22" s="121">
        <v>66.400000000000006</v>
      </c>
      <c r="C22" s="122">
        <v>63.7</v>
      </c>
      <c r="D22" s="122">
        <v>66.599999999999994</v>
      </c>
      <c r="E22" s="122">
        <v>61.4</v>
      </c>
      <c r="F22" s="122">
        <v>59.2</v>
      </c>
      <c r="G22" s="123">
        <v>64.7</v>
      </c>
      <c r="H22" s="6"/>
    </row>
    <row r="23" spans="1:8" ht="14.25" customHeight="1" x14ac:dyDescent="0.2">
      <c r="A23" s="17" t="s">
        <v>31</v>
      </c>
      <c r="B23" s="124">
        <v>15.7</v>
      </c>
      <c r="C23" s="125">
        <v>15.5</v>
      </c>
      <c r="D23" s="125">
        <v>15.3</v>
      </c>
      <c r="E23" s="125">
        <v>15.2</v>
      </c>
      <c r="F23" s="125">
        <v>22.8</v>
      </c>
      <c r="G23" s="126">
        <v>23.2</v>
      </c>
      <c r="H23" s="6"/>
    </row>
    <row r="24" spans="1:8" ht="15" customHeight="1" x14ac:dyDescent="0.2">
      <c r="A24" s="18" t="s">
        <v>32</v>
      </c>
      <c r="B24" s="127">
        <v>17.899999999999999</v>
      </c>
      <c r="C24" s="128">
        <v>20.8</v>
      </c>
      <c r="D24" s="128">
        <v>18.100000000000001</v>
      </c>
      <c r="E24" s="128">
        <v>23.4</v>
      </c>
      <c r="F24" s="128">
        <v>18</v>
      </c>
      <c r="G24" s="129">
        <v>12.1</v>
      </c>
      <c r="H24" s="6"/>
    </row>
    <row r="28" spans="1:8" x14ac:dyDescent="0.2">
      <c r="E28" s="3" t="s">
        <v>99</v>
      </c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6"/>
  <sheetViews>
    <sheetView workbookViewId="0">
      <selection activeCell="A2" sqref="A2:G2"/>
    </sheetView>
  </sheetViews>
  <sheetFormatPr defaultRowHeight="12" x14ac:dyDescent="0.2"/>
  <cols>
    <col min="1" max="1" width="21" style="3" customWidth="1"/>
    <col min="2" max="7" width="14.28515625" style="3" customWidth="1"/>
    <col min="8" max="16384" width="9.140625" style="3"/>
  </cols>
  <sheetData>
    <row r="2" spans="1:7" ht="18" customHeight="1" x14ac:dyDescent="0.2">
      <c r="A2" s="151" t="s">
        <v>115</v>
      </c>
      <c r="B2" s="151"/>
      <c r="C2" s="151"/>
      <c r="D2" s="151"/>
      <c r="E2" s="151"/>
      <c r="F2" s="151"/>
      <c r="G2" s="151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38.25" customHeight="1" x14ac:dyDescent="0.2">
      <c r="A25" s="37"/>
      <c r="B25" s="9" t="s">
        <v>105</v>
      </c>
      <c r="C25" s="9" t="s">
        <v>104</v>
      </c>
      <c r="D25" s="9" t="s">
        <v>103</v>
      </c>
      <c r="E25" s="9" t="s">
        <v>102</v>
      </c>
      <c r="F25" s="9" t="s">
        <v>101</v>
      </c>
      <c r="G25" s="9" t="s">
        <v>100</v>
      </c>
    </row>
    <row r="26" spans="1:7" x14ac:dyDescent="0.2">
      <c r="A26" s="117" t="s">
        <v>33</v>
      </c>
      <c r="B26" s="14">
        <f>IF(OR(646563.95293="",646563.95293="***"),"-",646563.95293/2218501.69139*100)</f>
        <v>29.144172187892092</v>
      </c>
      <c r="C26" s="108">
        <f>IF(642132.56087="","-",642132.56087/2294320.13289*100)</f>
        <v>27.98792337933892</v>
      </c>
      <c r="D26" s="108">
        <f>IF(565499.31862="","-",565499.31862/1986828.81646*100)</f>
        <v>28.462407729095119</v>
      </c>
      <c r="E26" s="108">
        <f>IF(653682.02734="","-",653682.02734/2455668.71834*100)</f>
        <v>26.619308315409928</v>
      </c>
      <c r="F26" s="108">
        <f>IF(1036353.50173="","-",1036353.50173/3629752.43882*100)</f>
        <v>28.551630426534246</v>
      </c>
      <c r="G26" s="109">
        <f>IF(1165468.06794="","-",1165468.06794/3358202.51081*100)</f>
        <v>34.705115733443023</v>
      </c>
    </row>
    <row r="27" spans="1:7" x14ac:dyDescent="0.2">
      <c r="A27" s="118" t="s">
        <v>38</v>
      </c>
      <c r="B27" s="15">
        <f>IF(OR(67148.13339="",67148.13339="***"),"-",67148.13339/2218501.69139*100)</f>
        <v>3.0267334774006152</v>
      </c>
      <c r="C27" s="112">
        <f>IF(65619.08068="","-",65619.08068/2294320.13289*100)</f>
        <v>2.8600664632334496</v>
      </c>
      <c r="D27" s="112">
        <f>IF(51857.64573="","-",51857.64573/1986828.81646*100)</f>
        <v>2.6100711495818003</v>
      </c>
      <c r="E27" s="112">
        <f>IF(73988.64559="","-",73988.64559/2455668.71834*100)</f>
        <v>3.0129734127987491</v>
      </c>
      <c r="F27" s="112">
        <f>IF(563037.52148="","-",563037.52148/3629752.43882*100)</f>
        <v>15.511733402486216</v>
      </c>
      <c r="G27" s="110">
        <f>IF(526746.76923="","-",526746.76923/3358202.51081*100)</f>
        <v>15.685378339585258</v>
      </c>
    </row>
    <row r="28" spans="1:7" x14ac:dyDescent="0.2">
      <c r="A28" s="118" t="s">
        <v>36</v>
      </c>
      <c r="B28" s="15">
        <f>IF(OR(259018.64449="",259018.64449="***"),"-",259018.64449/2218501.69139*100)</f>
        <v>11.675386387815291</v>
      </c>
      <c r="C28" s="112">
        <f>IF(225728.96592="","-",225728.96592/2294320.13289*100)</f>
        <v>9.8385993603980832</v>
      </c>
      <c r="D28" s="112">
        <f>IF(169895.62066="","-",169895.62066/1986828.81646*100)</f>
        <v>8.5510950542135156</v>
      </c>
      <c r="E28" s="112">
        <f>IF(193345.08543="","-",193345.08543/2455668.71834*100)</f>
        <v>7.8734189178701088</v>
      </c>
      <c r="F28" s="112">
        <f>IF(287263.25127="","-",287263.25127/3629752.43882*100)</f>
        <v>7.9141279222719314</v>
      </c>
      <c r="G28" s="110">
        <f>IF(217494.74861="","-",217494.74861/3358202.51081*100)</f>
        <v>6.4765227204103351</v>
      </c>
    </row>
    <row r="29" spans="1:7" x14ac:dyDescent="0.2">
      <c r="A29" s="118" t="s">
        <v>34</v>
      </c>
      <c r="B29" s="15">
        <f>IF(OR(184024.93483="",184024.93483="***"),"-",184024.93483/2218501.69139*100)</f>
        <v>8.2950098953812113</v>
      </c>
      <c r="C29" s="112">
        <f>IF(204422.82528="","-",204422.82528/2294320.13289*100)</f>
        <v>8.9099521182557186</v>
      </c>
      <c r="D29" s="112">
        <f>IF(186312.88094="","-",186312.88094/1986828.81646*100)</f>
        <v>9.377399773774167</v>
      </c>
      <c r="E29" s="112">
        <f>IF(209517.33734="","-",209517.33734/2455668.71834*100)</f>
        <v>8.531987062230078</v>
      </c>
      <c r="F29" s="112">
        <f>IF(196802.14224="","-",196802.14224/3629752.43882*100)</f>
        <v>5.4219163856799719</v>
      </c>
      <c r="G29" s="110">
        <f>IF(184365.87911="","-",184365.87911/3358202.51081*100)</f>
        <v>5.4900167133021069</v>
      </c>
    </row>
    <row r="30" spans="1:7" x14ac:dyDescent="0.2">
      <c r="A30" s="118" t="s">
        <v>58</v>
      </c>
      <c r="B30" s="15">
        <f>IF(OR(34526.62714="",34526.62714="***"),"-",34526.62714/2218501.69139*100)</f>
        <v>1.556303845699003</v>
      </c>
      <c r="C30" s="112">
        <f>IF(50085.46665="","-",50085.46665/2294320.13289*100)</f>
        <v>2.1830199688354179</v>
      </c>
      <c r="D30" s="112">
        <f>IF(66553.23723="","-",66553.23723/1986828.81646*100)</f>
        <v>3.349721761564751</v>
      </c>
      <c r="E30" s="112">
        <f>IF(65288.39254="","-",65288.39254/2455668.71834*100)</f>
        <v>2.6586807924211411</v>
      </c>
      <c r="F30" s="112">
        <f>IF(85096.411="","-",85096.411/3629752.43882*100)</f>
        <v>2.344413632453239</v>
      </c>
      <c r="G30" s="110">
        <f>IF(130230.01772="","-",130230.01772/3358202.51081*100)</f>
        <v>3.8779679694953377</v>
      </c>
    </row>
    <row r="31" spans="1:7" x14ac:dyDescent="0.2">
      <c r="A31" s="118" t="s">
        <v>92</v>
      </c>
      <c r="B31" s="15">
        <f>IF(OR(182212.58211="",182212.58211="***"),"-",182212.58211/2218501.69139*100)</f>
        <v>8.2133172499785161</v>
      </c>
      <c r="C31" s="112">
        <f>IF(202793.21486="","-",202793.21486/2294320.13289*100)</f>
        <v>8.8389240870477437</v>
      </c>
      <c r="D31" s="112">
        <f>IF(179009.71101="","-",179009.71101/1986828.81646*100)</f>
        <v>9.0098205505669906</v>
      </c>
      <c r="E31" s="112">
        <f>IF(221850.66567="","-",221850.66567/2455668.71834*100)</f>
        <v>9.0342261565301083</v>
      </c>
      <c r="F31" s="112">
        <f>IF(166490.32353="","-",166490.32353/3629752.43882*100)</f>
        <v>4.5868231053279356</v>
      </c>
      <c r="G31" s="110">
        <f>IF(117409.32449="","-",117409.32449/3358202.51081*100)</f>
        <v>3.4961954829126971</v>
      </c>
    </row>
    <row r="32" spans="1:7" x14ac:dyDescent="0.2">
      <c r="A32" s="118" t="s">
        <v>35</v>
      </c>
      <c r="B32" s="15">
        <f>IF(OR(71661.43447="",71661.43447="***"),"-",71661.43447/2218501.69139*100)</f>
        <v>3.2301726317414077</v>
      </c>
      <c r="C32" s="112">
        <f>IF(158573.431="","-",158573.431/2294320.13289*100)</f>
        <v>6.9115651615825628</v>
      </c>
      <c r="D32" s="112">
        <f>IF(129835.7793="","-",129835.7793/1986828.81646*100)</f>
        <v>6.534824652449565</v>
      </c>
      <c r="E32" s="112">
        <f>IF(236957.05883="","-",236957.05883/2455668.71834*100)</f>
        <v>9.6493902886941463</v>
      </c>
      <c r="F32" s="112">
        <f>IF(271869.10666="","-",271869.10666/3629752.43882*100)</f>
        <v>7.4900178797973949</v>
      </c>
      <c r="G32" s="110">
        <f>IF(113615.49717="","-",113615.49717/3358202.51081*100)</f>
        <v>3.38322351925691</v>
      </c>
    </row>
    <row r="33" spans="1:7" x14ac:dyDescent="0.2">
      <c r="A33" s="118" t="s">
        <v>37</v>
      </c>
      <c r="B33" s="15">
        <f>IF(OR(79646.62893="",79646.62893="***"),"-",79646.62893/2218501.69139*100)</f>
        <v>3.5901090019046817</v>
      </c>
      <c r="C33" s="112">
        <f>IF(92876.82889="","-",92876.82889/2294320.13289*100)</f>
        <v>4.0481198573195334</v>
      </c>
      <c r="D33" s="112">
        <f>IF(86475.62522="","-",86475.62522/1986828.81646*100)</f>
        <v>4.3524446848962333</v>
      </c>
      <c r="E33" s="112">
        <f>IF(89073.79546="","-",89073.79546/2455668.71834*100)</f>
        <v>3.6272724734716135</v>
      </c>
      <c r="F33" s="112">
        <f>IF(102618.83818="","-",102618.83818/3629752.43882*100)</f>
        <v>2.8271580475433327</v>
      </c>
      <c r="G33" s="110">
        <f>IF(103104.98608="","-",103104.98608/3358202.51081*100)</f>
        <v>3.0702432550778789</v>
      </c>
    </row>
    <row r="34" spans="1:7" x14ac:dyDescent="0.2">
      <c r="A34" s="118" t="s">
        <v>39</v>
      </c>
      <c r="B34" s="15">
        <f>IF(OR(74835.17236="",74835.17236="***"),"-",74835.17236/2218501.69139*100)</f>
        <v>3.3732303495839169</v>
      </c>
      <c r="C34" s="112">
        <f>IF(66516.08134="","-",66516.08134/2294320.13289*100)</f>
        <v>2.8991630412192824</v>
      </c>
      <c r="D34" s="112">
        <f>IF(54011.86489="","-",54011.86489/1986828.81646*100)</f>
        <v>2.7184961503746843</v>
      </c>
      <c r="E34" s="112">
        <f>IF(53030.97718="","-",53030.97718/2455668.71834*100)</f>
        <v>2.1595330340750625</v>
      </c>
      <c r="F34" s="112">
        <f>IF(63163.89651="","-",63163.89651/3629752.43882*100)</f>
        <v>1.7401709228008406</v>
      </c>
      <c r="G34" s="110">
        <f>IF(71026.52342="","-",71026.52342/3358202.51081*100)</f>
        <v>2.1150160894516263</v>
      </c>
    </row>
    <row r="35" spans="1:7" x14ac:dyDescent="0.2">
      <c r="A35" s="118" t="s">
        <v>42</v>
      </c>
      <c r="B35" s="15">
        <f>IF(OR(42469.73951="",42469.73951="***"),"-",42469.73951/2218501.69139*100)</f>
        <v>1.914343345999012</v>
      </c>
      <c r="C35" s="112">
        <f>IF(44700.18474="","-",44700.18474/2294320.13289*100)</f>
        <v>1.9482976285307751</v>
      </c>
      <c r="D35" s="112">
        <f>IF(41538.00627="","-",41538.00627/1986828.81646*100)</f>
        <v>2.0906686034486688</v>
      </c>
      <c r="E35" s="112">
        <f>IF(58124.80529="","-",58124.80529/2455668.71834*100)</f>
        <v>2.3669644384805943</v>
      </c>
      <c r="F35" s="112">
        <f>IF(133335.46334="","-",133335.46334/3629752.43882*100)</f>
        <v>3.6734037813153493</v>
      </c>
      <c r="G35" s="110">
        <f>IF(67045.26722="","-",67045.26722/3358202.51081*100)</f>
        <v>1.9964628995476703</v>
      </c>
    </row>
    <row r="36" spans="1:7" x14ac:dyDescent="0.2">
      <c r="A36" s="118" t="s">
        <v>41</v>
      </c>
      <c r="B36" s="15">
        <f>IF(OR(20402.43149="",20402.43149="***"),"-",20402.43149/2218501.69139*100)</f>
        <v>0.9196491293732969</v>
      </c>
      <c r="C36" s="112">
        <f>IF(28064.78003="","-",28064.78003/2294320.13289*100)</f>
        <v>1.22322859951757</v>
      </c>
      <c r="D36" s="112">
        <f>IF(28926.04208="","-",28926.04208/1986828.81646*100)</f>
        <v>1.4558900012099938</v>
      </c>
      <c r="E36" s="112">
        <f>IF(29448.79264="","-",29448.79264/2455668.71834*100)</f>
        <v>1.1992168332830739</v>
      </c>
      <c r="F36" s="112">
        <f>IF(33601.84889="","-",33601.84889/3629752.43882*100)</f>
        <v>0.92573390214247397</v>
      </c>
      <c r="G36" s="110">
        <f>IF(50937.37031="","-",50937.37031/3358202.51081*100)</f>
        <v>1.5168046044285126</v>
      </c>
    </row>
    <row r="37" spans="1:7" x14ac:dyDescent="0.2">
      <c r="A37" s="118" t="s">
        <v>59</v>
      </c>
      <c r="B37" s="15">
        <f>IF(OR(17855.76366="",17855.76366="***"),"-",17855.76366/2218501.69139*100)</f>
        <v>0.8048568873892763</v>
      </c>
      <c r="C37" s="112">
        <f>IF(20474.18055="","-",20474.18055/2294320.13289*100)</f>
        <v>0.89238551571310409</v>
      </c>
      <c r="D37" s="112">
        <f>IF(20841.27673="","-",20841.27673/1986828.81646*100)</f>
        <v>1.0489719374582864</v>
      </c>
      <c r="E37" s="112">
        <f>IF(24154.36008="","-",24154.36008/2455668.71834*100)</f>
        <v>0.98361639335162554</v>
      </c>
      <c r="F37" s="112">
        <f>IF(36002.3748="","-",36002.3748/3629752.43882*100)</f>
        <v>0.99186860279937028</v>
      </c>
      <c r="G37" s="110">
        <f>IF(44064.28138="","-",44064.28138/3358202.51081*100)</f>
        <v>1.3121388968699113</v>
      </c>
    </row>
    <row r="38" spans="1:7" x14ac:dyDescent="0.2">
      <c r="A38" s="118" t="s">
        <v>40</v>
      </c>
      <c r="B38" s="15">
        <f>IF(OR(6640.06499="",6640.06499="***"),"-",6640.06499/2218501.69139*100)</f>
        <v>0.29930403099398473</v>
      </c>
      <c r="C38" s="112">
        <f>IF(8455.41692="","-",8455.41692/2294320.13289*100)</f>
        <v>0.36853692729223808</v>
      </c>
      <c r="D38" s="112">
        <f>IF(20889.23391="","-",20889.23391/1986828.81646*100)</f>
        <v>1.0513856924633826</v>
      </c>
      <c r="E38" s="112">
        <f>IF(33963.77827="","-",33963.77827/2455668.71834*100)</f>
        <v>1.3830765532966136</v>
      </c>
      <c r="F38" s="112">
        <f>IF(44720.40963="","-",44720.40963/3629752.43882*100)</f>
        <v>1.2320512316960714</v>
      </c>
      <c r="G38" s="110">
        <f>IF(39987.53612="","-",39987.53612/3358202.51081*100)</f>
        <v>1.1907422495004623</v>
      </c>
    </row>
    <row r="39" spans="1:7" x14ac:dyDescent="0.2">
      <c r="A39" s="118" t="s">
        <v>74</v>
      </c>
      <c r="B39" s="15">
        <f>IF(OR(30724.00627="",30724.00627="***"),"-",30724.00627/2218501.69139*100)</f>
        <v>1.384898933782192</v>
      </c>
      <c r="C39" s="112">
        <f>IF(29750.475="","-",29750.475/2294320.13289*100)</f>
        <v>1.2967011261207622</v>
      </c>
      <c r="D39" s="112">
        <f>IF(30070.8088="","-",30070.8088/1986828.81646*100)</f>
        <v>1.5135077844088338</v>
      </c>
      <c r="E39" s="112">
        <f>IF(29219.90865="","-",29219.90865/2455668.71834*100)</f>
        <v>1.1898961953529414</v>
      </c>
      <c r="F39" s="112">
        <f>IF(57131.97203="","-",57131.97203/3629752.43882*100)</f>
        <v>1.5739908710846708</v>
      </c>
      <c r="G39" s="110">
        <f>IF(38058.11487="","-",38058.11487/3358202.51081*100)</f>
        <v>1.1332882620238518</v>
      </c>
    </row>
    <row r="40" spans="1:7" x14ac:dyDescent="0.2">
      <c r="A40" s="118" t="s">
        <v>81</v>
      </c>
      <c r="B40" s="15">
        <f>IF(OR(14491.88235="",14491.88235="***"),"-",14491.88235/2218501.69139*100)</f>
        <v>0.65322836607440793</v>
      </c>
      <c r="C40" s="112">
        <f>IF(8512.48391="","-",8512.48391/2294320.13289*100)</f>
        <v>0.37102424321567545</v>
      </c>
      <c r="D40" s="112">
        <f>IF(11960.94804="","-",11960.94804/1986828.81646*100)</f>
        <v>0.60201200732085347</v>
      </c>
      <c r="E40" s="112">
        <f>IF(11259.83845="","-",11259.83845/2455668.71834*100)</f>
        <v>0.45852432642508478</v>
      </c>
      <c r="F40" s="112">
        <f>IF(19339.94266="","-",19339.94266/3629752.43882*100)</f>
        <v>0.53281712695225136</v>
      </c>
      <c r="G40" s="110">
        <f>IF(37204.87449="","-",37204.87449/3358202.51081*100)</f>
        <v>1.10788061083982</v>
      </c>
    </row>
    <row r="41" spans="1:7" x14ac:dyDescent="0.2">
      <c r="A41" s="118" t="s">
        <v>106</v>
      </c>
      <c r="B41" s="15">
        <f>IF(OR(41654.66366="",41654.66366="***"),"-",41654.66366/2218501.69139*100)</f>
        <v>1.8776034213388999</v>
      </c>
      <c r="C41" s="112">
        <f>IF(26663.91259="","-",26663.91259/2294320.13289*100)</f>
        <v>1.1621705361759291</v>
      </c>
      <c r="D41" s="112">
        <f>IF(24939.33414="","-",24939.33414/1986828.81646*100)</f>
        <v>1.2552331601690403</v>
      </c>
      <c r="E41" s="112">
        <f>IF(26140.64052="","-",26140.64052/2455668.71834*100)</f>
        <v>1.0645019144793575</v>
      </c>
      <c r="F41" s="112">
        <f>IF(32372.46016="","-",32372.46016/3629752.43882*100)</f>
        <v>0.89186413414254762</v>
      </c>
      <c r="G41" s="110">
        <f>IF(34005.96614="","-",34005.96614/3358202.51081*100)</f>
        <v>1.0126240460643854</v>
      </c>
    </row>
    <row r="42" spans="1:7" x14ac:dyDescent="0.2">
      <c r="A42" s="118" t="s">
        <v>43</v>
      </c>
      <c r="B42" s="15">
        <f>IF(OR(68396.99159="",68396.99159="***"),"-",68396.99159/2218501.69139*100)</f>
        <v>3.0830263441064107</v>
      </c>
      <c r="C42" s="112">
        <f>IF(42024.30951="","-",42024.30951/2294320.13289*100)</f>
        <v>1.8316672075341471</v>
      </c>
      <c r="D42" s="112">
        <f>IF(35024.32976="","-",35024.32976/1986828.81646*100)</f>
        <v>1.7628257386765729</v>
      </c>
      <c r="E42" s="112">
        <f>IF(50952.61503="","-",50952.61503/2455668.71834*100)</f>
        <v>2.0748977518613874</v>
      </c>
      <c r="F42" s="112">
        <f>IF(55010.66023="","-",55010.66023/3629752.43882*100)</f>
        <v>1.5155485437977547</v>
      </c>
      <c r="G42" s="110">
        <f>IF(33525.61398="","-",33525.61398/3358202.51081*100)</f>
        <v>0.99832019873970046</v>
      </c>
    </row>
    <row r="43" spans="1:7" ht="12" customHeight="1" x14ac:dyDescent="0.2">
      <c r="A43" s="118" t="s">
        <v>57</v>
      </c>
      <c r="B43" s="15">
        <f>IF(OR(30096.55625="",30096.55625="***"),"-",30096.55625/2218501.69139*100)</f>
        <v>1.3566163310492243</v>
      </c>
      <c r="C43" s="112">
        <f>IF(27688.09767="","-",27688.09767/2294320.13289*100)</f>
        <v>1.2068105611366089</v>
      </c>
      <c r="D43" s="112">
        <f>IF(24444.20874="","-",24444.20874/1986828.81646*100)</f>
        <v>1.2303127746834814</v>
      </c>
      <c r="E43" s="112">
        <f>IF(27491.12217="","-",27491.12217/2455668.71834*100)</f>
        <v>1.1194963703647955</v>
      </c>
      <c r="F43" s="112">
        <f>IF(28305.46284="","-",28305.46284/3629752.43882*100)</f>
        <v>0.77981799908100213</v>
      </c>
      <c r="G43" s="110">
        <f>IF(29791.47011="","-",29791.47011/3358202.51081*100)</f>
        <v>0.88712547900556138</v>
      </c>
    </row>
    <row r="44" spans="1:7" x14ac:dyDescent="0.2">
      <c r="A44" s="118" t="s">
        <v>107</v>
      </c>
      <c r="B44" s="15">
        <f>IF(OR(44814.10232="",44814.10232="***"),"-",44814.10232/2218501.69139*100)</f>
        <v>2.0200165947099986</v>
      </c>
      <c r="C44" s="112">
        <f>IF(68820.70766="","-",68820.70766/2294320.13289*100)</f>
        <v>2.9996122456246419</v>
      </c>
      <c r="D44" s="112">
        <f>IF(49170.41919="","-",49170.41919/1986828.81646*100)</f>
        <v>2.4748191078488886</v>
      </c>
      <c r="E44" s="112">
        <f>IF(80751.33586="","-",80751.33586/2455668.71834*100)</f>
        <v>3.2883643977265327</v>
      </c>
      <c r="F44" s="112">
        <f>IF(60587.39728="","-",60587.39728/3629752.43882*100)</f>
        <v>1.6691881416490326</v>
      </c>
      <c r="G44" s="110">
        <f>IF(26594.52431="","-",26594.52431/3358202.51081*100)</f>
        <v>0.79192735472005205</v>
      </c>
    </row>
    <row r="45" spans="1:7" x14ac:dyDescent="0.2">
      <c r="A45" s="118" t="s">
        <v>90</v>
      </c>
      <c r="B45" s="15">
        <f>IF(OR(12438.68073="",12438.68073="***"),"-",12438.68073/2218501.69139*100)</f>
        <v>0.56067934400386055</v>
      </c>
      <c r="C45" s="112">
        <f>IF(11161.23548="","-",11161.23548/2294320.13289*100)</f>
        <v>0.48647245517306886</v>
      </c>
      <c r="D45" s="112">
        <f>IF(10567.02599="","-",10567.02599/1986828.81646*100)</f>
        <v>0.53185387198216838</v>
      </c>
      <c r="E45" s="112">
        <f>IF(21416.80786="","-",21416.80786/2455668.71834*100)</f>
        <v>0.87213750372963506</v>
      </c>
      <c r="F45" s="112">
        <f>IF(15842.93161="","-",15842.93161/3629752.43882*100)</f>
        <v>0.43647416392811611</v>
      </c>
      <c r="G45" s="110">
        <f>IF(26551.18887="","-",26551.18887/3358202.51081*100)</f>
        <v>0.79063691914147971</v>
      </c>
    </row>
    <row r="46" spans="1:7" x14ac:dyDescent="0.2">
      <c r="A46" s="119" t="s">
        <v>89</v>
      </c>
      <c r="B46" s="10">
        <f>IF(OR(6922.02227="",6922.02227="***"),"-",6922.02227/2218501.69139*100)</f>
        <v>0.31201338709203397</v>
      </c>
      <c r="C46" s="111">
        <f>IF(9406.37675="","-",9406.37675/2294320.13289*100)</f>
        <v>0.40998536408044428</v>
      </c>
      <c r="D46" s="111">
        <f>IF(10082.09339="","-",10082.09339/1986828.81646*100)</f>
        <v>0.50744650502722255</v>
      </c>
      <c r="E46" s="111">
        <f>IF(6579.1694="","-",6579.1694/2455668.71834*100)</f>
        <v>0.26791762874462283</v>
      </c>
      <c r="F46" s="111">
        <f>IF(14268.6879="","-",14268.6879/3629752.43882*100)</f>
        <v>0.39310361079717665</v>
      </c>
      <c r="G46" s="105">
        <f>IF(25783.39963="","-",25783.39963/3358202.51081*100)</f>
        <v>0.7677738178982253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53" t="s">
        <v>82</v>
      </c>
      <c r="B2" s="153"/>
      <c r="C2" s="153"/>
      <c r="D2" s="153"/>
      <c r="E2" s="153"/>
      <c r="F2" s="153"/>
      <c r="G2" s="153"/>
    </row>
    <row r="3" spans="1:8" ht="15" customHeight="1" x14ac:dyDescent="0.2">
      <c r="A3" s="101"/>
      <c r="B3" s="101"/>
      <c r="C3" s="101"/>
      <c r="D3" s="101"/>
      <c r="E3" s="101"/>
      <c r="F3" s="101"/>
      <c r="G3" s="101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52"/>
      <c r="B6" s="152"/>
      <c r="C6" s="152"/>
      <c r="D6" s="152"/>
      <c r="E6" s="152"/>
      <c r="F6" s="152"/>
      <c r="G6" s="152"/>
      <c r="H6" s="152"/>
    </row>
    <row r="30" spans="1:6" x14ac:dyDescent="0.2">
      <c r="A30" s="92" t="s">
        <v>108</v>
      </c>
      <c r="B30" s="37" t="s">
        <v>44</v>
      </c>
    </row>
    <row r="31" spans="1:6" ht="15" x14ac:dyDescent="0.2">
      <c r="A31" s="114" t="s">
        <v>65</v>
      </c>
      <c r="B31" s="130">
        <v>12.3</v>
      </c>
      <c r="C31" s="96"/>
      <c r="D31" s="98"/>
      <c r="E31" s="99"/>
      <c r="F31" s="99"/>
    </row>
    <row r="32" spans="1:6" ht="15" x14ac:dyDescent="0.2">
      <c r="A32" s="115" t="s">
        <v>79</v>
      </c>
      <c r="B32" s="131">
        <v>12.1</v>
      </c>
      <c r="C32" s="96"/>
      <c r="D32" s="98"/>
      <c r="E32" s="99"/>
      <c r="F32" s="99"/>
    </row>
    <row r="33" spans="1:6" ht="15" x14ac:dyDescent="0.2">
      <c r="A33" s="115" t="s">
        <v>60</v>
      </c>
      <c r="B33" s="131">
        <v>11.2</v>
      </c>
      <c r="C33" s="96"/>
      <c r="D33" s="98"/>
      <c r="E33" s="99"/>
      <c r="F33" s="99"/>
    </row>
    <row r="34" spans="1:6" ht="15" x14ac:dyDescent="0.2">
      <c r="A34" s="115" t="s">
        <v>61</v>
      </c>
      <c r="B34" s="131">
        <v>8</v>
      </c>
      <c r="C34" s="96"/>
      <c r="D34" s="98"/>
      <c r="E34" s="99"/>
      <c r="F34" s="99"/>
    </row>
    <row r="35" spans="1:6" ht="15" x14ac:dyDescent="0.2">
      <c r="A35" s="115" t="s">
        <v>67</v>
      </c>
      <c r="B35" s="131">
        <v>6.8</v>
      </c>
      <c r="C35" s="96"/>
      <c r="D35" s="98"/>
      <c r="E35" s="99"/>
      <c r="F35" s="99"/>
    </row>
    <row r="36" spans="1:6" ht="15" x14ac:dyDescent="0.2">
      <c r="A36" s="115" t="s">
        <v>62</v>
      </c>
      <c r="B36" s="131">
        <v>9.6999999999999993</v>
      </c>
      <c r="C36" s="96"/>
      <c r="D36" s="98"/>
      <c r="E36" s="99"/>
      <c r="F36" s="99"/>
    </row>
    <row r="37" spans="1:6" ht="15" x14ac:dyDescent="0.2">
      <c r="A37" s="115" t="s">
        <v>63</v>
      </c>
      <c r="B37" s="131">
        <v>8.9</v>
      </c>
      <c r="C37" s="96"/>
      <c r="D37" s="98"/>
      <c r="E37" s="99"/>
      <c r="F37" s="99"/>
    </row>
    <row r="38" spans="1:6" ht="15" x14ac:dyDescent="0.2">
      <c r="A38" s="115" t="s">
        <v>69</v>
      </c>
      <c r="B38" s="131">
        <v>4</v>
      </c>
      <c r="C38" s="96"/>
      <c r="D38" s="98"/>
      <c r="E38" s="99"/>
      <c r="F38" s="99"/>
    </row>
    <row r="39" spans="1:6" ht="15" x14ac:dyDescent="0.2">
      <c r="A39" s="115" t="s">
        <v>66</v>
      </c>
      <c r="B39" s="131">
        <v>3.3</v>
      </c>
      <c r="C39" s="96"/>
      <c r="D39" s="98"/>
      <c r="E39" s="99"/>
      <c r="F39" s="99"/>
    </row>
    <row r="40" spans="1:6" ht="15" x14ac:dyDescent="0.2">
      <c r="A40" s="115" t="s">
        <v>76</v>
      </c>
      <c r="B40" s="131">
        <v>2.1</v>
      </c>
      <c r="C40" s="96"/>
      <c r="D40" s="98"/>
      <c r="E40" s="99"/>
      <c r="F40" s="99"/>
    </row>
    <row r="41" spans="1:6" ht="15" x14ac:dyDescent="0.2">
      <c r="A41" s="115" t="s">
        <v>78</v>
      </c>
      <c r="B41" s="131">
        <v>2.2000000000000002</v>
      </c>
      <c r="C41" s="96"/>
      <c r="D41" s="98"/>
      <c r="E41" s="99"/>
      <c r="F41" s="99"/>
    </row>
    <row r="42" spans="1:6" ht="15" x14ac:dyDescent="0.2">
      <c r="A42" s="115" t="s">
        <v>72</v>
      </c>
      <c r="B42" s="131">
        <v>2.1</v>
      </c>
      <c r="C42" s="96"/>
      <c r="D42" s="98"/>
      <c r="E42" s="99"/>
      <c r="F42" s="99"/>
    </row>
    <row r="43" spans="1:6" ht="15" x14ac:dyDescent="0.2">
      <c r="A43" s="116" t="s">
        <v>68</v>
      </c>
      <c r="B43" s="105">
        <v>17.3</v>
      </c>
      <c r="C43" s="97"/>
      <c r="D43" s="98"/>
      <c r="E43" s="100"/>
      <c r="F43" s="100"/>
    </row>
    <row r="44" spans="1:6" x14ac:dyDescent="0.2">
      <c r="A44" s="59"/>
      <c r="B44" s="77"/>
    </row>
    <row r="45" spans="1:6" x14ac:dyDescent="0.2">
      <c r="A45" s="92" t="s">
        <v>109</v>
      </c>
      <c r="B45" s="27" t="s">
        <v>44</v>
      </c>
    </row>
    <row r="46" spans="1:6" ht="15" x14ac:dyDescent="0.2">
      <c r="A46" s="114" t="s">
        <v>65</v>
      </c>
      <c r="B46" s="132">
        <v>15.5</v>
      </c>
      <c r="D46" s="99"/>
    </row>
    <row r="47" spans="1:6" ht="15" x14ac:dyDescent="0.2">
      <c r="A47" s="115" t="s">
        <v>79</v>
      </c>
      <c r="B47" s="133">
        <v>11</v>
      </c>
      <c r="D47" s="99"/>
    </row>
    <row r="48" spans="1:6" ht="15" x14ac:dyDescent="0.2">
      <c r="A48" s="115" t="s">
        <v>60</v>
      </c>
      <c r="B48" s="133">
        <v>10.3</v>
      </c>
      <c r="D48" s="99"/>
    </row>
    <row r="49" spans="1:4" ht="15" x14ac:dyDescent="0.2">
      <c r="A49" s="115" t="s">
        <v>61</v>
      </c>
      <c r="B49" s="133">
        <v>8.6</v>
      </c>
      <c r="D49" s="99"/>
    </row>
    <row r="50" spans="1:4" ht="15" x14ac:dyDescent="0.2">
      <c r="A50" s="115" t="s">
        <v>67</v>
      </c>
      <c r="B50" s="133">
        <v>7.1</v>
      </c>
      <c r="D50" s="99"/>
    </row>
    <row r="51" spans="1:4" ht="15" x14ac:dyDescent="0.2">
      <c r="A51" s="115" t="s">
        <v>62</v>
      </c>
      <c r="B51" s="133">
        <v>6.8</v>
      </c>
      <c r="D51" s="99"/>
    </row>
    <row r="52" spans="1:4" ht="15" x14ac:dyDescent="0.2">
      <c r="A52" s="115" t="s">
        <v>63</v>
      </c>
      <c r="B52" s="133">
        <v>6.2</v>
      </c>
      <c r="D52" s="99"/>
    </row>
    <row r="53" spans="1:4" ht="15" x14ac:dyDescent="0.2">
      <c r="A53" s="115" t="s">
        <v>69</v>
      </c>
      <c r="B53" s="133">
        <v>4.9000000000000004</v>
      </c>
      <c r="D53" s="99"/>
    </row>
    <row r="54" spans="1:4" ht="15" x14ac:dyDescent="0.2">
      <c r="A54" s="115" t="s">
        <v>66</v>
      </c>
      <c r="B54" s="133">
        <v>3.6</v>
      </c>
      <c r="D54" s="99"/>
    </row>
    <row r="55" spans="1:4" ht="15" x14ac:dyDescent="0.2">
      <c r="A55" s="115" t="s">
        <v>76</v>
      </c>
      <c r="B55" s="133">
        <v>2.7</v>
      </c>
      <c r="D55" s="99"/>
    </row>
    <row r="56" spans="1:4" ht="15" x14ac:dyDescent="0.2">
      <c r="A56" s="115" t="s">
        <v>78</v>
      </c>
      <c r="B56" s="133">
        <v>2</v>
      </c>
      <c r="D56" s="99"/>
    </row>
    <row r="57" spans="1:4" ht="15" x14ac:dyDescent="0.2">
      <c r="A57" s="115" t="s">
        <v>72</v>
      </c>
      <c r="B57" s="133">
        <v>1.6</v>
      </c>
      <c r="D57" s="99"/>
    </row>
    <row r="58" spans="1:4" ht="15" x14ac:dyDescent="0.2">
      <c r="A58" s="116" t="s">
        <v>68</v>
      </c>
      <c r="B58" s="106">
        <v>19.7</v>
      </c>
      <c r="D58" s="100"/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8.5703125" style="3" customWidth="1"/>
    <col min="2" max="2" width="9.7109375" style="3" customWidth="1"/>
    <col min="3" max="3" width="10" style="3" customWidth="1"/>
    <col min="4" max="4" width="9.5703125" style="3" customWidth="1"/>
    <col min="5" max="5" width="9.28515625" style="3" bestFit="1" customWidth="1"/>
    <col min="6" max="6" width="10.28515625" style="3" customWidth="1"/>
    <col min="7" max="7" width="9.28515625" style="3" bestFit="1" customWidth="1"/>
    <col min="8" max="8" width="10" style="3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51" t="s">
        <v>86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10">
        <v>821.1</v>
      </c>
      <c r="E28" s="10">
        <v>690.6</v>
      </c>
      <c r="F28" s="10">
        <v>709.2</v>
      </c>
      <c r="G28" s="35">
        <v>665.6</v>
      </c>
      <c r="H28" s="35">
        <v>639.5</v>
      </c>
      <c r="I28" s="35">
        <v>698.9</v>
      </c>
      <c r="J28" s="35">
        <v>702.1</v>
      </c>
      <c r="K28" s="35">
        <v>713.7</v>
      </c>
      <c r="L28" s="35"/>
      <c r="M28" s="36"/>
    </row>
    <row r="29" spans="1:13" x14ac:dyDescent="0.2">
      <c r="E29" s="102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I32"/>
  <sheetViews>
    <sheetView workbookViewId="0">
      <selection activeCell="A2" sqref="A2:T2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0.140625" style="3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32" width="6.140625" style="3" customWidth="1"/>
    <col min="33" max="34" width="5.85546875" style="3" customWidth="1"/>
    <col min="35" max="35" width="5.7109375" style="3" customWidth="1"/>
    <col min="36" max="16384" width="9.140625" style="3"/>
  </cols>
  <sheetData>
    <row r="2" spans="1:20" ht="12.75" x14ac:dyDescent="0.2">
      <c r="A2" s="146" t="s">
        <v>87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5" x14ac:dyDescent="0.2">
      <c r="A17" s="4"/>
    </row>
    <row r="18" spans="1:35" x14ac:dyDescent="0.2">
      <c r="A18" s="4"/>
    </row>
    <row r="19" spans="1:35" x14ac:dyDescent="0.2">
      <c r="A19" s="4"/>
    </row>
    <row r="20" spans="1:35" x14ac:dyDescent="0.2">
      <c r="A20" s="4"/>
    </row>
    <row r="21" spans="1:35" ht="15" customHeight="1" x14ac:dyDescent="0.2">
      <c r="A21" s="4"/>
    </row>
    <row r="22" spans="1:35" x14ac:dyDescent="0.2">
      <c r="A22" s="4"/>
    </row>
    <row r="23" spans="1:35" x14ac:dyDescent="0.2">
      <c r="A23" s="154"/>
      <c r="B23" s="143">
        <v>2021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43">
        <v>2022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5"/>
      <c r="Z23" s="156">
        <v>2023</v>
      </c>
      <c r="AA23" s="156"/>
      <c r="AB23" s="156"/>
      <c r="AC23" s="156"/>
      <c r="AD23" s="156"/>
      <c r="AE23" s="156"/>
      <c r="AF23" s="156"/>
      <c r="AG23" s="156"/>
      <c r="AH23" s="156"/>
      <c r="AI23" s="156"/>
    </row>
    <row r="24" spans="1:35" x14ac:dyDescent="0.2">
      <c r="A24" s="155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87" t="s">
        <v>20</v>
      </c>
      <c r="Y24" s="87" t="s">
        <v>21</v>
      </c>
      <c r="Z24" s="20" t="s">
        <v>13</v>
      </c>
      <c r="AA24" s="20" t="s">
        <v>14</v>
      </c>
      <c r="AB24" s="20" t="s">
        <v>15</v>
      </c>
      <c r="AC24" s="20" t="s">
        <v>16</v>
      </c>
      <c r="AD24" s="20" t="s">
        <v>17</v>
      </c>
      <c r="AE24" s="27" t="s">
        <v>22</v>
      </c>
      <c r="AF24" s="27" t="s">
        <v>18</v>
      </c>
      <c r="AG24" s="27" t="s">
        <v>23</v>
      </c>
      <c r="AH24" s="27" t="s">
        <v>19</v>
      </c>
      <c r="AI24" s="27" t="s">
        <v>24</v>
      </c>
    </row>
    <row r="25" spans="1:35" ht="27.75" customHeight="1" x14ac:dyDescent="0.2">
      <c r="A25" s="16" t="s">
        <v>55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88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15">
        <v>88.988673647198652</v>
      </c>
      <c r="X25" s="15">
        <v>114.26056736134905</v>
      </c>
      <c r="Y25" s="120">
        <v>101.80484196839581</v>
      </c>
      <c r="Z25" s="55">
        <v>83.926621848561766</v>
      </c>
      <c r="AA25" s="14">
        <v>102.61098940878497</v>
      </c>
      <c r="AB25" s="14">
        <v>109.12124896586097</v>
      </c>
      <c r="AC25" s="14">
        <v>84.108871928407495</v>
      </c>
      <c r="AD25" s="14">
        <v>102.68878207006242</v>
      </c>
      <c r="AE25" s="14">
        <v>93.851597003176721</v>
      </c>
      <c r="AF25" s="14">
        <v>96.086512164873767</v>
      </c>
      <c r="AG25" s="14">
        <v>109.27507416248771</v>
      </c>
      <c r="AH25" s="14">
        <v>100.47049386929925</v>
      </c>
      <c r="AI25" s="11">
        <v>101.64405035986022</v>
      </c>
    </row>
    <row r="26" spans="1:35" ht="42" customHeight="1" x14ac:dyDescent="0.2">
      <c r="A26" s="18" t="s">
        <v>56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19">
        <f>IF(621670.20413="","-",733326.83984/621670.20413*100)</f>
        <v>117.96075072735046</v>
      </c>
      <c r="AA26" s="10">
        <f>IF(669093.24933="","-",752473.92596/669093.24933*100)</f>
        <v>112.46174232268726</v>
      </c>
      <c r="AB26" s="10">
        <f>IF(748290.45998="","-",821108.94615/748290.45998*100)</f>
        <v>109.73131291449928</v>
      </c>
      <c r="AC26" s="10">
        <f>IF(770435.79939="","-",690625.47191/770435.79939*100)</f>
        <v>89.640885386791396</v>
      </c>
      <c r="AD26" s="10">
        <f>IF(772669.2169="","-",709194.88577/772669.2169*100)</f>
        <v>91.785057597523661</v>
      </c>
      <c r="AE26" s="10">
        <f>IF(768415.61486="","-",665590.72616/768415.61486*100)</f>
        <v>86.618584173522549</v>
      </c>
      <c r="AF26" s="10">
        <f>IF(761060.1229="","-",639542.91406/761060.1229*100)</f>
        <v>84.03316568775648</v>
      </c>
      <c r="AG26" s="10">
        <f>IF(779967.62088="","-",698860.99364/779967.62088*100)</f>
        <v>89.601282788060971</v>
      </c>
      <c r="AH26" s="10">
        <f>IF(844143.83056="","-",702149.09177/844143.83056*100)</f>
        <v>83.178845399391065</v>
      </c>
      <c r="AI26" s="12">
        <f>IF(751147.02622="","-",713692.77644/751147.02622*100)</f>
        <v>95.013725878876059</v>
      </c>
    </row>
    <row r="27" spans="1:35" x14ac:dyDescent="0.2">
      <c r="A27" s="7"/>
      <c r="B27" s="8"/>
      <c r="C27" s="8"/>
      <c r="D27" s="8"/>
      <c r="E27" s="8"/>
      <c r="F27" s="8"/>
      <c r="G27" s="8"/>
      <c r="H27" s="8"/>
    </row>
    <row r="28" spans="1:35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4"/>
      <c r="X28" s="84"/>
      <c r="Y28" s="84"/>
    </row>
    <row r="29" spans="1:35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5" ht="15.75" x14ac:dyDescent="0.25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5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5" ht="15.75" x14ac:dyDescent="0.2">
      <c r="L32" s="45"/>
    </row>
  </sheetData>
  <mergeCells count="5">
    <mergeCell ref="A23:A24"/>
    <mergeCell ref="B23:M23"/>
    <mergeCell ref="N23:Y23"/>
    <mergeCell ref="A2:T2"/>
    <mergeCell ref="Z23:AI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2023-11-15T16:00:27Z</cp:lastPrinted>
  <dcterms:created xsi:type="dcterms:W3CDTF">2017-02-13T11:50:10Z</dcterms:created>
  <dcterms:modified xsi:type="dcterms:W3CDTF">2023-12-15T07:01:37Z</dcterms:modified>
</cp:coreProperties>
</file>