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CorinaVicol\Desktop\Com Ext\"/>
    </mc:Choice>
  </mc:AlternateContent>
  <xr:revisionPtr revIDLastSave="0" documentId="13_ncr:1_{266F1B54-82AD-43CE-9B12-523894E8EA78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6" l="1"/>
  <c r="F49" i="16"/>
  <c r="E49" i="16"/>
  <c r="D49" i="16"/>
  <c r="C49" i="16"/>
  <c r="B49" i="16"/>
  <c r="G48" i="16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46" i="5" l="1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F26" i="8"/>
  <c r="AE26" i="8"/>
  <c r="AF26" i="2" l="1"/>
  <c r="AE26" i="2"/>
  <c r="AA26" i="2" l="1"/>
  <c r="AD26" i="8" l="1"/>
  <c r="AC26" i="8"/>
  <c r="AB26" i="8"/>
  <c r="AA26" i="8"/>
  <c r="Z26" i="8"/>
  <c r="AD26" i="2" l="1"/>
  <c r="AC26" i="2"/>
  <c r="AB26" i="2"/>
  <c r="Z26" i="2"/>
  <c r="Y26" i="8" l="1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<sst xmlns="http://schemas.openxmlformats.org/spreadsheetml/2006/main" count="295" uniqueCount="118">
  <si>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</si>
  <si>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</si>
  <si>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</si>
  <si>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</si>
  <si>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</si>
  <si>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</si>
  <si>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</si>
  <si>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</si>
  <si>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</si>
  <si>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</si>
  <si>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</si>
  <si>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</si>
  <si>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</si>
  <si>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</si>
  <si>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</si>
  <si>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</si>
  <si>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</si>
  <si>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</si>
  <si>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</si>
  <si>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</si>
  <si>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</si>
  <si>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</si>
  <si>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</si>
  <si>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</si>
  <si>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</si>
  <si>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</si>
  <si>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</si>
  <si>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</si>
  <si>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</si>
  <si>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</si>
  <si>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</si>
  <si>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</si>
  <si>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</si>
  <si>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</si>
  <si>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</si>
  <si>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</si>
  <si>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</si>
  <si>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</si>
  <si>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</si>
  <si>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</si>
  <si>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</si>
  <si>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</si>
  <si>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</si>
  <si>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</si>
  <si>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</si>
  <si>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</si>
  <si>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</si>
  <si>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</si>
  <si>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</si>
  <si>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</si>
  <si>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</si>
  <si>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</si>
  <si>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</si>
  <si>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</si>
  <si>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</si>
  <si>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</si>
  <si>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</si>
  <si>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</si>
  <si>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</si>
  <si>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</si>
  <si>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</si>
  <si>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</si>
  <si>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</si>
  <si>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</si>
  <si>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</si>
  <si>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</si>
  <si>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</si>
  <si>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</si>
  <si>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</si>
  <si>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</si>
  <si>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</si>
  <si>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</si>
  <si>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</si>
  <si>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</si>
  <si>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</si>
  <si>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</si>
  <si>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</si>
  <si>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</si>
  <si>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</si>
  <si>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</si>
  <si>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</si>
  <si>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</si>
  <si>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</si>
  <si>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</si>
  <si>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</si>
  <si>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</si>
  <si>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</si>
  <si>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</si>
  <si>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</si>
  <si>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</si>
  <si>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Liban</t>
  </si>
  <si>
    <t>Articole prelucrate din metal</t>
  </si>
  <si>
    <t>Federația Rusă</t>
  </si>
  <si>
    <t>Franța</t>
  </si>
  <si>
    <t>Elveția</t>
  </si>
  <si>
    <t>China</t>
  </si>
  <si>
    <t>India</t>
  </si>
  <si>
    <t>Austria</t>
  </si>
  <si>
    <t>Japonia</t>
  </si>
  <si>
    <t>Slovacia</t>
  </si>
  <si>
    <t>Belgia</t>
  </si>
  <si>
    <t>Coreea de Sud</t>
  </si>
  <si>
    <t>Ianuarie-iulie 2023</t>
  </si>
  <si>
    <t>Ianuarie-iulie 2022</t>
  </si>
  <si>
    <t>Ianuarie-iulie 2021</t>
  </si>
  <si>
    <t>Ianuarie-iulie 2020</t>
  </si>
  <si>
    <t>Ianuarie-iulie 2019</t>
  </si>
  <si>
    <t>Ianuarie-iulie 2018</t>
  </si>
  <si>
    <t xml:space="preserve">   Ianuarie-iulie 2022</t>
  </si>
  <si>
    <t xml:space="preserve">   Ianuarie-iulie 2023</t>
  </si>
  <si>
    <t>S.U.A</t>
  </si>
  <si>
    <r>
      <rPr>
        <b/>
        <sz val="10"/>
        <color rgb="FF000000"/>
        <rFont val="Arial"/>
        <family val="2"/>
        <charset val="204"/>
      </rPr>
      <t>Figura 3.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ianuarie-iulie 2018-2023, după modul de transport (%)</t>
    </r>
  </si>
  <si>
    <r>
      <rPr>
        <b/>
        <sz val="10"/>
        <color rgb="FF000000"/>
        <rFont val="Arial"/>
        <family val="2"/>
        <charset val="204"/>
      </rPr>
      <t xml:space="preserve">Figura 4. </t>
    </r>
    <r>
      <rPr>
        <b/>
        <i/>
        <sz val="10"/>
        <color indexed="8"/>
        <rFont val="Arial"/>
        <family val="2"/>
        <charset val="204"/>
      </rPr>
      <t>Structura exporturilor de mărfuri, în ianuarie-iulie 2018-2023, pe grupe de ţări (%)</t>
    </r>
  </si>
  <si>
    <r>
      <rPr>
        <b/>
        <sz val="10"/>
        <color rgb="FF000000"/>
        <rFont val="Arial"/>
        <family val="2"/>
        <charset val="204"/>
      </rPr>
      <t>Figura 5.</t>
    </r>
    <r>
      <rPr>
        <b/>
        <i/>
        <sz val="10"/>
        <color indexed="8"/>
        <rFont val="Arial"/>
        <family val="2"/>
        <charset val="204"/>
      </rPr>
      <t xml:space="preserve"> Structura exporturilor, în ianuarie-iulie 2018-2023, pe principalele ţări de destinaţie a mărfurilor (%)</t>
    </r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</si>
  <si>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ianuarie-iulie 2018-2023, după modul de transport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</si>
  <si>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ianuarie-iulie 2018-2023, pe principalele ţări de origine a mărfurilor (%)</t>
    </r>
  </si>
  <si>
    <r>
      <rPr>
        <b/>
        <sz val="10"/>
        <color rgb="FF000000"/>
        <rFont val="Arial"/>
        <family val="2"/>
        <charset val="204"/>
      </rPr>
      <t xml:space="preserve">Figura 14. </t>
    </r>
    <r>
      <rPr>
        <b/>
        <i/>
        <sz val="10"/>
        <color indexed="8"/>
        <rFont val="Arial"/>
        <family val="2"/>
        <charset val="204"/>
      </rPr>
      <t>Tendinţele comerţului internaţional cu mărfuri, în ianuarie-iulie 2018-2023 (milioane dolari SUA)</t>
    </r>
  </si>
  <si>
    <r>
      <t xml:space="preserve">    </t>
    </r>
    <r>
      <rPr>
        <b/>
        <sz val="10"/>
        <color theme="1"/>
        <rFont val="Arial"/>
        <family val="2"/>
        <charset val="204"/>
      </rPr>
      <t xml:space="preserve">Figura 10. </t>
    </r>
    <r>
      <rPr>
        <b/>
        <i/>
        <sz val="10"/>
        <color theme="1"/>
        <rFont val="Arial"/>
        <family val="2"/>
        <charset val="204"/>
      </rPr>
      <t>Structura importurilor de mărfuri, în ianuarie-iulie 2018-2023, pe grupe de ţări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</si>
</sst>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top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33" fillId="0" borderId="0" xfId="0" applyFont="1"/>
    <xf numFmtId="0" fontId="3" fillId="0" borderId="6" xfId="0" applyFont="1" applyBorder="1" applyAlignment="1">
      <alignment horizontal="left" indent="1"/>
    </xf>
    <xf numFmtId="38" fontId="4" fillId="0" borderId="0" xfId="0" applyNumberFormat="1" applyFont="1" applyAlignment="1">
      <alignment horizontal="left" wrapText="1" indent="1"/>
    </xf>
    <xf numFmtId="0" fontId="17" fillId="0" borderId="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top"/>
    </xf>
    <xf numFmtId="38" fontId="4" fillId="0" borderId="4" xfId="0" applyNumberFormat="1" applyFont="1" applyBorder="1" applyAlignment="1">
      <alignment horizontal="left" vertical="top" wrapText="1" indent="1"/>
    </xf>
    <xf numFmtId="38" fontId="4" fillId="0" borderId="5" xfId="0" applyNumberFormat="1" applyFont="1" applyBorder="1" applyAlignment="1">
      <alignment horizontal="left" vertical="top" wrapText="1" indent="1"/>
    </xf>
    <xf numFmtId="38" fontId="4" fillId="0" borderId="6" xfId="0" applyNumberFormat="1" applyFont="1" applyBorder="1" applyAlignment="1">
      <alignment horizontal="left" vertical="top" wrapText="1" inden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38" fontId="6" fillId="0" borderId="2" xfId="0" applyNumberFormat="1" applyFont="1" applyBorder="1" applyAlignment="1">
      <alignment horizontal="left" wrapText="1" indent="1"/>
    </xf>
    <xf numFmtId="38" fontId="6" fillId="0" borderId="0" xfId="0" applyNumberFormat="1" applyFont="1" applyAlignment="1">
      <alignment horizontal="left" wrapText="1" indent="1"/>
    </xf>
    <xf numFmtId="38" fontId="6" fillId="0" borderId="3" xfId="0" applyNumberFormat="1" applyFont="1" applyBorder="1" applyAlignment="1">
      <alignment horizontal="left" wrapText="1" indent="1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000"/>
      <color rgb="FF7CAFDD"/>
      <color rgb="FF43682B"/>
      <color rgb="FF264478"/>
      <color rgb="FF997300"/>
      <color rgb="FF636363"/>
      <color rgb="FF9E480E"/>
      <color rgb="FF255E91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317.10000000000002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  <c:pt idx="5">
                  <c:v>316.60000000000002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  <c:pt idx="5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61216"/>
        <c:axId val="93828160"/>
      </c:barChart>
      <c:catAx>
        <c:axId val="939612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828160"/>
        <c:crosses val="autoZero"/>
        <c:auto val="0"/>
        <c:lblAlgn val="ctr"/>
        <c:lblOffset val="100"/>
        <c:tickLblSkip val="1"/>
        <c:noMultiLvlLbl val="0"/>
      </c:catAx>
      <c:valAx>
        <c:axId val="938281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61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9'!$B$23</c:f>
              <c:strCache>
                <c:ptCount val="1"/>
                <c:pt idx="0">
                  <c:v>Ianuarie-iulie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9'!$B$24:$B$30</c:f>
              <c:numCache>
                <c:formatCode>0.0</c:formatCode>
                <c:ptCount val="7"/>
                <c:pt idx="0">
                  <c:v>7.6</c:v>
                </c:pt>
                <c:pt idx="1">
                  <c:v>4.0999999999999996</c:v>
                </c:pt>
                <c:pt idx="2">
                  <c:v>78.099999999999994</c:v>
                </c:pt>
                <c:pt idx="3">
                  <c:v>1.8</c:v>
                </c:pt>
                <c:pt idx="4">
                  <c:v>0.1</c:v>
                </c:pt>
                <c:pt idx="5">
                  <c:v>7.6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9'!$C$23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9'!$C$24:$C$30</c:f>
              <c:numCache>
                <c:formatCode>0.0</c:formatCode>
                <c:ptCount val="7"/>
                <c:pt idx="0">
                  <c:v>7.5</c:v>
                </c:pt>
                <c:pt idx="1">
                  <c:v>4.9000000000000004</c:v>
                </c:pt>
                <c:pt idx="2">
                  <c:v>76.400000000000006</c:v>
                </c:pt>
                <c:pt idx="3">
                  <c:v>1.6</c:v>
                </c:pt>
                <c:pt idx="4">
                  <c:v>0.1</c:v>
                </c:pt>
                <c:pt idx="5">
                  <c:v>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9'!$D$23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9'!$D$24:$D$30</c:f>
              <c:numCache>
                <c:formatCode>0.0</c:formatCode>
                <c:ptCount val="7"/>
                <c:pt idx="0">
                  <c:v>2.2999999999999998</c:v>
                </c:pt>
                <c:pt idx="1">
                  <c:v>4.7</c:v>
                </c:pt>
                <c:pt idx="2">
                  <c:v>86.5</c:v>
                </c:pt>
                <c:pt idx="3">
                  <c:v>2.4</c:v>
                </c:pt>
                <c:pt idx="4">
                  <c:v>0.2</c:v>
                </c:pt>
                <c:pt idx="5">
                  <c:v>3.3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9'!$E$23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9'!$E$24:$E$30</c:f>
              <c:numCache>
                <c:formatCode>0.0</c:formatCode>
                <c:ptCount val="7"/>
                <c:pt idx="0">
                  <c:v>1.6</c:v>
                </c:pt>
                <c:pt idx="1">
                  <c:v>5.5</c:v>
                </c:pt>
                <c:pt idx="2">
                  <c:v>85.9</c:v>
                </c:pt>
                <c:pt idx="3">
                  <c:v>2.2000000000000002</c:v>
                </c:pt>
                <c:pt idx="4">
                  <c:v>0.3</c:v>
                </c:pt>
                <c:pt idx="5">
                  <c:v>4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9'!$F$23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9'!$F$24:$F$30</c:f>
              <c:numCache>
                <c:formatCode>0.0</c:formatCode>
                <c:ptCount val="7"/>
                <c:pt idx="0">
                  <c:v>2</c:v>
                </c:pt>
                <c:pt idx="1">
                  <c:v>4.7</c:v>
                </c:pt>
                <c:pt idx="2">
                  <c:v>84.4</c:v>
                </c:pt>
                <c:pt idx="3">
                  <c:v>2.6</c:v>
                </c:pt>
                <c:pt idx="4">
                  <c:v>0.2</c:v>
                </c:pt>
                <c:pt idx="5">
                  <c:v>5.4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9'!$G$23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9'!$G$24:$G$30</c:f>
              <c:numCache>
                <c:formatCode>0.0</c:formatCode>
                <c:ptCount val="7"/>
                <c:pt idx="0">
                  <c:v>2.9</c:v>
                </c:pt>
                <c:pt idx="1">
                  <c:v>5.4</c:v>
                </c:pt>
                <c:pt idx="2">
                  <c:v>83.4</c:v>
                </c:pt>
                <c:pt idx="3">
                  <c:v>2.5</c:v>
                </c:pt>
                <c:pt idx="4">
                  <c:v>0.3</c:v>
                </c:pt>
                <c:pt idx="5">
                  <c:v>4.8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82464"/>
        <c:axId val="128386752"/>
      </c:barChart>
      <c:catAx>
        <c:axId val="128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6752"/>
        <c:crossesAt val="0"/>
        <c:auto val="1"/>
        <c:lblAlgn val="ctr"/>
        <c:lblOffset val="100"/>
        <c:noMultiLvlLbl val="0"/>
      </c:catAx>
      <c:valAx>
        <c:axId val="1283867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246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093957289017331"/>
          <c:y val="0.91909764444001463"/>
          <c:w val="0.75850221087991299"/>
          <c:h val="7.928402936974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 formatCode="0.0">
                  <c:v>50</c:v>
                </c:pt>
                <c:pt idx="1">
                  <c:v>49.2</c:v>
                </c:pt>
                <c:pt idx="2" formatCode="0.0">
                  <c:v>45.9</c:v>
                </c:pt>
                <c:pt idx="3" formatCode="0.0">
                  <c:v>47.2</c:v>
                </c:pt>
                <c:pt idx="4" formatCode="0.0">
                  <c:v>46.2</c:v>
                </c:pt>
                <c:pt idx="5" formatCode="0.0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 formatCode="0.0">
                  <c:v>23.6</c:v>
                </c:pt>
                <c:pt idx="1">
                  <c:v>24.5</c:v>
                </c:pt>
                <c:pt idx="2" formatCode="0.0">
                  <c:v>25.4</c:v>
                </c:pt>
                <c:pt idx="3" formatCode="0.0">
                  <c:v>23.1</c:v>
                </c:pt>
                <c:pt idx="4" formatCode="0.0">
                  <c:v>25.9</c:v>
                </c:pt>
                <c:pt idx="5" formatCode="0.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 formatCode="0.0">
                  <c:v>26.4</c:v>
                </c:pt>
                <c:pt idx="1">
                  <c:v>26.3</c:v>
                </c:pt>
                <c:pt idx="2" formatCode="0.0">
                  <c:v>28.7</c:v>
                </c:pt>
                <c:pt idx="3" formatCode="0.0">
                  <c:v>29.7</c:v>
                </c:pt>
                <c:pt idx="4" formatCode="0.0">
                  <c:v>27.9</c:v>
                </c:pt>
                <c:pt idx="5" formatCode="0.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21920"/>
        <c:axId val="128389056"/>
      </c:barChart>
      <c:catAx>
        <c:axId val="128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9056"/>
        <c:crosses val="autoZero"/>
        <c:auto val="0"/>
        <c:lblAlgn val="ctr"/>
        <c:lblOffset val="100"/>
        <c:noMultiLvlLbl val="0"/>
      </c:catAx>
      <c:valAx>
        <c:axId val="128389056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72192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</c:v>
                </c:pt>
                <c:pt idx="16">
                  <c:v>Austria</c:v>
                </c:pt>
                <c:pt idx="17">
                  <c:v>Japonia</c:v>
                </c:pt>
                <c:pt idx="18">
                  <c:v>Belarus</c:v>
                </c:pt>
                <c:pt idx="19">
                  <c:v>Kazahstan</c:v>
                </c:pt>
                <c:pt idx="20">
                  <c:v>Netherlands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Coreea de Sud</c:v>
                </c:pt>
                <c:pt idx="24">
                  <c:v>Belgia</c:v>
                </c:pt>
              </c:strCache>
            </c:strRef>
          </c:cat>
          <c:val>
            <c:numRef>
              <c:f>'Figura 11'!$B$25:$B$49</c:f>
              <c:numCache>
                <c:formatCode>#,##0.0</c:formatCode>
                <c:ptCount val="25"/>
                <c:pt idx="0">
                  <c:v>14.287121650067162</c:v>
                </c:pt>
                <c:pt idx="1">
                  <c:v>9.5983531645156521</c:v>
                </c:pt>
                <c:pt idx="2">
                  <c:v>10.415899500067567</c:v>
                </c:pt>
                <c:pt idx="3">
                  <c:v>5.8237058917391007</c:v>
                </c:pt>
                <c:pt idx="4">
                  <c:v>8.5471728443421568</c:v>
                </c:pt>
                <c:pt idx="5">
                  <c:v>7.3589005141033406</c:v>
                </c:pt>
                <c:pt idx="6">
                  <c:v>11.640655162538781</c:v>
                </c:pt>
                <c:pt idx="7">
                  <c:v>3.5305100357122878</c:v>
                </c:pt>
                <c:pt idx="8">
                  <c:v>2.703385969764545</c:v>
                </c:pt>
                <c:pt idx="9">
                  <c:v>0.52731519152465589</c:v>
                </c:pt>
                <c:pt idx="10">
                  <c:v>2.1507409514307589</c:v>
                </c:pt>
                <c:pt idx="11">
                  <c:v>1.4816942963468016</c:v>
                </c:pt>
                <c:pt idx="12">
                  <c:v>1.1692743013370692</c:v>
                </c:pt>
                <c:pt idx="13">
                  <c:v>0.44796655059210583</c:v>
                </c:pt>
                <c:pt idx="14">
                  <c:v>1.4282645424430909</c:v>
                </c:pt>
                <c:pt idx="15">
                  <c:v>1.3329679420312015</c:v>
                </c:pt>
                <c:pt idx="16">
                  <c:v>1.9901003414393781</c:v>
                </c:pt>
                <c:pt idx="17">
                  <c:v>0.99827001499227519</c:v>
                </c:pt>
                <c:pt idx="18">
                  <c:v>1.9254824276236537</c:v>
                </c:pt>
                <c:pt idx="19">
                  <c:v>7.9876020946762119E-2</c:v>
                </c:pt>
                <c:pt idx="20">
                  <c:v>1.0861542886823092</c:v>
                </c:pt>
                <c:pt idx="21">
                  <c:v>0.5320667352508831</c:v>
                </c:pt>
                <c:pt idx="22">
                  <c:v>1.0624611311753636</c:v>
                </c:pt>
                <c:pt idx="23">
                  <c:v>0.64187107315689607</c:v>
                </c:pt>
                <c:pt idx="24">
                  <c:v>0.88554290486498444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</c:v>
                </c:pt>
                <c:pt idx="16">
                  <c:v>Austria</c:v>
                </c:pt>
                <c:pt idx="17">
                  <c:v>Japonia</c:v>
                </c:pt>
                <c:pt idx="18">
                  <c:v>Belarus</c:v>
                </c:pt>
                <c:pt idx="19">
                  <c:v>Kazahstan</c:v>
                </c:pt>
                <c:pt idx="20">
                  <c:v>Netherlands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Coreea de Sud</c:v>
                </c:pt>
                <c:pt idx="24">
                  <c:v>Belgia</c:v>
                </c:pt>
              </c:strCache>
            </c:strRef>
          </c:cat>
          <c:val>
            <c:numRef>
              <c:f>'Figura 11'!$C$25:$C$49</c:f>
              <c:numCache>
                <c:formatCode>#,##0.0</c:formatCode>
                <c:ptCount val="25"/>
                <c:pt idx="0">
                  <c:v>14.295966603459323</c:v>
                </c:pt>
                <c:pt idx="1">
                  <c:v>9.8040546275903715</c:v>
                </c:pt>
                <c:pt idx="2">
                  <c:v>9.9646774785183325</c:v>
                </c:pt>
                <c:pt idx="3">
                  <c:v>6.4301923613616614</c:v>
                </c:pt>
                <c:pt idx="4">
                  <c:v>8.4711032146935157</c:v>
                </c:pt>
                <c:pt idx="5">
                  <c:v>7.2663232333062044</c:v>
                </c:pt>
                <c:pt idx="6">
                  <c:v>12.008515794089734</c:v>
                </c:pt>
                <c:pt idx="7">
                  <c:v>3.3356883815199292</c:v>
                </c:pt>
                <c:pt idx="8">
                  <c:v>2.6590652311560858</c:v>
                </c:pt>
                <c:pt idx="9">
                  <c:v>0.63222503953720344</c:v>
                </c:pt>
                <c:pt idx="10">
                  <c:v>2.013943739097857</c:v>
                </c:pt>
                <c:pt idx="11">
                  <c:v>1.9159882227839338</c:v>
                </c:pt>
                <c:pt idx="12">
                  <c:v>0.84695383961151327</c:v>
                </c:pt>
                <c:pt idx="13">
                  <c:v>0.41310396020151735</c:v>
                </c:pt>
                <c:pt idx="14">
                  <c:v>1.4771322979981414</c:v>
                </c:pt>
                <c:pt idx="15">
                  <c:v>1.2532500226581258</c:v>
                </c:pt>
                <c:pt idx="16">
                  <c:v>1.6985994515721965</c:v>
                </c:pt>
                <c:pt idx="17">
                  <c:v>0.81948282872594835</c:v>
                </c:pt>
                <c:pt idx="18">
                  <c:v>2.2524353467636051</c:v>
                </c:pt>
                <c:pt idx="19">
                  <c:v>0.14894175879694482</c:v>
                </c:pt>
                <c:pt idx="20">
                  <c:v>1.0535487876004399</c:v>
                </c:pt>
                <c:pt idx="21">
                  <c:v>0.59437410721032746</c:v>
                </c:pt>
                <c:pt idx="22">
                  <c:v>1.0081984605517884</c:v>
                </c:pt>
                <c:pt idx="23">
                  <c:v>0.62561399977686871</c:v>
                </c:pt>
                <c:pt idx="24">
                  <c:v>0.76948017011328451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</c:v>
                </c:pt>
                <c:pt idx="16">
                  <c:v>Austria</c:v>
                </c:pt>
                <c:pt idx="17">
                  <c:v>Japonia</c:v>
                </c:pt>
                <c:pt idx="18">
                  <c:v>Belarus</c:v>
                </c:pt>
                <c:pt idx="19">
                  <c:v>Kazahstan</c:v>
                </c:pt>
                <c:pt idx="20">
                  <c:v>Netherlands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Coreea de Sud</c:v>
                </c:pt>
                <c:pt idx="24">
                  <c:v>Belgia</c:v>
                </c:pt>
              </c:strCache>
            </c:strRef>
          </c:cat>
          <c:val>
            <c:numRef>
              <c:f>'Figura 11'!$D$25:$D$49</c:f>
              <c:numCache>
                <c:formatCode>#,##0.0</c:formatCode>
                <c:ptCount val="25"/>
                <c:pt idx="0">
                  <c:v>12.081443319221611</c:v>
                </c:pt>
                <c:pt idx="1">
                  <c:v>9.5635838613022539</c:v>
                </c:pt>
                <c:pt idx="2">
                  <c:v>11.111011012434986</c:v>
                </c:pt>
                <c:pt idx="3">
                  <c:v>6.7543212548230924</c:v>
                </c:pt>
                <c:pt idx="4">
                  <c:v>8.1911151157748776</c:v>
                </c:pt>
                <c:pt idx="5">
                  <c:v>6.6697761366239003</c:v>
                </c:pt>
                <c:pt idx="6">
                  <c:v>11.686773502185341</c:v>
                </c:pt>
                <c:pt idx="7">
                  <c:v>3.8664111856693086</c:v>
                </c:pt>
                <c:pt idx="8">
                  <c:v>2.5533319629893128</c:v>
                </c:pt>
                <c:pt idx="9">
                  <c:v>0.79622858698140975</c:v>
                </c:pt>
                <c:pt idx="10">
                  <c:v>1.9682359830556491</c:v>
                </c:pt>
                <c:pt idx="11">
                  <c:v>1.626596817415646</c:v>
                </c:pt>
                <c:pt idx="12">
                  <c:v>1.0712472874104595</c:v>
                </c:pt>
                <c:pt idx="13">
                  <c:v>0.49884141580065333</c:v>
                </c:pt>
                <c:pt idx="14">
                  <c:v>1.4866406322061709</c:v>
                </c:pt>
                <c:pt idx="15">
                  <c:v>1.3308349366412879</c:v>
                </c:pt>
                <c:pt idx="16">
                  <c:v>1.1196552604030952</c:v>
                </c:pt>
                <c:pt idx="17">
                  <c:v>1.0190300581382483</c:v>
                </c:pt>
                <c:pt idx="18">
                  <c:v>1.9565253721224145</c:v>
                </c:pt>
                <c:pt idx="19">
                  <c:v>1.8316318534147649</c:v>
                </c:pt>
                <c:pt idx="20">
                  <c:v>1.0624503407427288</c:v>
                </c:pt>
                <c:pt idx="21">
                  <c:v>0.50537870537053864</c:v>
                </c:pt>
                <c:pt idx="22">
                  <c:v>0.91419325977121035</c:v>
                </c:pt>
                <c:pt idx="23">
                  <c:v>0.75555636565240669</c:v>
                </c:pt>
                <c:pt idx="24">
                  <c:v>0.76151096630993886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</c:v>
                </c:pt>
                <c:pt idx="16">
                  <c:v>Austria</c:v>
                </c:pt>
                <c:pt idx="17">
                  <c:v>Japonia</c:v>
                </c:pt>
                <c:pt idx="18">
                  <c:v>Belarus</c:v>
                </c:pt>
                <c:pt idx="19">
                  <c:v>Kazahstan</c:v>
                </c:pt>
                <c:pt idx="20">
                  <c:v>Netherlands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Coreea de Sud</c:v>
                </c:pt>
                <c:pt idx="24">
                  <c:v>Belgia</c:v>
                </c:pt>
              </c:strCache>
            </c:strRef>
          </c:cat>
          <c:val>
            <c:numRef>
              <c:f>'Figura 11'!$E$25:$E$49</c:f>
              <c:numCache>
                <c:formatCode>#,##0.0</c:formatCode>
                <c:ptCount val="25"/>
                <c:pt idx="0">
                  <c:v>12.595324757986475</c:v>
                </c:pt>
                <c:pt idx="1">
                  <c:v>9.1847948807326851</c:v>
                </c:pt>
                <c:pt idx="2">
                  <c:v>11.654319053011617</c:v>
                </c:pt>
                <c:pt idx="3">
                  <c:v>7.0813827776978329</c:v>
                </c:pt>
                <c:pt idx="4">
                  <c:v>8.293314029085602</c:v>
                </c:pt>
                <c:pt idx="5">
                  <c:v>6.7882494114712175</c:v>
                </c:pt>
                <c:pt idx="6">
                  <c:v>11.631806815655672</c:v>
                </c:pt>
                <c:pt idx="7">
                  <c:v>3.8308333673591135</c:v>
                </c:pt>
                <c:pt idx="8">
                  <c:v>2.5795579619999658</c:v>
                </c:pt>
                <c:pt idx="9">
                  <c:v>0.68226916241482805</c:v>
                </c:pt>
                <c:pt idx="10">
                  <c:v>1.9043463656999042</c:v>
                </c:pt>
                <c:pt idx="11">
                  <c:v>1.758977757432048</c:v>
                </c:pt>
                <c:pt idx="12">
                  <c:v>1.1986444977260842</c:v>
                </c:pt>
                <c:pt idx="13">
                  <c:v>0.45076986641929423</c:v>
                </c:pt>
                <c:pt idx="14">
                  <c:v>1.3941197136602146</c:v>
                </c:pt>
                <c:pt idx="15">
                  <c:v>1.6089896364775</c:v>
                </c:pt>
                <c:pt idx="16">
                  <c:v>1.5425548898788266</c:v>
                </c:pt>
                <c:pt idx="17">
                  <c:v>0.97880653280184116</c:v>
                </c:pt>
                <c:pt idx="18">
                  <c:v>1.8259345889333418</c:v>
                </c:pt>
                <c:pt idx="19">
                  <c:v>0.20155680860887348</c:v>
                </c:pt>
                <c:pt idx="20">
                  <c:v>1.0552376242040711</c:v>
                </c:pt>
                <c:pt idx="21">
                  <c:v>0.57909981830487101</c:v>
                </c:pt>
                <c:pt idx="22">
                  <c:v>0.97261980514161184</c:v>
                </c:pt>
                <c:pt idx="23">
                  <c:v>0.69526690484244591</c:v>
                </c:pt>
                <c:pt idx="24">
                  <c:v>0.70125366239987297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</c:v>
                </c:pt>
                <c:pt idx="16">
                  <c:v>Austria</c:v>
                </c:pt>
                <c:pt idx="17">
                  <c:v>Japonia</c:v>
                </c:pt>
                <c:pt idx="18">
                  <c:v>Belarus</c:v>
                </c:pt>
                <c:pt idx="19">
                  <c:v>Kazahstan</c:v>
                </c:pt>
                <c:pt idx="20">
                  <c:v>Netherlands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Coreea de Sud</c:v>
                </c:pt>
                <c:pt idx="24">
                  <c:v>Belgia</c:v>
                </c:pt>
              </c:strCache>
            </c:strRef>
          </c:cat>
          <c:val>
            <c:numRef>
              <c:f>'Figura 11'!$F$25:$F$49</c:f>
              <c:numCache>
                <c:formatCode>#,##0.0</c:formatCode>
                <c:ptCount val="25"/>
                <c:pt idx="0">
                  <c:v>16.626423406689259</c:v>
                </c:pt>
                <c:pt idx="1">
                  <c:v>9.4177127248881547</c:v>
                </c:pt>
                <c:pt idx="2">
                  <c:v>9.6286198859293357</c:v>
                </c:pt>
                <c:pt idx="3">
                  <c:v>6.9470720368279277</c:v>
                </c:pt>
                <c:pt idx="4">
                  <c:v>6.5380966663274132</c:v>
                </c:pt>
                <c:pt idx="5">
                  <c:v>5.1654008569757899</c:v>
                </c:pt>
                <c:pt idx="6">
                  <c:v>14.259185257030616</c:v>
                </c:pt>
                <c:pt idx="7">
                  <c:v>3.3597694810284677</c:v>
                </c:pt>
                <c:pt idx="8">
                  <c:v>2.2298785821868989</c:v>
                </c:pt>
                <c:pt idx="9">
                  <c:v>2.8102353437660073</c:v>
                </c:pt>
                <c:pt idx="10">
                  <c:v>2.0767685097911524</c:v>
                </c:pt>
                <c:pt idx="11">
                  <c:v>1.4972161799188228</c:v>
                </c:pt>
                <c:pt idx="12">
                  <c:v>1.4760793798483567</c:v>
                </c:pt>
                <c:pt idx="13">
                  <c:v>0.70736773502154304</c:v>
                </c:pt>
                <c:pt idx="14">
                  <c:v>1.2145008631941994</c:v>
                </c:pt>
                <c:pt idx="15">
                  <c:v>1.573533107942076</c:v>
                </c:pt>
                <c:pt idx="16">
                  <c:v>0.93643853373239216</c:v>
                </c:pt>
                <c:pt idx="17">
                  <c:v>0.75268391840867543</c:v>
                </c:pt>
                <c:pt idx="18">
                  <c:v>1.2373215799684052</c:v>
                </c:pt>
                <c:pt idx="19">
                  <c:v>0.23350052960378845</c:v>
                </c:pt>
                <c:pt idx="20">
                  <c:v>1.0031585662044051</c:v>
                </c:pt>
                <c:pt idx="21">
                  <c:v>0.57084728463836532</c:v>
                </c:pt>
                <c:pt idx="22">
                  <c:v>0.82109932908428285</c:v>
                </c:pt>
                <c:pt idx="23">
                  <c:v>0.69855472412964381</c:v>
                </c:pt>
                <c:pt idx="24">
                  <c:v>0.60455623416401871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Ianuarie-iulie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</c:v>
                </c:pt>
                <c:pt idx="16">
                  <c:v>Austria</c:v>
                </c:pt>
                <c:pt idx="17">
                  <c:v>Japonia</c:v>
                </c:pt>
                <c:pt idx="18">
                  <c:v>Belarus</c:v>
                </c:pt>
                <c:pt idx="19">
                  <c:v>Kazahstan</c:v>
                </c:pt>
                <c:pt idx="20">
                  <c:v>Netherlands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Coreea de Sud</c:v>
                </c:pt>
                <c:pt idx="24">
                  <c:v>Belgia</c:v>
                </c:pt>
              </c:strCache>
            </c:strRef>
          </c:cat>
          <c:val>
            <c:numRef>
              <c:f>'Figura 11'!$G$25:$G$49</c:f>
              <c:numCache>
                <c:formatCode>#,##0.0</c:formatCode>
                <c:ptCount val="25"/>
                <c:pt idx="0">
                  <c:v>15.582353772457283</c:v>
                </c:pt>
                <c:pt idx="1">
                  <c:v>12.500149407090886</c:v>
                </c:pt>
                <c:pt idx="2">
                  <c:v>10.891636482136667</c:v>
                </c:pt>
                <c:pt idx="3">
                  <c:v>8.7073495263328464</c:v>
                </c:pt>
                <c:pt idx="4">
                  <c:v>7.0718079643866654</c:v>
                </c:pt>
                <c:pt idx="5">
                  <c:v>5.5434822151532233</c:v>
                </c:pt>
                <c:pt idx="6">
                  <c:v>4.2527750230307699</c:v>
                </c:pt>
                <c:pt idx="7">
                  <c:v>3.5394189828648206</c:v>
                </c:pt>
                <c:pt idx="8">
                  <c:v>2.5373345494283912</c:v>
                </c:pt>
                <c:pt idx="9">
                  <c:v>2.3531528854635555</c:v>
                </c:pt>
                <c:pt idx="10">
                  <c:v>2.2004192356618457</c:v>
                </c:pt>
                <c:pt idx="11">
                  <c:v>1.7628969132979626</c:v>
                </c:pt>
                <c:pt idx="12">
                  <c:v>1.7016010482286676</c:v>
                </c:pt>
                <c:pt idx="13">
                  <c:v>1.5955808530655373</c:v>
                </c:pt>
                <c:pt idx="14">
                  <c:v>1.3327946521975707</c:v>
                </c:pt>
                <c:pt idx="15">
                  <c:v>1.3201466484146889</c:v>
                </c:pt>
                <c:pt idx="16">
                  <c:v>1.0710994301489472</c:v>
                </c:pt>
                <c:pt idx="17">
                  <c:v>1.0571362612110053</c:v>
                </c:pt>
                <c:pt idx="18">
                  <c:v>0.97701626134342501</c:v>
                </c:pt>
                <c:pt idx="19">
                  <c:v>0.97241411459401472</c:v>
                </c:pt>
                <c:pt idx="20">
                  <c:v>0.96488900468352234</c:v>
                </c:pt>
                <c:pt idx="21">
                  <c:v>0.96052732498903803</c:v>
                </c:pt>
                <c:pt idx="22">
                  <c:v>0.87336139310501337</c:v>
                </c:pt>
                <c:pt idx="23">
                  <c:v>0.67322404396572166</c:v>
                </c:pt>
                <c:pt idx="24">
                  <c:v>0.66121614911161952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567872"/>
        <c:axId val="128391360"/>
      </c:barChart>
      <c:catAx>
        <c:axId val="1275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91360"/>
        <c:crosses val="autoZero"/>
        <c:auto val="1"/>
        <c:lblAlgn val="ctr"/>
        <c:lblOffset val="100"/>
        <c:noMultiLvlLbl val="0"/>
      </c:catAx>
      <c:valAx>
        <c:axId val="128391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756787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961138683081816"/>
          <c:y val="0.87203727441046597"/>
          <c:w val="0.75813786434590413"/>
          <c:h val="7.9728444797113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iu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581800272677584"/>
          <c:y val="1.20364366218928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4.8817696414950422E-2"/>
                  <c:y val="1.888574688221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3.2036613272311214E-2"/>
                  <c:y val="-6.88361680789834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4744469870327"/>
                      <c:h val="0.16958805873556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1.8306636155606518E-2"/>
                  <c:y val="-0.1009890777926220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59026889373381"/>
                      <c:h val="0.168404353655388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2.5934521342726783E-2"/>
                  <c:y val="-0.124349705739244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35545385202132"/>
                      <c:h val="0.12747383047707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3.294689994414314E-2"/>
                  <c:y val="-7.02317801615787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9.2277938941842793E-4"/>
                  <c:y val="4.690208320197577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10403262521246634"/>
                  <c:y val="1.73805379850364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4358697153701"/>
                      <c:h val="0.1699726141799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3485143876466243"/>
                  <c:y val="2.63424940606555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0281026084554"/>
                      <c:h val="0.122341868302995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18304113587632209"/>
                  <c:y val="-6.28556319973922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1814904773058974"/>
                  <c:y val="-0.2040683765157671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08771929824559"/>
                      <c:h val="0.184249346582899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5432566352546892"/>
                  <c:y val="-0.3189285149200374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595728451563"/>
                      <c:h val="0.13441000926739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2163606551469396"/>
                  <c:y val="-0.45365348491103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3.1999135119551707E-2"/>
                  <c:y val="-0.59065426175466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9832189168573608"/>
                  <c:y val="-0.21152036508081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12'!$A$44:$A$57</c:f>
              <c:strCache>
                <c:ptCount val="14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Legume şi fructe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12'!$B$44:$B$57</c:f>
              <c:numCache>
                <c:formatCode>0.0</c:formatCode>
                <c:ptCount val="14"/>
                <c:pt idx="0">
                  <c:v>15.8</c:v>
                </c:pt>
                <c:pt idx="1">
                  <c:v>7.6</c:v>
                </c:pt>
                <c:pt idx="2">
                  <c:v>7.5</c:v>
                </c:pt>
                <c:pt idx="3">
                  <c:v>6.6</c:v>
                </c:pt>
                <c:pt idx="4">
                  <c:v>3.6</c:v>
                </c:pt>
                <c:pt idx="5">
                  <c:v>3.4</c:v>
                </c:pt>
                <c:pt idx="6">
                  <c:v>2.8</c:v>
                </c:pt>
                <c:pt idx="7">
                  <c:v>2.8</c:v>
                </c:pt>
                <c:pt idx="8">
                  <c:v>2.6</c:v>
                </c:pt>
                <c:pt idx="9">
                  <c:v>2.4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</c:v>
                </c:pt>
                <c:pt idx="13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iu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319716334156549"/>
          <c:y val="1.09127236442937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Lbls>
            <c:dLbl>
              <c:idx val="0"/>
              <c:layout>
                <c:manualLayout>
                  <c:x val="-5.5692070057993009E-2"/>
                  <c:y val="6.7797883345645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3.6036045331642536E-2"/>
                  <c:y val="-0.1108525705822544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-1.1466014423704563E-2"/>
                  <c:y val="-0.1448284040747932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21286288194468"/>
                      <c:h val="0.155669559179197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3.8999152366177813E-2"/>
                  <c:y val="-0.137624823518486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44982735200328"/>
                      <c:h val="0.13255262505715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5.2416065936934479E-2"/>
                  <c:y val="-8.5911821644100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1.1272807566486116E-2"/>
                  <c:y val="-2.47221987274996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721566440151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-7.8623969928861698E-2"/>
                  <c:y val="1.95695595932304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5994385714209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0.10483213187386919"/>
                  <c:y val="1.8215672090694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0.15676995279974537"/>
                  <c:y val="-3.755869655353119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3992798981809"/>
                      <c:h val="0.17545826045861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7918233516669185"/>
                  <c:y val="-0.18358750022919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9550928113837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7035221429503744"/>
                  <c:y val="-0.308353497720157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5465547437225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4086817720551173"/>
                  <c:y val="-0.4499886732434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5.8968074179051422E-2"/>
                  <c:y val="-0.5755459171330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0.1998362513845631"/>
                  <c:y val="-0.21971837483815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6110227478502"/>
                      <c:h val="8.4093921583356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12'!$A$28:$A$41</c:f>
              <c:strCache>
                <c:ptCount val="14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Legume şi fructe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12'!$B$28:$B$41</c:f>
              <c:numCache>
                <c:formatCode>0.0</c:formatCode>
                <c:ptCount val="14"/>
                <c:pt idx="0">
                  <c:v>15.9</c:v>
                </c:pt>
                <c:pt idx="1">
                  <c:v>9.1</c:v>
                </c:pt>
                <c:pt idx="2">
                  <c:v>6.1</c:v>
                </c:pt>
                <c:pt idx="3">
                  <c:v>5.7</c:v>
                </c:pt>
                <c:pt idx="4">
                  <c:v>3.8</c:v>
                </c:pt>
                <c:pt idx="5">
                  <c:v>3.2</c:v>
                </c:pt>
                <c:pt idx="6">
                  <c:v>2.7</c:v>
                </c:pt>
                <c:pt idx="7">
                  <c:v>2.2999999999999998</c:v>
                </c:pt>
                <c:pt idx="8">
                  <c:v>3.7</c:v>
                </c:pt>
                <c:pt idx="9">
                  <c:v>1.9</c:v>
                </c:pt>
                <c:pt idx="10">
                  <c:v>2.1</c:v>
                </c:pt>
                <c:pt idx="11">
                  <c:v>2.2000000000000002</c:v>
                </c:pt>
                <c:pt idx="12">
                  <c:v>1.8</c:v>
                </c:pt>
                <c:pt idx="13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  <c:pt idx="5">
                  <c:v>-348.6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  <c:pt idx="5">
                  <c:v>-334.9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8304"/>
        <c:axId val="133212992"/>
      </c:barChart>
      <c:catAx>
        <c:axId val="1338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12992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5830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475690538683E-2"/>
                  <c:y val="1.6359226864225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91154677094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2216044423018551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14'!$B$28:$B$33</c:f>
              <c:numCache>
                <c:formatCode>General</c:formatCode>
                <c:ptCount val="6"/>
                <c:pt idx="0">
                  <c:v>1533.6</c:v>
                </c:pt>
                <c:pt idx="1">
                  <c:v>1581.4</c:v>
                </c:pt>
                <c:pt idx="2">
                  <c:v>1361.3</c:v>
                </c:pt>
                <c:pt idx="3">
                  <c:v>1572.2</c:v>
                </c:pt>
                <c:pt idx="4">
                  <c:v>2629.6</c:v>
                </c:pt>
                <c:pt idx="5">
                  <c:v>2346.5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14'!$C$28:$C$33</c:f>
              <c:numCache>
                <c:formatCode>General</c:formatCode>
                <c:ptCount val="6"/>
                <c:pt idx="0">
                  <c:v>3222.9</c:v>
                </c:pt>
                <c:pt idx="1">
                  <c:v>3307.4</c:v>
                </c:pt>
                <c:pt idx="2">
                  <c:v>2890.3</c:v>
                </c:pt>
                <c:pt idx="3">
                  <c:v>3828.1</c:v>
                </c:pt>
                <c:pt idx="4">
                  <c:v>5111.6000000000004</c:v>
                </c:pt>
                <c:pt idx="5">
                  <c:v>5010.8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33806080"/>
        <c:axId val="133217024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53138000607062E-2"/>
                  <c:y val="-2.930799066640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7411466423839843E-2"/>
                  <c:y val="3.5322068257806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3.9784598353777206E-2"/>
                  <c:y val="-3.901005914062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7879836449015304E-2"/>
                  <c:y val="3.154049581266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7191636759690755E-2"/>
                  <c:y val="-3.0717562948953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6.0542432195975502E-3"/>
                  <c:y val="1.9518481919895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14'!$D$28:$D$33</c:f>
              <c:numCache>
                <c:formatCode>#,##0.0</c:formatCode>
                <c:ptCount val="6"/>
                <c:pt idx="0">
                  <c:v>-1689.3000000000002</c:v>
                </c:pt>
                <c:pt idx="1">
                  <c:v>-1726</c:v>
                </c:pt>
                <c:pt idx="2">
                  <c:v>-1529.0000000000002</c:v>
                </c:pt>
                <c:pt idx="3">
                  <c:v>-2255.8999999999996</c:v>
                </c:pt>
                <c:pt idx="4">
                  <c:v>-2482.0000000000005</c:v>
                </c:pt>
                <c:pt idx="5">
                  <c:v>-2664.3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080"/>
        <c:axId val="133217024"/>
      </c:lineChart>
      <c:catAx>
        <c:axId val="1338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7024"/>
        <c:crosses val="autoZero"/>
        <c:auto val="1"/>
        <c:lblAlgn val="ctr"/>
        <c:lblOffset val="100"/>
        <c:noMultiLvlLbl val="0"/>
      </c:catAx>
      <c:valAx>
        <c:axId val="133217024"/>
        <c:scaling>
          <c:orientation val="minMax"/>
          <c:max val="6000"/>
          <c:min val="-4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06080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3443222211951362E-2"/>
                  <c:y val="-2.8264641306757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A467-4F44-B57D-57C60A5D0C66}"/>
                </c:ext>
              </c:extLst>
            </c:dLbl>
            <c:dLbl>
              <c:idx val="1"/>
              <c:layout>
                <c:manualLayout>
                  <c:x val="-3.6457225130743419E-2"/>
                  <c:y val="-2.530469794817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7-4F44-B57D-57C60A5D0C66}"/>
                </c:ext>
              </c:extLst>
            </c:dLbl>
            <c:dLbl>
              <c:idx val="2"/>
              <c:layout>
                <c:manualLayout>
                  <c:x val="-6.885436012067302E-3"/>
                  <c:y val="1.4989951869094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7-4F44-B57D-57C60A5D0C66}"/>
                </c:ext>
              </c:extLst>
            </c:dLbl>
            <c:dLbl>
              <c:idx val="3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7-4F44-B57D-57C60A5D0C66}"/>
                </c:ext>
              </c:extLst>
            </c:dLbl>
            <c:dLbl>
              <c:idx val="4"/>
              <c:layout>
                <c:manualLayout>
                  <c:x val="-1.0186544651580191E-2"/>
                  <c:y val="2.181438491850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7-4F44-B57D-57C60A5D0C66}"/>
                </c:ext>
              </c:extLst>
            </c:dLbl>
            <c:dLbl>
              <c:idx val="5"/>
              <c:layout>
                <c:manualLayout>
                  <c:x val="-2.1906626666330531E-2"/>
                  <c:y val="2.896665164810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7-4F44-B57D-57C60A5D0C66}"/>
                </c:ext>
              </c:extLst>
            </c:dLbl>
            <c:dLbl>
              <c:idx val="6"/>
              <c:layout>
                <c:manualLayout>
                  <c:x val="-1.8928999102650092E-2"/>
                  <c:y val="-2.76824933668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7-4F44-B57D-57C60A5D0C66}"/>
                </c:ext>
              </c:extLst>
            </c:dLbl>
            <c:dLbl>
              <c:idx val="7"/>
              <c:layout>
                <c:manualLayout>
                  <c:x val="-2.08212466810078E-2"/>
                  <c:y val="2.70139529561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7-4F44-B57D-57C60A5D0C66}"/>
                </c:ext>
              </c:extLst>
            </c:dLbl>
            <c:dLbl>
              <c:idx val="8"/>
              <c:layout>
                <c:manualLayout>
                  <c:x val="-4.9212592580540303E-2"/>
                  <c:y val="-2.48020768521101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7-4F44-B57D-57C60A5D0C66}"/>
                </c:ext>
              </c:extLst>
            </c:dLbl>
            <c:dLbl>
              <c:idx val="9"/>
              <c:layout>
                <c:manualLayout>
                  <c:x val="-3.498856108564026E-2"/>
                  <c:y val="2.612142147081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7-4F44-B57D-57C60A5D0C66}"/>
                </c:ext>
              </c:extLst>
            </c:dLbl>
            <c:dLbl>
              <c:idx val="10"/>
              <c:layout>
                <c:manualLayout>
                  <c:x val="-1.7704798639764478E-2"/>
                  <c:y val="-1.7988228310698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774622174355458E-2"/>
                  <c:y val="2.73735227541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2.23417783354493E-2"/>
                  <c:y val="-2.500770736991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1.4220270307518445E-2"/>
                  <c:y val="3.155871183676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2.6059378650240862E-2"/>
                  <c:y val="-2.523632774785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2.3586567703530924E-2"/>
                  <c:y val="-2.876362676887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9.8504756653157634E-3"/>
                  <c:y val="-1.71554849921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9806465598779351E-2"/>
                  <c:y val="2.826007860128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3958691277942649E-2"/>
                  <c:y val="-2.674705171390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2.6729192440803264E-2"/>
                  <c:y val="2.9805545423988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592084697278002E-2"/>
                      <c:h val="4.2169824139829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0179531234208441E-2"/>
                  <c:y val="-2.3376887153411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01612338479032E-2"/>
                      <c:h val="3.70391984380699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134608611496605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067285929982217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788660314776883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2.1569693760205379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1.1520408128121029E-2"/>
                  <c:y val="-2.033598661202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5-47A2-BA65-A68496B03D77}"/>
                </c:ext>
              </c:extLst>
            </c:dLbl>
            <c:dLbl>
              <c:idx val="27"/>
              <c:layout>
                <c:manualLayout>
                  <c:x val="-2.1913988917710132E-2"/>
                  <c:y val="-4.213435173464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8-4289-A3E3-B060B2DBC62B}"/>
                </c:ext>
              </c:extLst>
            </c:dLbl>
            <c:dLbl>
              <c:idx val="28"/>
              <c:layout>
                <c:manualLayout>
                  <c:x val="-2.6613932540714178E-2"/>
                  <c:y val="-2.3969047465797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7-4475-99F9-38F5443B2E52}"/>
                </c:ext>
              </c:extLst>
            </c:dLbl>
            <c:dLbl>
              <c:idx val="29"/>
              <c:layout>
                <c:manualLayout>
                  <c:x val="-1.7813206753695819E-2"/>
                  <c:y val="-3.12351691733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E-4A7A-B1BC-91559A5D2172}"/>
                </c:ext>
              </c:extLst>
            </c:dLbl>
            <c:dLbl>
              <c:idx val="30"/>
              <c:layout>
                <c:manualLayout>
                  <c:x val="-7.2303170710185066E-4"/>
                  <c:y val="-3.12351691733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F4-48C4-BCB2-1885672B8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2'!$B$25:$AF$25</c:f>
              <c:numCache>
                <c:formatCode>#,##0.0</c:formatCode>
                <c:ptCount val="31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 formatCode="0.0">
                  <c:v>110.41268252711565</c:v>
                </c:pt>
                <c:pt idx="22" formatCode="0.0">
                  <c:v>101.07685140675132</c:v>
                </c:pt>
                <c:pt idx="23" formatCode="0.0">
                  <c:v>98.231011775552389</c:v>
                </c:pt>
                <c:pt idx="24" formatCode="0.0">
                  <c:v>94.738709353020752</c:v>
                </c:pt>
                <c:pt idx="25" formatCode="0.0">
                  <c:v>107.53426152887265</c:v>
                </c:pt>
                <c:pt idx="26" formatCode="0.0">
                  <c:v>108.10569775638508</c:v>
                </c:pt>
                <c:pt idx="27" formatCode="0.0">
                  <c:v>82.37132224691446</c:v>
                </c:pt>
                <c:pt idx="28">
                  <c:v>106.1352271642845</c:v>
                </c:pt>
                <c:pt idx="29" formatCode="0.0">
                  <c:v>94.094090343677621</c:v>
                </c:pt>
                <c:pt idx="30" formatCode="0.0">
                  <c:v>96.083754729334231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8418201695077237E-2"/>
                  <c:y val="2.75698495434549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A467-4F44-B57D-57C60A5D0C66}"/>
                </c:ext>
              </c:extLst>
            </c:dLbl>
            <c:dLbl>
              <c:idx val="1"/>
              <c:layout>
                <c:manualLayout>
                  <c:x val="-1.2682096184884722E-2"/>
                  <c:y val="2.4119519120055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7-4F44-B57D-57C60A5D0C66}"/>
                </c:ext>
              </c:extLst>
            </c:dLbl>
            <c:dLbl>
              <c:idx val="2"/>
              <c:layout>
                <c:manualLayout>
                  <c:x val="-4.0328182029540839E-2"/>
                  <c:y val="-2.399593783747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67-4F44-B57D-57C60A5D0C66}"/>
                </c:ext>
              </c:extLst>
            </c:dLbl>
            <c:dLbl>
              <c:idx val="3"/>
              <c:layout>
                <c:manualLayout>
                  <c:x val="-2.1732731647604933E-2"/>
                  <c:y val="-2.501948836776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67-4F44-B57D-57C60A5D0C66}"/>
                </c:ext>
              </c:extLst>
            </c:dLbl>
            <c:dLbl>
              <c:idx val="4"/>
              <c:layout>
                <c:manualLayout>
                  <c:x val="-1.6865015672400608E-2"/>
                  <c:y val="-2.6931565434429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67-4F44-B57D-57C60A5D0C66}"/>
                </c:ext>
              </c:extLst>
            </c:dLbl>
            <c:dLbl>
              <c:idx val="5"/>
              <c:layout>
                <c:manualLayout>
                  <c:x val="-2.2986613254440045E-2"/>
                  <c:y val="-2.982542713495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67-4F44-B57D-57C60A5D0C66}"/>
                </c:ext>
              </c:extLst>
            </c:dLbl>
            <c:dLbl>
              <c:idx val="6"/>
              <c:layout>
                <c:manualLayout>
                  <c:x val="-2.9936572980886141E-2"/>
                  <c:y val="-3.310233359794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67-4F44-B57D-57C60A5D0C66}"/>
                </c:ext>
              </c:extLst>
            </c:dLbl>
            <c:dLbl>
              <c:idx val="7"/>
              <c:layout>
                <c:manualLayout>
                  <c:x val="-3.0207713660441841E-2"/>
                  <c:y val="-3.225929183920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67-4F44-B57D-57C60A5D0C66}"/>
                </c:ext>
              </c:extLst>
            </c:dLbl>
            <c:dLbl>
              <c:idx val="8"/>
              <c:layout>
                <c:manualLayout>
                  <c:x val="-2.5521784121116893E-2"/>
                  <c:y val="-2.9384310612399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2-A467-4F44-B57D-57C60A5D0C66}"/>
                </c:ext>
              </c:extLst>
            </c:dLbl>
            <c:dLbl>
              <c:idx val="9"/>
              <c:layout>
                <c:manualLayout>
                  <c:x val="-2.0040392496295488E-2"/>
                  <c:y val="-2.75368848648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67-4F44-B57D-57C60A5D0C66}"/>
                </c:ext>
              </c:extLst>
            </c:dLbl>
            <c:dLbl>
              <c:idx val="10"/>
              <c:layout>
                <c:manualLayout>
                  <c:x val="-3.0093992043293306E-2"/>
                  <c:y val="3.0410864854427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8975214154240054E-2"/>
                      <c:h val="4.43785534982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3.6944477622910907E-2"/>
                  <c:y val="-3.5240404213778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9082589880465699E-2"/>
                  <c:y val="-2.452974032196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2.4691761837821614E-2"/>
                  <c:y val="3.1101575518318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9.7441715196486239E-3"/>
                  <c:y val="1.925121757600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4.4211583685278777E-2"/>
                  <c:y val="-2.149742181409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9013497000156308E-2"/>
                  <c:y val="-2.853526143019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6.6476749104334206E-3"/>
                  <c:y val="-9.8784927088473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7839499934153503E-2"/>
                  <c:y val="3.1313265678302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6284534603932247E-2"/>
                      <c:h val="5.3560185085856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7.3126664929956354E-3"/>
                  <c:y val="-6.47514428543843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2.1077181853281807E-2"/>
                  <c:y val="-3.100345426848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5880612648039879E-2"/>
                  <c:y val="2.9955731010462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3.9778112005662211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222867415785407E-2"/>
                  <c:y val="3.415992619451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4134608611496376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5058174612654281E-2"/>
                  <c:y val="-3.12351691733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4907982456924466E-2"/>
                  <c:y val="2.689380448697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2.551845267967795E-2"/>
                  <c:y val="3.052700837463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45-47A2-BA65-A68496B03D77}"/>
                </c:ext>
              </c:extLst>
            </c:dLbl>
            <c:dLbl>
              <c:idx val="27"/>
              <c:layout>
                <c:manualLayout>
                  <c:x val="-2.337026921821404E-2"/>
                  <c:y val="3.052700837463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4.4305320145608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748-4289-A3E3-B060B2DBC62B}"/>
                </c:ext>
              </c:extLst>
            </c:dLbl>
            <c:dLbl>
              <c:idx val="28"/>
              <c:layout>
                <c:manualLayout>
                  <c:x val="-2.092599601833754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7-4FC2-99FE-11B7B13BF1D9}"/>
                </c:ext>
              </c:extLst>
            </c:dLbl>
            <c:dLbl>
              <c:idx val="29"/>
              <c:layout>
                <c:manualLayout>
                  <c:x val="-1.3288439176679599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E-4A7A-B1BC-91559A5D2172}"/>
                </c:ext>
              </c:extLst>
            </c:dLbl>
            <c:dLbl>
              <c:idx val="30"/>
              <c:layout>
                <c:manualLayout>
                  <c:x val="-7.2303170710185066E-4"/>
                  <c:y val="3.7792128844929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F4-48C4-BCB2-1885672B8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2'!$B$26:$AF$26</c:f>
              <c:numCache>
                <c:formatCode>#,##0.0</c:formatCode>
                <c:ptCount val="31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 formatCode="0.0">
                  <c:v>148.19932435921535</c:v>
                </c:pt>
                <c:pt idx="14" formatCode="0.0">
                  <c:v>152.66039185472528</c:v>
                </c:pt>
                <c:pt idx="15" formatCode="0.0">
                  <c:v>181.61058088529293</c:v>
                </c:pt>
                <c:pt idx="16" formatCode="0.0">
                  <c:v>206.23310011413275</c:v>
                </c:pt>
                <c:pt idx="17" formatCode="0.0">
                  <c:v>183.60436215205132</c:v>
                </c:pt>
                <c:pt idx="18" formatCode="0.0">
                  <c:v>140.50476839414773</c:v>
                </c:pt>
                <c:pt idx="19" formatCode="0.0">
                  <c:v>139.40559010693906</c:v>
                </c:pt>
                <c:pt idx="20" formatCode="0.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 formatCode="0.0">
                  <c:v>100.22420542342689</c:v>
                </c:pt>
                <c:pt idx="25">
                  <c:v>105.8191402559811</c:v>
                </c:pt>
                <c:pt idx="26" formatCode="0.0">
                  <c:v>97.239900027586913</c:v>
                </c:pt>
                <c:pt idx="27" formatCode="0.0">
                  <c:v>79.994859496749626</c:v>
                </c:pt>
                <c:pt idx="28" formatCode="0.0">
                  <c:v>80.896473977298172</c:v>
                </c:pt>
                <c:pt idx="29" formatCode="0.0">
                  <c:v>76.033163425643508</c:v>
                </c:pt>
                <c:pt idx="30" formatCode="0.0">
                  <c:v>89.948701707763121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Ianuarie-iulie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3'!$B$24:$B$30</c:f>
              <c:numCache>
                <c:formatCode>0.0</c:formatCode>
                <c:ptCount val="7"/>
                <c:pt idx="0">
                  <c:v>13.2</c:v>
                </c:pt>
                <c:pt idx="1">
                  <c:v>2.9</c:v>
                </c:pt>
                <c:pt idx="2">
                  <c:v>81.7</c:v>
                </c:pt>
                <c:pt idx="3">
                  <c:v>1.1000000000000001</c:v>
                </c:pt>
                <c:pt idx="4">
                  <c:v>0</c:v>
                </c:pt>
                <c:pt idx="5">
                  <c:v>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3'!$C$24:$C$30</c:f>
              <c:numCache>
                <c:formatCode>0.0</c:formatCode>
                <c:ptCount val="7"/>
                <c:pt idx="0">
                  <c:v>15.9</c:v>
                </c:pt>
                <c:pt idx="1">
                  <c:v>9.1</c:v>
                </c:pt>
                <c:pt idx="2">
                  <c:v>74</c:v>
                </c:pt>
                <c:pt idx="3">
                  <c:v>0.8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3'!$D$24:$D$30</c:f>
              <c:numCache>
                <c:formatCode>0.0</c:formatCode>
                <c:ptCount val="7"/>
                <c:pt idx="0">
                  <c:v>6.1</c:v>
                </c:pt>
                <c:pt idx="1">
                  <c:v>1.3</c:v>
                </c:pt>
                <c:pt idx="2">
                  <c:v>91.4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3'!$E$24:$E$30</c:f>
              <c:numCache>
                <c:formatCode>0.0</c:formatCode>
                <c:ptCount val="7"/>
                <c:pt idx="0">
                  <c:v>8.6999999999999993</c:v>
                </c:pt>
                <c:pt idx="1">
                  <c:v>3.7</c:v>
                </c:pt>
                <c:pt idx="2">
                  <c:v>86.4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3'!$F$24:$F$30</c:f>
              <c:numCache>
                <c:formatCode>0.0</c:formatCode>
                <c:ptCount val="7"/>
                <c:pt idx="0">
                  <c:v>7</c:v>
                </c:pt>
                <c:pt idx="1">
                  <c:v>4.4000000000000004</c:v>
                </c:pt>
                <c:pt idx="2">
                  <c:v>86.9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3'!$G$24:$G$30</c:f>
              <c:numCache>
                <c:formatCode>0.0</c:formatCode>
                <c:ptCount val="7"/>
                <c:pt idx="0">
                  <c:v>7.1</c:v>
                </c:pt>
                <c:pt idx="1">
                  <c:v>3.2</c:v>
                </c:pt>
                <c:pt idx="2">
                  <c:v>87.4</c:v>
                </c:pt>
                <c:pt idx="3">
                  <c:v>2.2000000000000002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920768"/>
        <c:axId val="100813632"/>
      </c:barChart>
      <c:catAx>
        <c:axId val="1259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3632"/>
        <c:crossesAt val="0"/>
        <c:auto val="1"/>
        <c:lblAlgn val="ctr"/>
        <c:lblOffset val="100"/>
        <c:noMultiLvlLbl val="0"/>
      </c:catAx>
      <c:valAx>
        <c:axId val="10081363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9207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496830203916818"/>
          <c:y val="0.9043039262949274"/>
          <c:w val="0.74691203984117371"/>
          <c:h val="8.20907194151226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65.400000000000006</c:v>
                </c:pt>
                <c:pt idx="1">
                  <c:v>63.3</c:v>
                </c:pt>
                <c:pt idx="2">
                  <c:v>64.3</c:v>
                </c:pt>
                <c:pt idx="3">
                  <c:v>64.2</c:v>
                </c:pt>
                <c:pt idx="4">
                  <c:v>60.3</c:v>
                </c:pt>
                <c:pt idx="5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4'!$B$23:$G$23</c:f>
              <c:numCache>
                <c:formatCode>0.0</c:formatCode>
                <c:ptCount val="6"/>
                <c:pt idx="0">
                  <c:v>16</c:v>
                </c:pt>
                <c:pt idx="1">
                  <c:v>14.7</c:v>
                </c:pt>
                <c:pt idx="2">
                  <c:v>16.2</c:v>
                </c:pt>
                <c:pt idx="3">
                  <c:v>15.5</c:v>
                </c:pt>
                <c:pt idx="4">
                  <c:v>19.7</c:v>
                </c:pt>
                <c:pt idx="5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Ianuarie-iulie 2018</c:v>
                </c:pt>
                <c:pt idx="1">
                  <c:v>Ianuarie-iulie 2019</c:v>
                </c:pt>
                <c:pt idx="2">
                  <c:v>Ianuarie-iulie 2020</c:v>
                </c:pt>
                <c:pt idx="3">
                  <c:v>Ianuarie-iulie 2021</c:v>
                </c:pt>
                <c:pt idx="4">
                  <c:v>Ianuarie-iulie 2022</c:v>
                </c:pt>
                <c:pt idx="5">
                  <c:v>Ianuarie-iulie 2023</c:v>
                </c:pt>
              </c:strCache>
            </c:strRef>
          </c:cat>
          <c:val>
            <c:numRef>
              <c:f>'Figura 4'!$B$24:$G$24</c:f>
              <c:numCache>
                <c:formatCode>0.0</c:formatCode>
                <c:ptCount val="6"/>
                <c:pt idx="0">
                  <c:v>18.600000000000001</c:v>
                </c:pt>
                <c:pt idx="1">
                  <c:v>22</c:v>
                </c:pt>
                <c:pt idx="2">
                  <c:v>19.5</c:v>
                </c:pt>
                <c:pt idx="3">
                  <c:v>20.3</c:v>
                </c:pt>
                <c:pt idx="4">
                  <c:v>20</c:v>
                </c:pt>
                <c:pt idx="5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141952"/>
        <c:axId val="100815936"/>
      </c:barChart>
      <c:catAx>
        <c:axId val="126141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5936"/>
        <c:crosses val="autoZero"/>
        <c:auto val="1"/>
        <c:lblAlgn val="ctr"/>
        <c:lblOffset val="100"/>
        <c:noMultiLvlLbl val="0"/>
      </c:catAx>
      <c:valAx>
        <c:axId val="100815936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14195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Cehia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Bulgaria</c:v>
                </c:pt>
                <c:pt idx="11">
                  <c:v>S.U.A.</c:v>
                </c:pt>
                <c:pt idx="12">
                  <c:v>Ungaria</c:v>
                </c:pt>
                <c:pt idx="13">
                  <c:v>Franța</c:v>
                </c:pt>
                <c:pt idx="14">
                  <c:v>Netherlands</c:v>
                </c:pt>
                <c:pt idx="15">
                  <c:v>Liban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5'!$B$26:$B$46</c:f>
              <c:numCache>
                <c:formatCode>#,##0.0</c:formatCode>
                <c:ptCount val="21"/>
                <c:pt idx="0">
                  <c:v>26.872472305547735</c:v>
                </c:pt>
                <c:pt idx="1">
                  <c:v>3.0735407676657283</c:v>
                </c:pt>
                <c:pt idx="2">
                  <c:v>11.536351449623568</c:v>
                </c:pt>
                <c:pt idx="3">
                  <c:v>8.4398803376368043</c:v>
                </c:pt>
                <c:pt idx="4">
                  <c:v>8.2933839290962847</c:v>
                </c:pt>
                <c:pt idx="5">
                  <c:v>1.5593609099476284</c:v>
                </c:pt>
                <c:pt idx="6">
                  <c:v>3.5662386274862437</c:v>
                </c:pt>
                <c:pt idx="7">
                  <c:v>3.451664982715779</c:v>
                </c:pt>
                <c:pt idx="8">
                  <c:v>3.6303885236853968</c:v>
                </c:pt>
                <c:pt idx="9">
                  <c:v>1.1965791577408476</c:v>
                </c:pt>
                <c:pt idx="10">
                  <c:v>2.0870532105770465</c:v>
                </c:pt>
                <c:pt idx="11">
                  <c:v>0.84462515125905036</c:v>
                </c:pt>
                <c:pt idx="12">
                  <c:v>0.28077341132540828</c:v>
                </c:pt>
                <c:pt idx="13">
                  <c:v>2.2034246484580611</c:v>
                </c:pt>
                <c:pt idx="14">
                  <c:v>1.4730003630817594</c:v>
                </c:pt>
                <c:pt idx="15">
                  <c:v>0.65552336011553913</c:v>
                </c:pt>
                <c:pt idx="16">
                  <c:v>0.58772768111293705</c:v>
                </c:pt>
                <c:pt idx="17">
                  <c:v>3.2968740497763953</c:v>
                </c:pt>
                <c:pt idx="18">
                  <c:v>1.3936418987589878</c:v>
                </c:pt>
                <c:pt idx="19">
                  <c:v>0.31169206543943889</c:v>
                </c:pt>
                <c:pt idx="20">
                  <c:v>1.9648246088416306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Cehia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Bulgaria</c:v>
                </c:pt>
                <c:pt idx="11">
                  <c:v>S.U.A.</c:v>
                </c:pt>
                <c:pt idx="12">
                  <c:v>Ungaria</c:v>
                </c:pt>
                <c:pt idx="13">
                  <c:v>Franța</c:v>
                </c:pt>
                <c:pt idx="14">
                  <c:v>Netherlands</c:v>
                </c:pt>
                <c:pt idx="15">
                  <c:v>Liban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5'!$C$26:$C$46</c:f>
              <c:numCache>
                <c:formatCode>#,##0.0</c:formatCode>
                <c:ptCount val="21"/>
                <c:pt idx="0">
                  <c:v>28.339654713936053</c:v>
                </c:pt>
                <c:pt idx="1">
                  <c:v>2.6651700811052557</c:v>
                </c:pt>
                <c:pt idx="2">
                  <c:v>10.15880922654417</c:v>
                </c:pt>
                <c:pt idx="3">
                  <c:v>8.8991969797915651</c:v>
                </c:pt>
                <c:pt idx="4">
                  <c:v>8.3455371888927647</c:v>
                </c:pt>
                <c:pt idx="5">
                  <c:v>1.8559372418014852</c:v>
                </c:pt>
                <c:pt idx="6">
                  <c:v>7.928273389812067</c:v>
                </c:pt>
                <c:pt idx="7">
                  <c:v>3.848462772007212</c:v>
                </c:pt>
                <c:pt idx="8">
                  <c:v>2.9915419747831811</c:v>
                </c:pt>
                <c:pt idx="9">
                  <c:v>1.2714686680317258</c:v>
                </c:pt>
                <c:pt idx="10">
                  <c:v>1.4693781936786803</c:v>
                </c:pt>
                <c:pt idx="11">
                  <c:v>0.81083782848699104</c:v>
                </c:pt>
                <c:pt idx="12">
                  <c:v>0.30571970106355101</c:v>
                </c:pt>
                <c:pt idx="13">
                  <c:v>1.3137020120692955</c:v>
                </c:pt>
                <c:pt idx="14">
                  <c:v>1.3999984455350385</c:v>
                </c:pt>
                <c:pt idx="15">
                  <c:v>0.53327834596388701</c:v>
                </c:pt>
                <c:pt idx="16">
                  <c:v>0.32591510091367482</c:v>
                </c:pt>
                <c:pt idx="17">
                  <c:v>2.0492992359140105</c:v>
                </c:pt>
                <c:pt idx="18">
                  <c:v>0.99252836190945237</c:v>
                </c:pt>
                <c:pt idx="19">
                  <c:v>0.48919796847225844</c:v>
                </c:pt>
                <c:pt idx="20">
                  <c:v>2.7860919104707507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Cehia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Bulgaria</c:v>
                </c:pt>
                <c:pt idx="11">
                  <c:v>S.U.A.</c:v>
                </c:pt>
                <c:pt idx="12">
                  <c:v>Ungaria</c:v>
                </c:pt>
                <c:pt idx="13">
                  <c:v>Franța</c:v>
                </c:pt>
                <c:pt idx="14">
                  <c:v>Netherlands</c:v>
                </c:pt>
                <c:pt idx="15">
                  <c:v>Liban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5'!$D$26:$D$46</c:f>
              <c:numCache>
                <c:formatCode>#,##0.0</c:formatCode>
                <c:ptCount val="21"/>
                <c:pt idx="0">
                  <c:v>26.226380047632823</c:v>
                </c:pt>
                <c:pt idx="1">
                  <c:v>2.4766863063813234</c:v>
                </c:pt>
                <c:pt idx="2">
                  <c:v>9.1259850901446047</c:v>
                </c:pt>
                <c:pt idx="3">
                  <c:v>8.9236759461760169</c:v>
                </c:pt>
                <c:pt idx="4">
                  <c:v>10.098886645130927</c:v>
                </c:pt>
                <c:pt idx="5">
                  <c:v>3.4242560880337982</c:v>
                </c:pt>
                <c:pt idx="6">
                  <c:v>7.1100795658721054</c:v>
                </c:pt>
                <c:pt idx="7">
                  <c:v>3.9693636099529672</c:v>
                </c:pt>
                <c:pt idx="8">
                  <c:v>2.791246954894365</c:v>
                </c:pt>
                <c:pt idx="9">
                  <c:v>1.6683461632138963</c:v>
                </c:pt>
                <c:pt idx="10">
                  <c:v>1.5388765680513723</c:v>
                </c:pt>
                <c:pt idx="11">
                  <c:v>1.1027572034426538</c:v>
                </c:pt>
                <c:pt idx="12">
                  <c:v>0.85206581842130735</c:v>
                </c:pt>
                <c:pt idx="13">
                  <c:v>1.4903012720700635</c:v>
                </c:pt>
                <c:pt idx="14">
                  <c:v>1.5058452596223515</c:v>
                </c:pt>
                <c:pt idx="15">
                  <c:v>0.69889167744668512</c:v>
                </c:pt>
                <c:pt idx="16">
                  <c:v>0.55014867256998634</c:v>
                </c:pt>
                <c:pt idx="17">
                  <c:v>1.6301561421031567</c:v>
                </c:pt>
                <c:pt idx="18">
                  <c:v>1.6704803344796177</c:v>
                </c:pt>
                <c:pt idx="19">
                  <c:v>0.66799383214033392</c:v>
                </c:pt>
                <c:pt idx="20">
                  <c:v>3.0445753213974447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Cehia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Bulgaria</c:v>
                </c:pt>
                <c:pt idx="11">
                  <c:v>S.U.A.</c:v>
                </c:pt>
                <c:pt idx="12">
                  <c:v>Ungaria</c:v>
                </c:pt>
                <c:pt idx="13">
                  <c:v>Franța</c:v>
                </c:pt>
                <c:pt idx="14">
                  <c:v>Netherlands</c:v>
                </c:pt>
                <c:pt idx="15">
                  <c:v>Liban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5'!$E$26:$E$46</c:f>
              <c:numCache>
                <c:formatCode>#,##0.0</c:formatCode>
                <c:ptCount val="21"/>
                <c:pt idx="0">
                  <c:v>27.904482296474857</c:v>
                </c:pt>
                <c:pt idx="1">
                  <c:v>2.7744628374759683</c:v>
                </c:pt>
                <c:pt idx="2">
                  <c:v>7.5608603027177645</c:v>
                </c:pt>
                <c:pt idx="3">
                  <c:v>9.8572391422937269</c:v>
                </c:pt>
                <c:pt idx="4">
                  <c:v>9.5377281812099941</c:v>
                </c:pt>
                <c:pt idx="5">
                  <c:v>3.1737528383112044</c:v>
                </c:pt>
                <c:pt idx="6">
                  <c:v>8.6038869416926111</c:v>
                </c:pt>
                <c:pt idx="7">
                  <c:v>3.8375215102547058</c:v>
                </c:pt>
                <c:pt idx="8">
                  <c:v>2.231956917983914</c:v>
                </c:pt>
                <c:pt idx="9">
                  <c:v>1.2351612507697265</c:v>
                </c:pt>
                <c:pt idx="10">
                  <c:v>1.3781220294496308</c:v>
                </c:pt>
                <c:pt idx="11">
                  <c:v>0.83221381321029864</c:v>
                </c:pt>
                <c:pt idx="12">
                  <c:v>1.4570861098676868</c:v>
                </c:pt>
                <c:pt idx="13">
                  <c:v>1.3005892381444986</c:v>
                </c:pt>
                <c:pt idx="14">
                  <c:v>1.369623349555684</c:v>
                </c:pt>
                <c:pt idx="15">
                  <c:v>0.92282439622863133</c:v>
                </c:pt>
                <c:pt idx="16">
                  <c:v>0.45268372451687211</c:v>
                </c:pt>
                <c:pt idx="17">
                  <c:v>2.1113718231169436</c:v>
                </c:pt>
                <c:pt idx="18">
                  <c:v>0.97334657603648789</c:v>
                </c:pt>
                <c:pt idx="19">
                  <c:v>0.27430543721344985</c:v>
                </c:pt>
                <c:pt idx="20">
                  <c:v>1.7277109107252526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Cehia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Bulgaria</c:v>
                </c:pt>
                <c:pt idx="11">
                  <c:v>S.U.A.</c:v>
                </c:pt>
                <c:pt idx="12">
                  <c:v>Ungaria</c:v>
                </c:pt>
                <c:pt idx="13">
                  <c:v>Franța</c:v>
                </c:pt>
                <c:pt idx="14">
                  <c:v>Netherlands</c:v>
                </c:pt>
                <c:pt idx="15">
                  <c:v>Liban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5'!$F$26:$F$46</c:f>
              <c:numCache>
                <c:formatCode>#,##0.0</c:formatCode>
                <c:ptCount val="21"/>
                <c:pt idx="0">
                  <c:v>28.494987035848268</c:v>
                </c:pt>
                <c:pt idx="1">
                  <c:v>12.520301719977992</c:v>
                </c:pt>
                <c:pt idx="2">
                  <c:v>8.2516951998258712</c:v>
                </c:pt>
                <c:pt idx="3">
                  <c:v>5.456472105314913</c:v>
                </c:pt>
                <c:pt idx="4">
                  <c:v>5.0871857405409981</c:v>
                </c:pt>
                <c:pt idx="5">
                  <c:v>2.1861023140852498</c:v>
                </c:pt>
                <c:pt idx="6">
                  <c:v>8.6765135795372572</c:v>
                </c:pt>
                <c:pt idx="7">
                  <c:v>2.7724194251445704</c:v>
                </c:pt>
                <c:pt idx="8">
                  <c:v>1.4561122242252482</c:v>
                </c:pt>
                <c:pt idx="9">
                  <c:v>0.91505595645807647</c:v>
                </c:pt>
                <c:pt idx="10">
                  <c:v>4.545870960613799</c:v>
                </c:pt>
                <c:pt idx="11">
                  <c:v>0.90442654582008253</c:v>
                </c:pt>
                <c:pt idx="12">
                  <c:v>1.2097073427329024</c:v>
                </c:pt>
                <c:pt idx="13">
                  <c:v>1.0082996935240058</c:v>
                </c:pt>
                <c:pt idx="14">
                  <c:v>1.8384828416228829</c:v>
                </c:pt>
                <c:pt idx="15">
                  <c:v>0.5945251861597961</c:v>
                </c:pt>
                <c:pt idx="16">
                  <c:v>0.25947854662756292</c:v>
                </c:pt>
                <c:pt idx="17">
                  <c:v>1.6285826328930633</c:v>
                </c:pt>
                <c:pt idx="18">
                  <c:v>0.81856086597874245</c:v>
                </c:pt>
                <c:pt idx="19">
                  <c:v>0.45225023880233961</c:v>
                </c:pt>
                <c:pt idx="20">
                  <c:v>2.1411545955469293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Ianuarie-iulie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Cehia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Bulgaria</c:v>
                </c:pt>
                <c:pt idx="11">
                  <c:v>S.U.A.</c:v>
                </c:pt>
                <c:pt idx="12">
                  <c:v>Ungaria</c:v>
                </c:pt>
                <c:pt idx="13">
                  <c:v>Franța</c:v>
                </c:pt>
                <c:pt idx="14">
                  <c:v>Netherlands</c:v>
                </c:pt>
                <c:pt idx="15">
                  <c:v>Liban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5'!$G$26:$G$46</c:f>
              <c:numCache>
                <c:formatCode>#,##0.0</c:formatCode>
                <c:ptCount val="21"/>
                <c:pt idx="0">
                  <c:v>32.392291109557256</c:v>
                </c:pt>
                <c:pt idx="1">
                  <c:v>16.881401119132576</c:v>
                </c:pt>
                <c:pt idx="2">
                  <c:v>7.0469462938015885</c:v>
                </c:pt>
                <c:pt idx="3">
                  <c:v>5.3405445083858876</c:v>
                </c:pt>
                <c:pt idx="4">
                  <c:v>3.9306303998069723</c:v>
                </c:pt>
                <c:pt idx="5">
                  <c:v>3.8695724297052965</c:v>
                </c:pt>
                <c:pt idx="6">
                  <c:v>3.6896083871221923</c:v>
                </c:pt>
                <c:pt idx="7">
                  <c:v>2.8247915773931442</c:v>
                </c:pt>
                <c:pt idx="8">
                  <c:v>2.2931403149892868</c:v>
                </c:pt>
                <c:pt idx="9">
                  <c:v>1.7501745502051025</c:v>
                </c:pt>
                <c:pt idx="10">
                  <c:v>1.4585060342956846</c:v>
                </c:pt>
                <c:pt idx="11">
                  <c:v>1.3048903977942339</c:v>
                </c:pt>
                <c:pt idx="12">
                  <c:v>1.2293651202972642</c:v>
                </c:pt>
                <c:pt idx="13">
                  <c:v>1.137456140039691</c:v>
                </c:pt>
                <c:pt idx="14">
                  <c:v>1.0932577904629046</c:v>
                </c:pt>
                <c:pt idx="15">
                  <c:v>1.0769468783991016</c:v>
                </c:pt>
                <c:pt idx="16">
                  <c:v>1.0629198422092387</c:v>
                </c:pt>
                <c:pt idx="17">
                  <c:v>1.0315735088347922</c:v>
                </c:pt>
                <c:pt idx="18">
                  <c:v>0.94149821274315126</c:v>
                </c:pt>
                <c:pt idx="19">
                  <c:v>0.93279879839715685</c:v>
                </c:pt>
                <c:pt idx="20">
                  <c:v>0.78611027278822765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137856"/>
        <c:axId val="100818240"/>
      </c:barChart>
      <c:catAx>
        <c:axId val="861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8240"/>
        <c:crosses val="autoZero"/>
        <c:auto val="1"/>
        <c:lblAlgn val="ctr"/>
        <c:lblOffset val="100"/>
        <c:noMultiLvlLbl val="0"/>
      </c:catAx>
      <c:valAx>
        <c:axId val="100818240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37856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23459331734477"/>
          <c:y val="0.85665627734033245"/>
          <c:w val="0.79450276262636998"/>
          <c:h val="8.1852478720533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 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8272511463091963"/>
          <c:y val="1.27826126997283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6'!$B$45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3.5879163228317072E-2"/>
                  <c:y val="3.620403053066642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2617771343258897E-2"/>
                  <c:y val="-7.8832775213443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3.2617771343258897E-2"/>
                  <c:y val="-0.139536609647931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0.10111509116410257"/>
                  <c:y val="-0.107788035116300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6308885671629447"/>
                  <c:y val="-4.0133948773644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5768039361174522"/>
                  <c:y val="2.91954022988505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5621916882214"/>
                      <c:h val="0.17082390563248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7939774238792386"/>
                  <c:y val="9.88822517874920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9.132975976112491E-2"/>
                  <c:y val="0.115161553081726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9570662805955336E-2"/>
                  <c:y val="9.8585090656771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3.2617771343258894E-3"/>
                  <c:y val="2.7176215042085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4.0772085762651025E-2"/>
                  <c:y val="-0.1038600778350982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33528834495112"/>
                      <c:h val="0.1976438290041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9.7853314029776692E-2"/>
                  <c:y val="-0.199990647720759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6308885671629442"/>
                  <c:y val="-5.0644703894771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6'!$A$46:$A$58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Grăsimi şi uleiuri vegetale </c:v>
                </c:pt>
                <c:pt idx="6">
                  <c:v>Seminţe şi fructe oleaginoase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6'!$B$46:$B$58</c:f>
              <c:numCache>
                <c:formatCode>0.0</c:formatCode>
                <c:ptCount val="13"/>
                <c:pt idx="0">
                  <c:v>15.6</c:v>
                </c:pt>
                <c:pt idx="1">
                  <c:v>12.2</c:v>
                </c:pt>
                <c:pt idx="2">
                  <c:v>9</c:v>
                </c:pt>
                <c:pt idx="3">
                  <c:v>7.8</c:v>
                </c:pt>
                <c:pt idx="4">
                  <c:v>7.4</c:v>
                </c:pt>
                <c:pt idx="5">
                  <c:v>6.7</c:v>
                </c:pt>
                <c:pt idx="6">
                  <c:v>6</c:v>
                </c:pt>
                <c:pt idx="7">
                  <c:v>5</c:v>
                </c:pt>
                <c:pt idx="8">
                  <c:v>3.6</c:v>
                </c:pt>
                <c:pt idx="9">
                  <c:v>2.9</c:v>
                </c:pt>
                <c:pt idx="10">
                  <c:v>2.1</c:v>
                </c:pt>
                <c:pt idx="11">
                  <c:v>1.9</c:v>
                </c:pt>
                <c:pt idx="12" formatCode="#,##0.0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iu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06091097678061"/>
          <c:y val="9.07543078854273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6'!$B$30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Lbls>
            <c:dLbl>
              <c:idx val="0"/>
              <c:layout>
                <c:manualLayout>
                  <c:x val="6.5523951717374219E-3"/>
                  <c:y val="6.25816120810985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-3.2760041210584123E-2"/>
                  <c:y val="8.2720529499030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9.828012363175237E-3"/>
                  <c:y val="-8.8990528357868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2912470844849"/>
                      <c:h val="0.1909361329833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8.517610714751872E-2"/>
                  <c:y val="-0.1459107611548556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58958787868156"/>
                      <c:h val="0.13752672220320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15397193573666498"/>
                  <c:y val="-5.0648408079424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27238658705890662"/>
                  <c:y val="2.513553197154703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99595271616856"/>
                      <c:h val="0.17083768876716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23359457101628875"/>
                  <c:y val="0.18894868576210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9.828012363175237E-2"/>
                  <c:y val="0.2894238654950739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1.9656024726350474E-2"/>
                  <c:y val="0.239363383924835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0"/>
                  <c:y val="0.140520521891285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6.5520082421168246E-3"/>
                  <c:y val="1.783164061014115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07362496820727"/>
                      <c:h val="0.214821408193541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5.2416065936934597E-2"/>
                  <c:y val="-9.3092624291528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0.10155612775281075"/>
                  <c:y val="-1.9323671497584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6'!$A$31:$A$43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Grăsimi şi uleiuri vegetale </c:v>
                </c:pt>
                <c:pt idx="6">
                  <c:v>Seminţe şi fructe oleaginoase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6'!$B$31:$B$43</c:f>
              <c:numCache>
                <c:formatCode>0.0</c:formatCode>
                <c:ptCount val="13"/>
                <c:pt idx="0">
                  <c:v>12.1</c:v>
                </c:pt>
                <c:pt idx="1">
                  <c:v>9.9</c:v>
                </c:pt>
                <c:pt idx="2">
                  <c:v>13.7</c:v>
                </c:pt>
                <c:pt idx="3">
                  <c:v>8.1999999999999993</c:v>
                </c:pt>
                <c:pt idx="4">
                  <c:v>6.7</c:v>
                </c:pt>
                <c:pt idx="5">
                  <c:v>9.8000000000000007</c:v>
                </c:pt>
                <c:pt idx="6">
                  <c:v>10.5</c:v>
                </c:pt>
                <c:pt idx="7">
                  <c:v>3.4</c:v>
                </c:pt>
                <c:pt idx="8">
                  <c:v>3.3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 formatCode="#,##0.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  <c:pt idx="5">
                  <c:v>665.2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  <c:pt idx="5">
                  <c:v>639.1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641536"/>
        <c:axId val="126078912"/>
      </c:barChart>
      <c:catAx>
        <c:axId val="128641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78912"/>
        <c:crosses val="autoZero"/>
        <c:auto val="0"/>
        <c:lblAlgn val="ctr"/>
        <c:lblOffset val="100"/>
        <c:tickLblSkip val="1"/>
        <c:noMultiLvlLbl val="0"/>
      </c:catAx>
      <c:valAx>
        <c:axId val="1260789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64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474-912E-EE374058F04A}"/>
                </c:ext>
              </c:extLst>
            </c:dLbl>
            <c:dLbl>
              <c:idx val="1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6-4474-912E-EE374058F04A}"/>
                </c:ext>
              </c:extLst>
            </c:dLbl>
            <c:dLbl>
              <c:idx val="2"/>
              <c:layout>
                <c:manualLayout>
                  <c:x val="-2.7600746048223046E-2"/>
                  <c:y val="3.565825039258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474-912E-EE374058F04A}"/>
                </c:ext>
              </c:extLst>
            </c:dLbl>
            <c:dLbl>
              <c:idx val="3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6-4474-912E-EE374058F04A}"/>
                </c:ext>
              </c:extLst>
            </c:dLbl>
            <c:dLbl>
              <c:idx val="4"/>
              <c:layout>
                <c:manualLayout>
                  <c:x val="-3.1744157714715712E-2"/>
                  <c:y val="-3.242178309376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474-912E-EE374058F04A}"/>
                </c:ext>
              </c:extLst>
            </c:dLbl>
            <c:dLbl>
              <c:idx val="5"/>
              <c:layout>
                <c:manualLayout>
                  <c:x val="-2.7229845388010401E-2"/>
                  <c:y val="-3.465831058048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6-4474-912E-EE374058F04A}"/>
                </c:ext>
              </c:extLst>
            </c:dLbl>
            <c:dLbl>
              <c:idx val="6"/>
              <c:layout>
                <c:manualLayout>
                  <c:x val="-2.138142250432562E-2"/>
                  <c:y val="3.58542030301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474-912E-EE374058F04A}"/>
                </c:ext>
              </c:extLst>
            </c:dLbl>
            <c:dLbl>
              <c:idx val="7"/>
              <c:layout>
                <c:manualLayout>
                  <c:x val="-1.866639660396148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B6-4474-912E-EE374058F04A}"/>
                </c:ext>
              </c:extLst>
            </c:dLbl>
            <c:dLbl>
              <c:idx val="8"/>
              <c:layout>
                <c:manualLayout>
                  <c:x val="-2.9729051201149798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474-912E-EE374058F04A}"/>
                </c:ext>
              </c:extLst>
            </c:dLbl>
            <c:dLbl>
              <c:idx val="9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B6-4474-912E-EE374058F04A}"/>
                </c:ext>
              </c:extLst>
            </c:dLbl>
            <c:dLbl>
              <c:idx val="10"/>
              <c:layout>
                <c:manualLayout>
                  <c:x val="-2.4624632964877637E-2"/>
                  <c:y val="-3.4155775849333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4145217577845922E-2"/>
                  <c:y val="-2.80369581037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962635699476472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3181004579678944E-2"/>
                  <c:y val="-2.972905871602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6432142515675553E-2"/>
                  <c:y val="2.780680779816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2.1788909553735202E-2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9720567278758984E-2"/>
                  <c:y val="3.866508035084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87652789382035E-2"/>
                      <c:h val="6.5993633762126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749935528031447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7315802622204654E-2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7737155845873067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06655076475569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84399486560530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4304770364339121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7.0701444340610159E-3"/>
                  <c:y val="-6.9380228823436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2.0148150028407117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763567131274666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2.6710125093614309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5-4BB1-AA39-4F2259CD6BED}"/>
                </c:ext>
              </c:extLst>
            </c:dLbl>
            <c:dLbl>
              <c:idx val="27"/>
              <c:layout>
                <c:manualLayout>
                  <c:x val="-2.0109837594739482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321494994148508E-2"/>
                      <c:h val="8.7709152937442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A9-42EF-9314-3F5807FA0AAA}"/>
                </c:ext>
              </c:extLst>
            </c:dLbl>
            <c:dLbl>
              <c:idx val="28"/>
              <c:layout>
                <c:manualLayout>
                  <c:x val="-2.8145225239374894E-2"/>
                  <c:y val="-4.168285356284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66-4F94-A10A-2056241F922A}"/>
                </c:ext>
              </c:extLst>
            </c:dLbl>
            <c:dLbl>
              <c:idx val="29"/>
              <c:layout>
                <c:manualLayout>
                  <c:x val="-2.5849639620830932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B-4017-9759-A88CF94724E1}"/>
                </c:ext>
              </c:extLst>
            </c:dLbl>
            <c:dLbl>
              <c:idx val="30"/>
              <c:layout>
                <c:manualLayout>
                  <c:x val="-7.1079835047281213E-3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2-4778-883D-B7649D28D9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8'!$B$25:$AF$25</c:f>
              <c:numCache>
                <c:formatCode>#,##0.0</c:formatCode>
                <c:ptCount val="31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 formatCode="0.0">
                  <c:v>88.988673647198652</c:v>
                </c:pt>
                <c:pt idx="22" formatCode="0.0">
                  <c:v>114.26056736134905</c:v>
                </c:pt>
                <c:pt idx="23" formatCode="0.0">
                  <c:v>101.80484196839581</c:v>
                </c:pt>
                <c:pt idx="24" formatCode="0.0">
                  <c:v>83.923113131090105</c:v>
                </c:pt>
                <c:pt idx="25" formatCode="0.0">
                  <c:v>102.61098940878497</c:v>
                </c:pt>
                <c:pt idx="26" formatCode="0.0">
                  <c:v>109.12064094346417</c:v>
                </c:pt>
                <c:pt idx="27" formatCode="0.0">
                  <c:v>84.078157654874644</c:v>
                </c:pt>
                <c:pt idx="28" formatCode="0.0">
                  <c:v>102.7218186786998</c:v>
                </c:pt>
                <c:pt idx="29" formatCode="0.0">
                  <c:v>93.799562886459725</c:v>
                </c:pt>
                <c:pt idx="30" formatCode="0.0">
                  <c:v>96.084801852064871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09583568934912E-2"/>
                  <c:y val="-3.0394887311844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474-912E-EE374058F04A}"/>
                </c:ext>
              </c:extLst>
            </c:dLbl>
            <c:dLbl>
              <c:idx val="1"/>
              <c:layout>
                <c:manualLayout>
                  <c:x val="-1.7371108354220996E-2"/>
                  <c:y val="3.66982014762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B6-4474-912E-EE374058F04A}"/>
                </c:ext>
              </c:extLst>
            </c:dLbl>
            <c:dLbl>
              <c:idx val="2"/>
              <c:layout>
                <c:manualLayout>
                  <c:x val="-6.9016774832406664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474-912E-EE374058F04A}"/>
                </c:ext>
              </c:extLst>
            </c:dLbl>
            <c:dLbl>
              <c:idx val="3"/>
              <c:layout>
                <c:manualLayout>
                  <c:x val="-2.5269654797973405E-2"/>
                  <c:y val="-3.4842636010965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B6-4474-912E-EE374058F04A}"/>
                </c:ext>
              </c:extLst>
            </c:dLbl>
            <c:dLbl>
              <c:idx val="4"/>
              <c:layout>
                <c:manualLayout>
                  <c:x val="-1.2931502533244489E-2"/>
                  <c:y val="-2.879170063635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474-912E-EE374058F04A}"/>
                </c:ext>
              </c:extLst>
            </c:dLbl>
            <c:dLbl>
              <c:idx val="5"/>
              <c:layout>
                <c:manualLayout>
                  <c:x val="-1.1558008625127699E-2"/>
                  <c:y val="-2.511613528050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B6-4474-912E-EE374058F04A}"/>
                </c:ext>
              </c:extLst>
            </c:dLbl>
            <c:dLbl>
              <c:idx val="6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9B6-4474-912E-EE374058F04A}"/>
                </c:ext>
              </c:extLst>
            </c:dLbl>
            <c:dLbl>
              <c:idx val="7"/>
              <c:layout>
                <c:manualLayout>
                  <c:x val="-2.7485218871730339E-2"/>
                  <c:y val="-3.225592440400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B6-4474-912E-EE374058F04A}"/>
                </c:ext>
              </c:extLst>
            </c:dLbl>
            <c:dLbl>
              <c:idx val="8"/>
              <c:layout>
                <c:manualLayout>
                  <c:x val="-2.5129861117536571E-2"/>
                  <c:y val="-3.643590536274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B6-4474-912E-EE374058F04A}"/>
                </c:ext>
              </c:extLst>
            </c:dLbl>
            <c:dLbl>
              <c:idx val="9"/>
              <c:layout>
                <c:manualLayout>
                  <c:x val="-2.7273726318692789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B6-4474-912E-EE374058F04A}"/>
                </c:ext>
              </c:extLst>
            </c:dLbl>
            <c:dLbl>
              <c:idx val="10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6.0340929769208329E-3"/>
                  <c:y val="5.6251744081067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109955556378014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3.1485206534847071E-2"/>
                  <c:y val="-3.733974972778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3.0345401889393674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2382124991500659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489991781330364E-2"/>
                  <c:y val="-3.7339749727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2429908742846786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404621140122125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0778877720670769E-2"/>
                  <c:y val="3.21495696565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9557969240976E-2"/>
                      <c:h val="5.296432225693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7438338715298775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5871554539818833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016944709173512E-2"/>
                  <c:y val="-3.299681688106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90039817290751E-2"/>
                      <c:h val="7.03367375971897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820546879938106E-2"/>
                  <c:y val="-3.516819781025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9916376731978E-2"/>
                      <c:h val="5.73074260919999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1.4487352731047884E-2"/>
                  <c:y val="-2.431043822259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5-4BB1-AA39-4F2259CD6BED}"/>
                </c:ext>
              </c:extLst>
            </c:dLbl>
            <c:dLbl>
              <c:idx val="27"/>
              <c:layout>
                <c:manualLayout>
                  <c:x val="-2.0870124633922568E-2"/>
                  <c:y val="-4.602544443289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801160338562965E-2"/>
                      <c:h val="6.16505299270632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CA9-42EF-9314-3F5807FA0AAA}"/>
                </c:ext>
              </c:extLst>
            </c:dLbl>
            <c:dLbl>
              <c:idx val="28"/>
              <c:layout>
                <c:manualLayout>
                  <c:x val="-2.0300178705163294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D-40F7-A435-2BCA796FB967}"/>
                </c:ext>
              </c:extLst>
            </c:dLbl>
            <c:dLbl>
              <c:idx val="29"/>
              <c:layout>
                <c:manualLayout>
                  <c:x val="-2.1288635654074305E-2"/>
                  <c:y val="4.083577732667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B-4017-9759-A88CF94724E1}"/>
                </c:ext>
              </c:extLst>
            </c:dLbl>
            <c:dLbl>
              <c:idx val="30"/>
              <c:layout>
                <c:manualLayout>
                  <c:x val="-8.6283181603136628E-3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778-883D-B7649D28D9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8'!$B$26:$AF$26</c:f>
              <c:numCache>
                <c:formatCode>#,##0.0</c:formatCode>
                <c:ptCount val="31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 formatCode="0.0">
                  <c:v>117.96075072735046</c:v>
                </c:pt>
                <c:pt idx="25" formatCode="0.0">
                  <c:v>112.46174232268726</c:v>
                </c:pt>
                <c:pt idx="26" formatCode="0.0">
                  <c:v>109.73070149283291</c:v>
                </c:pt>
                <c:pt idx="27" formatCode="0.0">
                  <c:v>89.607651676701252</c:v>
                </c:pt>
                <c:pt idx="28" formatCode="0.0">
                  <c:v>91.780546711204167</c:v>
                </c:pt>
                <c:pt idx="29" formatCode="0.0">
                  <c:v>86.566305640625586</c:v>
                </c:pt>
                <c:pt idx="30" formatCode="0.0">
                  <c:v>83.980952716922332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075776"/>
        <c:axId val="126082368"/>
      </c:lineChart>
      <c:catAx>
        <c:axId val="1280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82368"/>
        <c:crossesAt val="30"/>
        <c:auto val="1"/>
        <c:lblAlgn val="ctr"/>
        <c:lblOffset val="100"/>
        <c:noMultiLvlLbl val="0"/>
      </c:catAx>
      <c:valAx>
        <c:axId val="12608236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75776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247649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95251</xdr:rowOff>
    </xdr:from>
    <xdr:to>
      <xdr:col>8</xdr:col>
      <xdr:colOff>66675</xdr:colOff>
      <xdr:row>23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95251</xdr:rowOff>
    </xdr:from>
    <xdr:to>
      <xdr:col>1</xdr:col>
      <xdr:colOff>733424</xdr:colOff>
      <xdr:row>24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114299</xdr:rowOff>
    </xdr:from>
    <xdr:to>
      <xdr:col>19</xdr:col>
      <xdr:colOff>209551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726042</xdr:colOff>
      <xdr:row>2</xdr:row>
      <xdr:rowOff>133350</xdr:rowOff>
    </xdr:from>
    <xdr:to>
      <xdr:col>7</xdr:col>
      <xdr:colOff>323850</xdr:colOff>
      <xdr:row>23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733424</xdr:colOff>
      <xdr:row>23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RowHeight="12" x14ac:dyDescent="0.2"/>
  <cols>
    <col min="1" max="1" width="9" style="3" customWidth="1"/>
    <col min="2" max="2" width="9.5703125" style="3" customWidth="1"/>
    <col min="3" max="4" width="9.85546875" style="3" customWidth="1"/>
    <col min="5" max="5" width="9.28515625" style="3" customWidth="1"/>
    <col min="6" max="6" width="9.85546875" style="3" customWidth="1"/>
    <col min="7" max="7" width="9.140625" style="3" customWidth="1"/>
    <col min="8" max="8" width="8.7109375" style="3" customWidth="1"/>
    <col min="9" max="9" width="9.140625" style="3" customWidth="1"/>
    <col min="10" max="10" width="11" style="3" customWidth="1"/>
    <col min="11" max="11" width="10.140625" style="3" customWidth="1"/>
    <col min="12" max="12" width="9.85546875" style="3" customWidth="1"/>
    <col min="13" max="13" width="10.4257812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49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x14ac:dyDescent="0.2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x14ac:dyDescent="0.2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x14ac:dyDescent="0.2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x14ac:dyDescent="0.2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x14ac:dyDescent="0.2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x14ac:dyDescent="0.2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352</v>
      </c>
      <c r="L26" s="33">
        <v>355.8</v>
      </c>
      <c r="M26" s="34">
        <v>349.5</v>
      </c>
    </row>
    <row r="27" spans="1:21" x14ac:dyDescent="0.2">
      <c r="A27" s="29">
        <v>2023</v>
      </c>
      <c r="B27" s="10">
        <v>331.1</v>
      </c>
      <c r="C27" s="10">
        <v>356</v>
      </c>
      <c r="D27" s="10">
        <v>384.9</v>
      </c>
      <c r="E27" s="10">
        <v>317.10000000000002</v>
      </c>
      <c r="F27" s="35">
        <v>336.5</v>
      </c>
      <c r="G27" s="35">
        <v>316.60000000000002</v>
      </c>
      <c r="H27" s="35">
        <v>304.2</v>
      </c>
      <c r="I27" s="35"/>
      <c r="J27" s="35"/>
      <c r="K27" s="35"/>
      <c r="L27" s="35"/>
      <c r="M27" s="36"/>
    </row>
    <row r="28" spans="1:21" x14ac:dyDescent="0.2">
      <c r="D28" s="6"/>
      <c r="E28" s="6"/>
    </row>
    <row r="31" spans="1:21" ht="15.75" x14ac:dyDescent="0.25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A2" sqref="A2:G2"/>
    </sheetView>
  </sheetViews>
  <sheetFormatPr defaultRowHeight="12" x14ac:dyDescent="0.2"/>
  <cols>
    <col min="1" max="1" width="24" style="3" customWidth="1"/>
    <col min="2" max="2" width="14.28515625" style="3" customWidth="1"/>
    <col min="3" max="3" width="14.85546875" style="3" customWidth="1"/>
    <col min="4" max="4" width="14.5703125" style="3" customWidth="1"/>
    <col min="5" max="5" width="14.140625" style="3" customWidth="1"/>
    <col min="6" max="6" width="14.5703125" style="3" customWidth="1"/>
    <col min="7" max="7" width="14.7109375" style="3" customWidth="1"/>
    <col min="8" max="16384" width="9.140625" style="3"/>
  </cols>
  <sheetData>
    <row r="2" spans="1:13" ht="12.75" x14ac:dyDescent="0.2">
      <c r="A2" s="155" t="s">
        <v>114</v>
      </c>
      <c r="B2" s="155"/>
      <c r="C2" s="155"/>
      <c r="D2" s="155"/>
      <c r="E2" s="155"/>
      <c r="F2" s="155"/>
      <c r="G2" s="155"/>
      <c r="H2" s="39"/>
      <c r="I2" s="39"/>
      <c r="J2" s="39"/>
      <c r="K2" s="39"/>
      <c r="L2" s="39"/>
      <c r="M2" s="39"/>
    </row>
    <row r="3" spans="1:13" ht="16.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6.5" customHeight="1" x14ac:dyDescent="0.2">
      <c r="A5" s="4"/>
      <c r="B5" s="4"/>
      <c r="C5" s="4"/>
      <c r="D5" s="4"/>
      <c r="E5" s="4"/>
      <c r="F5" s="4"/>
      <c r="G5" s="4"/>
    </row>
    <row r="6" spans="1:13" ht="16.5" customHeight="1" x14ac:dyDescent="0.2">
      <c r="A6" s="4"/>
      <c r="B6" s="4"/>
      <c r="C6" s="4"/>
      <c r="D6" s="4"/>
      <c r="E6" s="4"/>
      <c r="F6" s="4"/>
      <c r="G6" s="4"/>
    </row>
    <row r="7" spans="1:13" ht="16.5" customHeight="1" x14ac:dyDescent="0.2">
      <c r="A7" s="4"/>
      <c r="B7" s="4"/>
      <c r="C7" s="4"/>
      <c r="D7" s="4"/>
      <c r="E7" s="4"/>
      <c r="F7" s="4"/>
      <c r="G7" s="4"/>
    </row>
    <row r="8" spans="1:13" ht="16.5" customHeight="1" x14ac:dyDescent="0.2">
      <c r="A8" s="4"/>
      <c r="B8" s="4"/>
      <c r="C8" s="4"/>
      <c r="D8" s="4"/>
      <c r="E8" s="4"/>
      <c r="F8" s="4"/>
      <c r="G8" s="4"/>
    </row>
    <row r="9" spans="1:13" ht="16.5" customHeight="1" x14ac:dyDescent="0.2">
      <c r="A9" s="4"/>
      <c r="B9" s="4"/>
      <c r="C9" s="4"/>
      <c r="D9" s="4"/>
      <c r="E9" s="4"/>
      <c r="F9" s="4"/>
      <c r="G9" s="4"/>
    </row>
    <row r="10" spans="1:13" ht="16.5" customHeight="1" x14ac:dyDescent="0.2">
      <c r="A10" s="4"/>
      <c r="B10" s="4"/>
      <c r="C10" s="4"/>
      <c r="D10" s="4"/>
      <c r="E10" s="4"/>
      <c r="F10" s="4"/>
      <c r="G10" s="4"/>
    </row>
    <row r="11" spans="1:13" ht="16.5" customHeight="1" x14ac:dyDescent="0.2">
      <c r="A11" s="4"/>
      <c r="B11" s="4"/>
      <c r="C11" s="4"/>
      <c r="D11" s="4"/>
      <c r="E11" s="4"/>
      <c r="F11" s="4"/>
      <c r="G11" s="4"/>
    </row>
    <row r="12" spans="1:13" ht="16.5" customHeight="1" x14ac:dyDescent="0.2">
      <c r="A12" s="4"/>
      <c r="B12" s="4"/>
      <c r="C12" s="4"/>
      <c r="D12" s="4"/>
      <c r="E12" s="4"/>
      <c r="F12" s="4"/>
      <c r="G12" s="4"/>
    </row>
    <row r="13" spans="1:13" ht="16.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6.5" customHeight="1" x14ac:dyDescent="0.2">
      <c r="A15" s="4"/>
      <c r="B15" s="4"/>
      <c r="C15" s="4"/>
      <c r="D15" s="4"/>
      <c r="E15" s="4"/>
      <c r="F15" s="4"/>
      <c r="G15" s="4"/>
    </row>
    <row r="16" spans="1:13" ht="16.5" customHeight="1" x14ac:dyDescent="0.2">
      <c r="A16" s="4"/>
      <c r="B16" s="4"/>
      <c r="C16" s="4"/>
      <c r="D16" s="4"/>
      <c r="E16" s="4"/>
      <c r="F16" s="4"/>
      <c r="G16" s="4"/>
    </row>
    <row r="17" spans="1:7" ht="16.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ht="16.5" customHeight="1" x14ac:dyDescent="0.2">
      <c r="A19" s="4"/>
      <c r="B19" s="4"/>
      <c r="C19" s="4"/>
      <c r="D19" s="4"/>
      <c r="E19" s="4"/>
      <c r="F19" s="4"/>
      <c r="G19" s="4"/>
    </row>
    <row r="20" spans="1:7" ht="16.5" customHeight="1" x14ac:dyDescent="0.2">
      <c r="A20" s="4"/>
      <c r="B20" s="4"/>
      <c r="C20" s="4"/>
      <c r="D20" s="4"/>
      <c r="E20" s="4"/>
      <c r="F20" s="4"/>
      <c r="G20" s="4"/>
    </row>
    <row r="21" spans="1:7" ht="16.5" customHeight="1" x14ac:dyDescent="0.2">
      <c r="A21" s="2"/>
      <c r="B21" s="2"/>
      <c r="C21" s="2"/>
      <c r="D21" s="2"/>
      <c r="E21" s="2"/>
      <c r="F21" s="2"/>
      <c r="G21" s="2"/>
    </row>
    <row r="22" spans="1:7" ht="16.5" customHeight="1" x14ac:dyDescent="0.2">
      <c r="A22" s="2"/>
      <c r="B22" s="2"/>
      <c r="C22" s="2"/>
      <c r="D22" s="2"/>
      <c r="E22" s="2"/>
      <c r="F22" s="2"/>
      <c r="G22" s="2"/>
    </row>
    <row r="23" spans="1:7" ht="27.75" customHeight="1" x14ac:dyDescent="0.2">
      <c r="A23" s="38" t="s">
        <v>25</v>
      </c>
      <c r="B23" s="24" t="s">
        <v>102</v>
      </c>
      <c r="C23" s="24" t="s">
        <v>103</v>
      </c>
      <c r="D23" s="24" t="s">
        <v>104</v>
      </c>
      <c r="E23" s="24" t="s">
        <v>105</v>
      </c>
      <c r="F23" s="24" t="s">
        <v>106</v>
      </c>
      <c r="G23" s="24" t="s">
        <v>107</v>
      </c>
    </row>
    <row r="24" spans="1:7" x14ac:dyDescent="0.2">
      <c r="A24" s="30" t="s">
        <v>26</v>
      </c>
      <c r="B24" s="132">
        <v>7.6</v>
      </c>
      <c r="C24" s="121">
        <v>7.5</v>
      </c>
      <c r="D24" s="121">
        <v>2.2999999999999998</v>
      </c>
      <c r="E24" s="121">
        <v>1.6</v>
      </c>
      <c r="F24" s="121">
        <v>2</v>
      </c>
      <c r="G24" s="133">
        <v>2.9</v>
      </c>
    </row>
    <row r="25" spans="1:7" x14ac:dyDescent="0.2">
      <c r="A25" s="31" t="s">
        <v>27</v>
      </c>
      <c r="B25" s="134">
        <v>4.0999999999999996</v>
      </c>
      <c r="C25" s="135">
        <v>4.9000000000000004</v>
      </c>
      <c r="D25" s="135">
        <v>4.7</v>
      </c>
      <c r="E25" s="135">
        <v>5.5</v>
      </c>
      <c r="F25" s="135">
        <v>4.7</v>
      </c>
      <c r="G25" s="136">
        <v>5.4</v>
      </c>
    </row>
    <row r="26" spans="1:7" x14ac:dyDescent="0.2">
      <c r="A26" s="31" t="s">
        <v>28</v>
      </c>
      <c r="B26" s="134">
        <v>78.099999999999994</v>
      </c>
      <c r="C26" s="135">
        <v>76.400000000000006</v>
      </c>
      <c r="D26" s="135">
        <v>86.5</v>
      </c>
      <c r="E26" s="135">
        <v>85.9</v>
      </c>
      <c r="F26" s="135">
        <v>84.4</v>
      </c>
      <c r="G26" s="136">
        <v>83.4</v>
      </c>
    </row>
    <row r="27" spans="1:7" x14ac:dyDescent="0.2">
      <c r="A27" s="31" t="s">
        <v>29</v>
      </c>
      <c r="B27" s="134">
        <v>1.8</v>
      </c>
      <c r="C27" s="135">
        <v>1.6</v>
      </c>
      <c r="D27" s="135">
        <v>2.4</v>
      </c>
      <c r="E27" s="135">
        <v>2.2000000000000002</v>
      </c>
      <c r="F27" s="135">
        <v>2.6</v>
      </c>
      <c r="G27" s="136">
        <v>2.5</v>
      </c>
    </row>
    <row r="28" spans="1:7" x14ac:dyDescent="0.2">
      <c r="A28" s="31" t="s">
        <v>45</v>
      </c>
      <c r="B28" s="134">
        <v>0.1</v>
      </c>
      <c r="C28" s="135">
        <v>0.1</v>
      </c>
      <c r="D28" s="135">
        <v>0.2</v>
      </c>
      <c r="E28" s="135">
        <v>0.3</v>
      </c>
      <c r="F28" s="135">
        <v>0.2</v>
      </c>
      <c r="G28" s="136">
        <v>0.3</v>
      </c>
    </row>
    <row r="29" spans="1:7" x14ac:dyDescent="0.2">
      <c r="A29" s="31" t="s">
        <v>46</v>
      </c>
      <c r="B29" s="134">
        <v>7.6</v>
      </c>
      <c r="C29" s="135">
        <v>9</v>
      </c>
      <c r="D29" s="135">
        <v>3.3</v>
      </c>
      <c r="E29" s="135">
        <v>4</v>
      </c>
      <c r="F29" s="135">
        <v>5.4</v>
      </c>
      <c r="G29" s="136">
        <v>4.8</v>
      </c>
    </row>
    <row r="30" spans="1:7" x14ac:dyDescent="0.2">
      <c r="A30" s="32" t="s">
        <v>47</v>
      </c>
      <c r="B30" s="120">
        <v>0.7</v>
      </c>
      <c r="C30" s="123">
        <v>0.5</v>
      </c>
      <c r="D30" s="123">
        <v>0.6</v>
      </c>
      <c r="E30" s="123">
        <v>0.5</v>
      </c>
      <c r="F30" s="123">
        <v>0.7</v>
      </c>
      <c r="G30" s="137">
        <v>0.7</v>
      </c>
    </row>
    <row r="35" spans="2:7" ht="15" x14ac:dyDescent="0.2">
      <c r="B35" s="50"/>
      <c r="C35" s="50"/>
      <c r="D35" s="51"/>
      <c r="E35" s="51"/>
      <c r="F35" s="51"/>
      <c r="G35" s="51"/>
    </row>
    <row r="36" spans="2:7" ht="15" x14ac:dyDescent="0.2">
      <c r="B36" s="50"/>
      <c r="C36" s="50"/>
      <c r="D36" s="51"/>
      <c r="E36" s="51"/>
      <c r="F36" s="51"/>
      <c r="G36" s="51"/>
    </row>
    <row r="37" spans="2:7" ht="15" x14ac:dyDescent="0.2">
      <c r="B37" s="50"/>
      <c r="C37" s="50"/>
      <c r="D37" s="51"/>
      <c r="E37" s="51"/>
      <c r="F37" s="51"/>
      <c r="G37" s="51"/>
    </row>
    <row r="38" spans="2:7" ht="15" x14ac:dyDescent="0.2">
      <c r="B38" s="50"/>
      <c r="C38" s="50"/>
      <c r="D38" s="51"/>
      <c r="E38" s="51"/>
      <c r="F38" s="51"/>
      <c r="G38" s="51"/>
    </row>
    <row r="39" spans="2:7" ht="15" x14ac:dyDescent="0.2">
      <c r="B39" s="50"/>
      <c r="C39" s="50"/>
      <c r="D39" s="51"/>
      <c r="E39" s="51"/>
      <c r="F39" s="51"/>
      <c r="G39" s="51"/>
    </row>
    <row r="40" spans="2:7" ht="15" x14ac:dyDescent="0.2">
      <c r="B40" s="50"/>
      <c r="C40" s="50"/>
      <c r="D40" s="51"/>
      <c r="E40" s="51"/>
      <c r="F40" s="51"/>
      <c r="G40" s="51"/>
    </row>
    <row r="41" spans="2:7" ht="15" x14ac:dyDescent="0.2">
      <c r="B41" s="50"/>
      <c r="C41" s="50"/>
      <c r="D41" s="51"/>
      <c r="E41" s="51"/>
      <c r="F41" s="51"/>
      <c r="G41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6.42578125" style="3" bestFit="1" customWidth="1"/>
    <col min="2" max="2" width="14.85546875" style="3" customWidth="1"/>
    <col min="3" max="3" width="15.140625" style="3" customWidth="1"/>
    <col min="4" max="4" width="14.85546875" style="3" customWidth="1"/>
    <col min="5" max="6" width="14.5703125" style="3" customWidth="1"/>
    <col min="7" max="7" width="14.85546875" style="3" customWidth="1"/>
    <col min="8" max="16384" width="9.140625" style="3"/>
  </cols>
  <sheetData>
    <row r="2" spans="1:13" ht="12.75" x14ac:dyDescent="0.2">
      <c r="A2" s="164" t="s">
        <v>117</v>
      </c>
      <c r="B2" s="164"/>
      <c r="C2" s="164"/>
      <c r="D2" s="164"/>
      <c r="E2" s="164"/>
      <c r="F2" s="164"/>
      <c r="G2" s="164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9.25" customHeight="1" x14ac:dyDescent="0.2">
      <c r="A22" s="20"/>
      <c r="B22" s="9" t="s">
        <v>107</v>
      </c>
      <c r="C22" s="9" t="s">
        <v>106</v>
      </c>
      <c r="D22" s="9" t="s">
        <v>105</v>
      </c>
      <c r="E22" s="9" t="s">
        <v>104</v>
      </c>
      <c r="F22" s="9" t="s">
        <v>103</v>
      </c>
      <c r="G22" s="9" t="s">
        <v>102</v>
      </c>
    </row>
    <row r="23" spans="1:7" ht="15" customHeight="1" x14ac:dyDescent="0.2">
      <c r="A23" s="16" t="s">
        <v>48</v>
      </c>
      <c r="B23" s="113">
        <v>50</v>
      </c>
      <c r="C23" s="138">
        <v>49.2</v>
      </c>
      <c r="D23" s="114">
        <v>45.9</v>
      </c>
      <c r="E23" s="114">
        <v>47.2</v>
      </c>
      <c r="F23" s="114">
        <v>46.2</v>
      </c>
      <c r="G23" s="115">
        <v>48.9</v>
      </c>
    </row>
    <row r="24" spans="1:7" ht="15" customHeight="1" x14ac:dyDescent="0.2">
      <c r="A24" s="17" t="s">
        <v>49</v>
      </c>
      <c r="B24" s="102">
        <v>23.6</v>
      </c>
      <c r="C24" s="138">
        <v>24.5</v>
      </c>
      <c r="D24" s="116">
        <v>25.4</v>
      </c>
      <c r="E24" s="116">
        <v>23.1</v>
      </c>
      <c r="F24" s="116">
        <v>25.9</v>
      </c>
      <c r="G24" s="117">
        <v>19.399999999999999</v>
      </c>
    </row>
    <row r="25" spans="1:7" ht="15.75" customHeight="1" x14ac:dyDescent="0.2">
      <c r="A25" s="18" t="s">
        <v>50</v>
      </c>
      <c r="B25" s="122">
        <v>26.4</v>
      </c>
      <c r="C25" s="139">
        <v>26.3</v>
      </c>
      <c r="D25" s="118">
        <v>28.7</v>
      </c>
      <c r="E25" s="123">
        <v>29.7</v>
      </c>
      <c r="F25" s="118">
        <v>27.9</v>
      </c>
      <c r="G25" s="119">
        <v>31.7</v>
      </c>
    </row>
    <row r="26" spans="1:7" x14ac:dyDescent="0.2">
      <c r="G26" s="6"/>
    </row>
    <row r="27" spans="1:7" x14ac:dyDescent="0.2">
      <c r="C27" s="138"/>
    </row>
    <row r="30" spans="1:7" ht="15.75" x14ac:dyDescent="0.2">
      <c r="B30" s="53"/>
      <c r="C30" s="53"/>
      <c r="D30" s="53"/>
      <c r="E30" s="53"/>
      <c r="F30" s="53"/>
      <c r="G30" s="53"/>
    </row>
    <row r="31" spans="1:7" ht="15.75" x14ac:dyDescent="0.2">
      <c r="B31" s="53"/>
      <c r="C31" s="53"/>
      <c r="D31" s="53"/>
      <c r="E31" s="53"/>
      <c r="F31" s="53"/>
      <c r="G31" s="53"/>
    </row>
    <row r="32" spans="1:7" ht="15.75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9"/>
  <sheetViews>
    <sheetView workbookViewId="0">
      <selection activeCell="A2" sqref="A2:G2"/>
    </sheetView>
  </sheetViews>
  <sheetFormatPr defaultRowHeight="12" x14ac:dyDescent="0.2"/>
  <cols>
    <col min="1" max="1" width="22.85546875" style="3" customWidth="1"/>
    <col min="2" max="2" width="14.85546875" style="3" customWidth="1"/>
    <col min="3" max="3" width="14.42578125" style="3" customWidth="1"/>
    <col min="4" max="4" width="14.85546875" style="3" customWidth="1"/>
    <col min="5" max="5" width="14.28515625" style="3" customWidth="1"/>
    <col min="6" max="6" width="14.85546875" style="3" customWidth="1"/>
    <col min="7" max="7" width="14.42578125" style="3" customWidth="1"/>
    <col min="8" max="16384" width="9.140625" style="3"/>
  </cols>
  <sheetData>
    <row r="2" spans="1:10" ht="13.5" customHeight="1" x14ac:dyDescent="0.2">
      <c r="A2" s="155" t="s">
        <v>115</v>
      </c>
      <c r="B2" s="155"/>
      <c r="C2" s="155"/>
      <c r="D2" s="155"/>
      <c r="E2" s="155"/>
      <c r="F2" s="155"/>
      <c r="G2" s="155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26.25" customHeight="1" x14ac:dyDescent="0.2">
      <c r="A24" s="37"/>
      <c r="B24" s="9" t="s">
        <v>107</v>
      </c>
      <c r="C24" s="9" t="s">
        <v>106</v>
      </c>
      <c r="D24" s="9" t="s">
        <v>105</v>
      </c>
      <c r="E24" s="9" t="s">
        <v>104</v>
      </c>
      <c r="F24" s="9" t="s">
        <v>103</v>
      </c>
      <c r="G24" s="9" t="s">
        <v>102</v>
      </c>
    </row>
    <row r="25" spans="1:7" x14ac:dyDescent="0.2">
      <c r="A25" s="146" t="s">
        <v>33</v>
      </c>
      <c r="B25" s="142">
        <f>IF(OR(460463.96523="",460463.96523="***"),"-",460463.96523/3222930.24801*100)</f>
        <v>14.287121650067162</v>
      </c>
      <c r="C25" s="142">
        <f>IF(472823.15808="","-",472823.15808/3307388.5187*100)</f>
        <v>14.295966603459323</v>
      </c>
      <c r="D25" s="142">
        <f>IF(349184.61449="","-",349184.61449/2890255.78537*100)</f>
        <v>12.081443319221611</v>
      </c>
      <c r="E25" s="142">
        <f>IF(482162.54002="","-",482162.54002/3828107.2484*100)</f>
        <v>12.595324757986475</v>
      </c>
      <c r="F25" s="142">
        <f>IF(849882.02282="","-",849882.02282/5111634.66749*100)</f>
        <v>16.626423406689259</v>
      </c>
      <c r="G25" s="143">
        <f>IF(780796.48821="","-",780796.48821/5010773.72271*100)</f>
        <v>15.582353772457283</v>
      </c>
    </row>
    <row r="26" spans="1:7" x14ac:dyDescent="0.2">
      <c r="A26" s="147" t="s">
        <v>38</v>
      </c>
      <c r="B26" s="141">
        <f>IF(OR(309348.22745="",309348.22745="***"),"-",309348.22745/3222930.24801*100)</f>
        <v>9.5983531645156521</v>
      </c>
      <c r="C26" s="141">
        <f>IF(324258.17712="","-",324258.17712/3307388.5187*100)</f>
        <v>9.8040546275903715</v>
      </c>
      <c r="D26" s="141">
        <f>IF(276412.03584="","-",276412.03584/2890255.78537*100)</f>
        <v>9.5635838613022539</v>
      </c>
      <c r="E26" s="141">
        <f>IF(351603.79858="","-",351603.79858/3828107.2484*100)</f>
        <v>9.1847948807326851</v>
      </c>
      <c r="F26" s="141">
        <f>IF(481399.06853="","-",481399.06853/5111634.66749*100)</f>
        <v>9.4177127248881547</v>
      </c>
      <c r="G26" s="144">
        <f>IF(626354.20179="","-",626354.20179/5010773.72271*100)</f>
        <v>12.500149407090886</v>
      </c>
    </row>
    <row r="27" spans="1:7" x14ac:dyDescent="0.2">
      <c r="A27" s="147" t="s">
        <v>95</v>
      </c>
      <c r="B27" s="141">
        <f>IF(OR(335697.17559="",335697.17559="***"),"-",335697.17559/3222930.24801*100)</f>
        <v>10.415899500067567</v>
      </c>
      <c r="C27" s="141">
        <f>IF(329570.59885="","-",329570.59885/3307388.5187*100)</f>
        <v>9.9646774785183325</v>
      </c>
      <c r="D27" s="141">
        <f>IF(321136.6386="","-",321136.6386/2890255.78537*100)</f>
        <v>11.111011012434986</v>
      </c>
      <c r="E27" s="141">
        <f>IF(446139.83242="","-",446139.83242/3828107.2484*100)</f>
        <v>11.654319053011617</v>
      </c>
      <c r="F27" s="141">
        <f>IF(492179.87209="","-",492179.87209/5111634.66749*100)</f>
        <v>9.6286198859293357</v>
      </c>
      <c r="G27" s="144">
        <f>IF(545755.25882="","-",545755.25882/5010773.72271*100)</f>
        <v>10.891636482136667</v>
      </c>
    </row>
    <row r="28" spans="1:7" x14ac:dyDescent="0.2">
      <c r="A28" s="147" t="s">
        <v>35</v>
      </c>
      <c r="B28" s="141">
        <f>IF(OR(187693.97874="",187693.97874="***"),"-",187693.97874/3222930.24801*100)</f>
        <v>5.8237058917391007</v>
      </c>
      <c r="C28" s="141">
        <f>IF(212671.44389="","-",212671.44389/3307388.5187*100)</f>
        <v>6.4301923613616614</v>
      </c>
      <c r="D28" s="141">
        <f>IF(195217.16083="","-",195217.16083/2890255.78537*100)</f>
        <v>6.7543212548230924</v>
      </c>
      <c r="E28" s="141">
        <f>IF(271082.9274="","-",271082.9274/3828107.2484*100)</f>
        <v>7.0813827776978329</v>
      </c>
      <c r="F28" s="141">
        <f>IF(355108.94261="","-",355108.94261/5111634.66749*100)</f>
        <v>6.9470720368279277</v>
      </c>
      <c r="G28" s="144">
        <f>IF(436305.58201="","-",436305.58201/5010773.72271*100)</f>
        <v>8.7073495263328464</v>
      </c>
    </row>
    <row r="29" spans="1:7" x14ac:dyDescent="0.2">
      <c r="A29" s="147" t="s">
        <v>34</v>
      </c>
      <c r="B29" s="141">
        <f>IF(OR(275469.41895="",275469.41895="***"),"-",275469.41895/3222930.24801*100)</f>
        <v>8.5471728443421568</v>
      </c>
      <c r="C29" s="141">
        <f>IF(280172.29513="","-",280172.29513/3307388.5187*100)</f>
        <v>8.4711032146935157</v>
      </c>
      <c r="D29" s="141">
        <f>IF(236744.17852="","-",236744.17852/2890255.78537*100)</f>
        <v>8.1911151157748776</v>
      </c>
      <c r="E29" s="141">
        <f>IF(317476.95548="","-",317476.95548/3828107.2484*100)</f>
        <v>8.293314029085602</v>
      </c>
      <c r="F29" s="141">
        <f>IF(334203.61579="","-",334203.61579/5111634.66749*100)</f>
        <v>6.5380966663274132</v>
      </c>
      <c r="G29" s="144">
        <f>IF(354352.2952="","-",354352.2952/5010773.72271*100)</f>
        <v>7.0718079643866654</v>
      </c>
    </row>
    <row r="30" spans="1:7" x14ac:dyDescent="0.2">
      <c r="A30" s="147" t="s">
        <v>36</v>
      </c>
      <c r="B30" s="141">
        <f>IF(OR(237172.23059="",237172.23059="***"),"-",237172.23059/3222930.24801*100)</f>
        <v>7.3589005141033406</v>
      </c>
      <c r="C30" s="141">
        <f>IF(240325.54035="","-",240325.54035/3307388.5187*100)</f>
        <v>7.2663232333062044</v>
      </c>
      <c r="D30" s="141">
        <f>IF(192773.59066="","-",192773.59066/2890255.78537*100)</f>
        <v>6.6697761366239003</v>
      </c>
      <c r="E30" s="141">
        <f>IF(259861.46776="","-",259861.46776/3828107.2484*100)</f>
        <v>6.7882494114712175</v>
      </c>
      <c r="F30" s="141">
        <f>IF(264036.42092="","-",264036.42092/5111634.66749*100)</f>
        <v>5.1654008569757899</v>
      </c>
      <c r="G30" s="144">
        <f>IF(277771.35016="","-",277771.35016/5010773.72271*100)</f>
        <v>5.5434822151532233</v>
      </c>
    </row>
    <row r="31" spans="1:7" x14ac:dyDescent="0.2">
      <c r="A31" s="147" t="s">
        <v>92</v>
      </c>
      <c r="B31" s="141">
        <f>IF(OR(375170.1963="",375170.1963="***"),"-",375170.1963/3222930.24801*100)</f>
        <v>11.640655162538781</v>
      </c>
      <c r="C31" s="141">
        <f>IF(397168.27264="","-",397168.27264/3307388.5187*100)</f>
        <v>12.008515794089734</v>
      </c>
      <c r="D31" s="141">
        <f>IF(337777.64727="","-",337777.64727/2890255.78537*100)</f>
        <v>11.686773502185341</v>
      </c>
      <c r="E31" s="141">
        <f>IF(445278.03983="","-",445278.03983/3828107.2484*100)</f>
        <v>11.631806815655672</v>
      </c>
      <c r="F31" s="141">
        <f>IF(728877.4569="","-",728877.4569/5111634.66749*100)</f>
        <v>14.259185257030616</v>
      </c>
      <c r="G31" s="144">
        <f>IF(213096.93334="","-",213096.93334/5010773.72271*100)</f>
        <v>4.2527750230307699</v>
      </c>
    </row>
    <row r="32" spans="1:7" x14ac:dyDescent="0.2">
      <c r="A32" s="147" t="s">
        <v>37</v>
      </c>
      <c r="B32" s="141">
        <f>IF(OR(113785.87585="",113785.87585="***"),"-",113785.87585/3222930.24801*100)</f>
        <v>3.5305100357122878</v>
      </c>
      <c r="C32" s="141">
        <f>IF(110324.17455="","-",110324.17455/3307388.5187*100)</f>
        <v>3.3356883815199292</v>
      </c>
      <c r="D32" s="141">
        <f>IF(111749.17298="","-",111749.17298/2890255.78537*100)</f>
        <v>3.8664111856693086</v>
      </c>
      <c r="E32" s="141">
        <f>IF(146648.40981="","-",146648.40981/3828107.2484*100)</f>
        <v>3.8308333673591135</v>
      </c>
      <c r="F32" s="141">
        <f>IF(171739.14154="","-",171739.14154/5111634.66749*100)</f>
        <v>3.3597694810284677</v>
      </c>
      <c r="G32" s="144">
        <f>IF(177352.27633="","-",177352.27633/5010773.72271*100)</f>
        <v>3.5394189828648206</v>
      </c>
    </row>
    <row r="33" spans="1:7" x14ac:dyDescent="0.2">
      <c r="A33" s="147" t="s">
        <v>93</v>
      </c>
      <c r="B33" s="141">
        <f>IF(OR(87128.24414="",87128.24414="***"),"-",87128.24414/3222930.24801*100)</f>
        <v>2.703385969764545</v>
      </c>
      <c r="C33" s="141">
        <f>IF(87945.61816="","-",87945.61816/3307388.5187*100)</f>
        <v>2.6590652311560858</v>
      </c>
      <c r="D33" s="141">
        <f>IF(73797.82478="","-",73797.82478/2890255.78537*100)</f>
        <v>2.5533319629893128</v>
      </c>
      <c r="E33" s="141">
        <f>IF(98748.24532="","-",98748.24532/3828107.2484*100)</f>
        <v>2.5795579619999658</v>
      </c>
      <c r="F33" s="141">
        <f>IF(113983.24665="","-",113983.24665/5111634.66749*100)</f>
        <v>2.2298785821868989</v>
      </c>
      <c r="G33" s="144">
        <f>IF(127140.09286="","-",127140.09286/5010773.72271*100)</f>
        <v>2.5373345494283912</v>
      </c>
    </row>
    <row r="34" spans="1:7" x14ac:dyDescent="0.2">
      <c r="A34" s="147" t="s">
        <v>96</v>
      </c>
      <c r="B34" s="141">
        <f>IF(OR(16995.00081="",16995.00081="***"),"-",16995.00081/3222930.24801*100)</f>
        <v>0.52731519152465589</v>
      </c>
      <c r="C34" s="141">
        <f>IF(20910.13837="","-",20910.13837/3307388.5187*100)</f>
        <v>0.63222503953720344</v>
      </c>
      <c r="D34" s="141">
        <f>IF(23013.0428="","-",23013.0428/2890255.78537*100)</f>
        <v>0.79622858698140975</v>
      </c>
      <c r="E34" s="141">
        <f>IF(26117.99526="","-",26117.99526/3828107.2484*100)</f>
        <v>0.68226916241482805</v>
      </c>
      <c r="F34" s="141">
        <f>IF(143648.96407="","-",143648.96407/5111634.66749*100)</f>
        <v>2.8102353437660073</v>
      </c>
      <c r="G34" s="144">
        <f>IF(117911.16644="","-",117911.16644/5010773.72271*100)</f>
        <v>2.3531528854635555</v>
      </c>
    </row>
    <row r="35" spans="1:7" x14ac:dyDescent="0.2">
      <c r="A35" s="147" t="s">
        <v>40</v>
      </c>
      <c r="B35" s="141">
        <f>IF(OR(69316.88068="",69316.88068="***"),"-",69316.88068/3222930.24801*100)</f>
        <v>2.1507409514307589</v>
      </c>
      <c r="C35" s="141">
        <f>IF(66608.944="","-",66608.944/3307388.5187*100)</f>
        <v>2.013943739097857</v>
      </c>
      <c r="D35" s="141">
        <f>IF(56887.05437="","-",56887.05437/2890255.78537*100)</f>
        <v>1.9682359830556491</v>
      </c>
      <c r="E35" s="141">
        <f>IF(72900.42126="","-",72900.42126/3828107.2484*100)</f>
        <v>1.9043463656999042</v>
      </c>
      <c r="F35" s="141">
        <f>IF(106156.81911="","-",106156.81911/5111634.66749*100)</f>
        <v>2.0767685097911524</v>
      </c>
      <c r="G35" s="144">
        <f>IF(110258.02885="","-",110258.02885/5010773.72271*100)</f>
        <v>2.2004192356618457</v>
      </c>
    </row>
    <row r="36" spans="1:7" ht="13.5" customHeight="1" x14ac:dyDescent="0.2">
      <c r="A36" s="147" t="s">
        <v>58</v>
      </c>
      <c r="B36" s="141">
        <f>IF(OR(47753.97366="",47753.97366="***"),"-",47753.97366/3222930.24801*100)</f>
        <v>1.4816942963468016</v>
      </c>
      <c r="C36" s="141">
        <f>IF(63369.1745="","-",63369.1745/3307388.5187*100)</f>
        <v>1.9159882227839338</v>
      </c>
      <c r="D36" s="141">
        <f>IF(47012.80862="","-",47012.80862/2890255.78537*100)</f>
        <v>1.626596817415646</v>
      </c>
      <c r="E36" s="141">
        <f>IF(67335.55503="","-",67335.55503/3828107.2484*100)</f>
        <v>1.758977757432048</v>
      </c>
      <c r="F36" s="141">
        <f>IF(76532.2213="","-",76532.2213/5111634.66749*100)</f>
        <v>1.4972161799188228</v>
      </c>
      <c r="G36" s="144">
        <f>IF(88334.77529="","-",88334.77529/5010773.72271*100)</f>
        <v>1.7628969132979626</v>
      </c>
    </row>
    <row r="37" spans="1:7" ht="12" customHeight="1" x14ac:dyDescent="0.2">
      <c r="A37" s="147" t="s">
        <v>42</v>
      </c>
      <c r="B37" s="141">
        <f>IF(OR(37684.89514="",37684.89514="***"),"-",37684.89514/3222930.24801*100)</f>
        <v>1.1692743013370692</v>
      </c>
      <c r="C37" s="141">
        <f>IF(28012.05405="","-",28012.05405/3307388.5187*100)</f>
        <v>0.84695383961151327</v>
      </c>
      <c r="D37" s="141">
        <f>IF(30961.7867="","-",30961.7867/2890255.78537*100)</f>
        <v>1.0712472874104595</v>
      </c>
      <c r="E37" s="141">
        <f>IF(45885.3969="","-",45885.3969/3828107.2484*100)</f>
        <v>1.1986444977260842</v>
      </c>
      <c r="F37" s="141">
        <f>IF(75451.7853="","-",75451.7853/5111634.66749*100)</f>
        <v>1.4760793798483567</v>
      </c>
      <c r="G37" s="144">
        <f>IF(85263.37819="","-",85263.37819/5010773.72271*100)</f>
        <v>1.7016010482286676</v>
      </c>
    </row>
    <row r="38" spans="1:7" ht="11.25" customHeight="1" x14ac:dyDescent="0.2">
      <c r="A38" s="147" t="s">
        <v>57</v>
      </c>
      <c r="B38" s="141">
        <f>IF(OR(14437.64946="",14437.64946="***"),"-",14437.64946/3222930.24801*100)</f>
        <v>0.44796655059210583</v>
      </c>
      <c r="C38" s="141">
        <f>IF(13662.95295="","-",13662.95295/3307388.5187*100)</f>
        <v>0.41310396020151735</v>
      </c>
      <c r="D38" s="141">
        <f>IF(14417.79288="","-",14417.79288/2890255.78537*100)</f>
        <v>0.49884141580065333</v>
      </c>
      <c r="E38" s="141">
        <f>IF(17255.95393="","-",17255.95393/3828107.2484*100)</f>
        <v>0.45076986641929423</v>
      </c>
      <c r="F38" s="141">
        <f>IF(36158.05437="","-",36158.05437/5111634.66749*100)</f>
        <v>0.70736773502154304</v>
      </c>
      <c r="G38" s="144">
        <f>IF(79950.94611="","-",79950.94611/5010773.72271*100)</f>
        <v>1.5955808530655373</v>
      </c>
    </row>
    <row r="39" spans="1:7" x14ac:dyDescent="0.2">
      <c r="A39" s="147" t="s">
        <v>41</v>
      </c>
      <c r="B39" s="141">
        <f>IF(OR(46031.96996="",46031.96996="***"),"-",46031.96996/3222930.24801*100)</f>
        <v>1.4282645424430909</v>
      </c>
      <c r="C39" s="141">
        <f>IF(48854.50403="","-",48854.50403/3307388.5187*100)</f>
        <v>1.4771322979981414</v>
      </c>
      <c r="D39" s="141">
        <f>IF(42967.71688="","-",42967.71688/2890255.78537*100)</f>
        <v>1.4866406322061709</v>
      </c>
      <c r="E39" s="141">
        <f>IF(53368.39781="","-",53368.39781/3828107.2484*100)</f>
        <v>1.3941197136602146</v>
      </c>
      <c r="F39" s="141">
        <f>IF(62080.84716="","-",62080.84716/5111634.66749*100)</f>
        <v>1.2145008631941994</v>
      </c>
      <c r="G39" s="144">
        <f>IF(66783.32421="","-",66783.32421/5010773.72271*100)</f>
        <v>1.3327946521975707</v>
      </c>
    </row>
    <row r="40" spans="1:7" x14ac:dyDescent="0.2">
      <c r="A40" s="147" t="s">
        <v>110</v>
      </c>
      <c r="B40" s="141">
        <f>IF(OR(42960.627="",42960.627="***"),"-",42960.627/3222930.24801*100)</f>
        <v>1.3329679420312015</v>
      </c>
      <c r="C40" s="141">
        <f>IF(41449.84736="","-",41449.84736/3307388.5187*100)</f>
        <v>1.2532500226581258</v>
      </c>
      <c r="D40" s="141">
        <f>IF(38464.53375="","-",38464.53375/2890255.78537*100)</f>
        <v>1.3308349366412879</v>
      </c>
      <c r="E40" s="141">
        <f>IF(61593.8489="","-",61593.8489/3828107.2484*100)</f>
        <v>1.6089896364775</v>
      </c>
      <c r="F40" s="141">
        <f>IF(80433.26385="","-",80433.26385/5111634.66749*100)</f>
        <v>1.573533107942076</v>
      </c>
      <c r="G40" s="144">
        <f>IF(66149.56136="","-",66149.56136/5010773.72271*100)</f>
        <v>1.3201466484146889</v>
      </c>
    </row>
    <row r="41" spans="1:7" x14ac:dyDescent="0.2">
      <c r="A41" s="147" t="s">
        <v>97</v>
      </c>
      <c r="B41" s="141">
        <f>IF(OR(64139.54587="",64139.54587="***"),"-",64139.54587/3222930.24801*100)</f>
        <v>1.9901003414393781</v>
      </c>
      <c r="C41" s="141">
        <f>IF(56179.28324="","-",56179.28324/3307388.5187*100)</f>
        <v>1.6985994515721965</v>
      </c>
      <c r="D41" s="141">
        <f>IF(32360.90094="","-",32360.90094/2890255.78537*100)</f>
        <v>1.1196552604030952</v>
      </c>
      <c r="E41" s="141">
        <f>IF(59050.65555="","-",59050.65555/3828107.2484*100)</f>
        <v>1.5425548898788266</v>
      </c>
      <c r="F41" s="141">
        <f>IF(47867.31673="","-",47867.31673/5111634.66749*100)</f>
        <v>0.93643853373239216</v>
      </c>
      <c r="G41" s="144">
        <f>IF(53670.36879="","-",53670.36879/5010773.72271*100)</f>
        <v>1.0710994301489472</v>
      </c>
    </row>
    <row r="42" spans="1:7" x14ac:dyDescent="0.2">
      <c r="A42" s="147" t="s">
        <v>98</v>
      </c>
      <c r="B42" s="141">
        <f>IF(OR(32173.54627="",32173.54627="***"),"-",32173.54627/3222930.24801*100)</f>
        <v>0.99827001499227519</v>
      </c>
      <c r="C42" s="141">
        <f>IF(27103.48099="","-",27103.48099/3307388.5187*100)</f>
        <v>0.81948282872594835</v>
      </c>
      <c r="D42" s="141">
        <f>IF(29452.57521="","-",29452.57521/2890255.78537*100)</f>
        <v>1.0190300581382483</v>
      </c>
      <c r="E42" s="141">
        <f>IF(37469.76383="","-",37469.76383/3828107.2484*100)</f>
        <v>0.97880653280184116</v>
      </c>
      <c r="F42" s="141">
        <f>IF(38474.45211="","-",38474.45211/5111634.66749*100)</f>
        <v>0.75268391840867543</v>
      </c>
      <c r="G42" s="144">
        <f>IF(52970.70599="","-",52970.70599/5010773.72271*100)</f>
        <v>1.0571362612110053</v>
      </c>
    </row>
    <row r="43" spans="1:7" x14ac:dyDescent="0.2">
      <c r="A43" s="147" t="s">
        <v>39</v>
      </c>
      <c r="B43" s="141">
        <f>IF(OR(62056.95558="",62056.95558="***"),"-",62056.95558/3222930.24801*100)</f>
        <v>1.9254824276236537</v>
      </c>
      <c r="C43" s="141">
        <f>IF(74496.78805="","-",74496.78805/3307388.5187*100)</f>
        <v>2.2524353467636051</v>
      </c>
      <c r="D43" s="141">
        <f>IF(56548.58776="","-",56548.58776/2890255.78537*100)</f>
        <v>1.9565253721224145</v>
      </c>
      <c r="E43" s="141">
        <f>IF(69898.73435="","-",69898.73435/3828107.2484*100)</f>
        <v>1.8259345889333418</v>
      </c>
      <c r="F43" s="141">
        <f>IF(63247.35883="","-",63247.35883/5111634.66749*100)</f>
        <v>1.2373215799684052</v>
      </c>
      <c r="G43" s="144">
        <f>IF(48956.07409="","-",48956.07409/5010773.72271*100)</f>
        <v>0.97701626134342501</v>
      </c>
    </row>
    <row r="44" spans="1:7" ht="12" customHeight="1" x14ac:dyDescent="0.2">
      <c r="A44" s="147" t="s">
        <v>81</v>
      </c>
      <c r="B44" s="141">
        <f>IF(OR(2574.34844="",2574.34844="***"),"-",2574.34844/3222930.24801*100)</f>
        <v>7.9876020946762119E-2</v>
      </c>
      <c r="C44" s="141">
        <f>IF(4926.08263="","-",4926.08263/3307388.5187*100)</f>
        <v>0.14894175879694482</v>
      </c>
      <c r="D44" s="141">
        <f>IF(52938.84561="","-",52938.84561/2890255.78537*100)</f>
        <v>1.8316318534147649</v>
      </c>
      <c r="E44" s="141">
        <f>IF(7715.8108="","-",7715.8108/3828107.2484*100)</f>
        <v>0.20155680860887348</v>
      </c>
      <c r="F44" s="141">
        <f>IF(11935.69402="","-",11935.69402/5111634.66749*100)</f>
        <v>0.23350052960378845</v>
      </c>
      <c r="G44" s="144">
        <f>IF(48725.47093="","-",48725.47093/5010773.72271*100)</f>
        <v>0.97241411459401472</v>
      </c>
    </row>
    <row r="45" spans="1:7" x14ac:dyDescent="0.2">
      <c r="A45" s="147" t="s">
        <v>74</v>
      </c>
      <c r="B45" s="141">
        <f>IF(OR(35005.99511="",35005.99511="***"),"-",35005.99511/3222930.24801*100)</f>
        <v>1.0861542886823092</v>
      </c>
      <c r="C45" s="141">
        <f>IF(34844.95164="","-",34844.95164/3307388.5187*100)</f>
        <v>1.0535487876004399</v>
      </c>
      <c r="D45" s="141">
        <f>IF(30707.53244="","-",30707.53244/2890255.78537*100)</f>
        <v>1.0624503407427288</v>
      </c>
      <c r="E45" s="141">
        <f>IF(40395.62798="","-",40395.62798/3828107.2484*100)</f>
        <v>1.0552376242040711</v>
      </c>
      <c r="F45" s="141">
        <f>IF(51277.80104="","-",51277.80104/5111634.66749*100)</f>
        <v>1.0031585662044051</v>
      </c>
      <c r="G45" s="144">
        <f>IF(48348.4047="","-",48348.4047/5010773.72271*100)</f>
        <v>0.96488900468352234</v>
      </c>
    </row>
    <row r="46" spans="1:7" x14ac:dyDescent="0.2">
      <c r="A46" s="147" t="s">
        <v>99</v>
      </c>
      <c r="B46" s="141">
        <f>IF(OR(17148.13975="",17148.13975="***"),"-",17148.13975/3222930.24801*100)</f>
        <v>0.5320667352508831</v>
      </c>
      <c r="C46" s="141">
        <f>IF(19658.26098="","-",19658.26098/3307388.5187*100)</f>
        <v>0.59437410721032746</v>
      </c>
      <c r="D46" s="141">
        <f>IF(14606.73727="","-",14606.73727/2890255.78537*100)</f>
        <v>0.50537870537053864</v>
      </c>
      <c r="E46" s="141">
        <f>IF(22168.56212="","-",22168.56212/3828107.2484*100)</f>
        <v>0.57909981830487101</v>
      </c>
      <c r="F46" s="141">
        <f>IF(29179.6277="","-",29179.6277/5111634.66749*100)</f>
        <v>0.57084728463836532</v>
      </c>
      <c r="G46" s="144">
        <f>IF(48129.8508="","-",48129.8508/5010773.72271*100)</f>
        <v>0.96052732498903803</v>
      </c>
    </row>
    <row r="47" spans="1:7" x14ac:dyDescent="0.2">
      <c r="A47" s="147" t="s">
        <v>43</v>
      </c>
      <c r="B47" s="141">
        <f>IF(OR(34242.38117="",34242.38117="***"),"-",34242.38117/3222930.24801*100)</f>
        <v>1.0624611311753636</v>
      </c>
      <c r="C47" s="141">
        <f>IF(33345.04013="","-",33345.04013/3307388.5187*100)</f>
        <v>1.0081984605517884</v>
      </c>
      <c r="D47" s="141">
        <f>IF(26422.52358="","-",26422.52358/2890255.78537*100)</f>
        <v>0.91419325977121035</v>
      </c>
      <c r="E47" s="141">
        <f>IF(37232.92926="","-",37232.92926/3828107.2484*100)</f>
        <v>0.97261980514161184</v>
      </c>
      <c r="F47" s="141">
        <f>IF(41971.59796="","-",41971.59796/5111634.66749*100)</f>
        <v>0.82109932908428285</v>
      </c>
      <c r="G47" s="144">
        <f>IF(43762.16319="","-",43762.16319/5010773.72271*100)</f>
        <v>0.87336139310501337</v>
      </c>
    </row>
    <row r="48" spans="1:7" x14ac:dyDescent="0.2">
      <c r="A48" s="147" t="s">
        <v>101</v>
      </c>
      <c r="B48" s="141">
        <f>IF(OR(20687.05697="",20687.05697="***"),"-",20687.05697/3222930.24801*100)</f>
        <v>0.64187107315689607</v>
      </c>
      <c r="C48" s="141">
        <f>IF(20691.4856="","-",20691.4856/3307388.5187*100)</f>
        <v>0.62561399977686871</v>
      </c>
      <c r="D48" s="141">
        <f>IF(21837.51157="","-",21837.51157/2890255.78537*100)</f>
        <v>0.75555636565240669</v>
      </c>
      <c r="E48" s="141">
        <f>IF(26615.56278="","-",26615.56278/3828107.2484*100)</f>
        <v>0.69526690484244591</v>
      </c>
      <c r="F48" s="141">
        <f>IF(35707.56545="","-",35707.56545/5111634.66749*100)</f>
        <v>0.69855472412964381</v>
      </c>
      <c r="G48" s="144">
        <f>IF(33733.73349="","-",33733.73349/5010773.72271*100)</f>
        <v>0.67322404396572166</v>
      </c>
    </row>
    <row r="49" spans="1:7" x14ac:dyDescent="0.2">
      <c r="A49" s="148" t="s">
        <v>100</v>
      </c>
      <c r="B49" s="145">
        <f>IF(OR(28540.43014="",28540.43014="***"),"-",28540.43014/3222930.24801*100)</f>
        <v>0.88554290486498444</v>
      </c>
      <c r="C49" s="145">
        <f>IF(25449.6988="","-",25449.6988/3307388.5187*100)</f>
        <v>0.76948017011328451</v>
      </c>
      <c r="D49" s="145">
        <f>IF(22009.61476="","-",22009.61476/2890255.78537*100)</f>
        <v>0.76151096630993886</v>
      </c>
      <c r="E49" s="145">
        <f>IF(26844.74228="","-",26844.74228/3828107.2484*100)</f>
        <v>0.70125366239987297</v>
      </c>
      <c r="F49" s="145">
        <f>IF(30902.70605="","-",30902.70605/5111634.66749*100)</f>
        <v>0.60455623416401871</v>
      </c>
      <c r="G49" s="124">
        <f>IF(33132.04505="","-",33132.04505/5010773.72271*100)</f>
        <v>0.66121614911161952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7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49" t="s">
        <v>83</v>
      </c>
      <c r="B2" s="149"/>
      <c r="C2" s="149"/>
      <c r="D2" s="149"/>
      <c r="E2" s="149"/>
      <c r="F2" s="149"/>
      <c r="G2" s="149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97" t="s">
        <v>108</v>
      </c>
      <c r="B27" s="37" t="s">
        <v>44</v>
      </c>
    </row>
    <row r="28" spans="1:6" x14ac:dyDescent="0.2">
      <c r="A28" s="125" t="s">
        <v>77</v>
      </c>
      <c r="B28" s="115">
        <v>15.9</v>
      </c>
    </row>
    <row r="29" spans="1:6" ht="13.5" customHeight="1" x14ac:dyDescent="0.2">
      <c r="A29" s="126" t="s">
        <v>70</v>
      </c>
      <c r="B29" s="117">
        <v>9.1</v>
      </c>
    </row>
    <row r="30" spans="1:6" x14ac:dyDescent="0.2">
      <c r="A30" s="126" t="s">
        <v>65</v>
      </c>
      <c r="B30" s="117">
        <v>6.1</v>
      </c>
    </row>
    <row r="31" spans="1:6" x14ac:dyDescent="0.2">
      <c r="A31" s="126" t="s">
        <v>75</v>
      </c>
      <c r="B31" s="117">
        <v>5.7</v>
      </c>
    </row>
    <row r="32" spans="1:6" x14ac:dyDescent="0.2">
      <c r="A32" s="126" t="s">
        <v>78</v>
      </c>
      <c r="B32" s="117">
        <v>3.8</v>
      </c>
    </row>
    <row r="33" spans="1:5" x14ac:dyDescent="0.2">
      <c r="A33" s="126" t="s">
        <v>64</v>
      </c>
      <c r="B33" s="117">
        <v>3.2</v>
      </c>
    </row>
    <row r="34" spans="1:5" x14ac:dyDescent="0.2">
      <c r="A34" s="126" t="s">
        <v>73</v>
      </c>
      <c r="B34" s="117">
        <v>2.7</v>
      </c>
    </row>
    <row r="35" spans="1:5" x14ac:dyDescent="0.2">
      <c r="A35" s="126" t="s">
        <v>61</v>
      </c>
      <c r="B35" s="117">
        <v>2.2999999999999998</v>
      </c>
    </row>
    <row r="36" spans="1:5" x14ac:dyDescent="0.2">
      <c r="A36" s="126" t="s">
        <v>71</v>
      </c>
      <c r="B36" s="117">
        <v>3.7</v>
      </c>
    </row>
    <row r="37" spans="1:5" x14ac:dyDescent="0.2">
      <c r="A37" s="126" t="s">
        <v>80</v>
      </c>
      <c r="B37" s="117">
        <v>1.9</v>
      </c>
    </row>
    <row r="38" spans="1:5" x14ac:dyDescent="0.2">
      <c r="A38" s="126" t="s">
        <v>67</v>
      </c>
      <c r="B38" s="117">
        <v>2.1</v>
      </c>
    </row>
    <row r="39" spans="1:5" x14ac:dyDescent="0.2">
      <c r="A39" s="126" t="s">
        <v>91</v>
      </c>
      <c r="B39" s="117">
        <v>2.2000000000000002</v>
      </c>
    </row>
    <row r="40" spans="1:5" x14ac:dyDescent="0.2">
      <c r="A40" s="126" t="s">
        <v>76</v>
      </c>
      <c r="B40" s="117">
        <v>1.8</v>
      </c>
    </row>
    <row r="41" spans="1:5" x14ac:dyDescent="0.2">
      <c r="A41" s="127" t="s">
        <v>68</v>
      </c>
      <c r="B41" s="119">
        <v>39.5</v>
      </c>
    </row>
    <row r="42" spans="1:5" x14ac:dyDescent="0.2">
      <c r="A42" s="110"/>
      <c r="B42" s="33"/>
    </row>
    <row r="43" spans="1:5" ht="11.25" customHeight="1" x14ac:dyDescent="0.2">
      <c r="A43" s="97" t="s">
        <v>109</v>
      </c>
      <c r="B43" s="111" t="s">
        <v>44</v>
      </c>
    </row>
    <row r="44" spans="1:5" ht="12.75" customHeight="1" x14ac:dyDescent="0.2">
      <c r="A44" s="125" t="s">
        <v>77</v>
      </c>
      <c r="B44" s="128">
        <v>15.8</v>
      </c>
      <c r="E44" s="105"/>
    </row>
    <row r="45" spans="1:5" ht="12.75" customHeight="1" x14ac:dyDescent="0.2">
      <c r="A45" s="126" t="s">
        <v>70</v>
      </c>
      <c r="B45" s="129">
        <v>7.6</v>
      </c>
      <c r="E45" s="105"/>
    </row>
    <row r="46" spans="1:5" ht="12.75" customHeight="1" x14ac:dyDescent="0.2">
      <c r="A46" s="126" t="s">
        <v>65</v>
      </c>
      <c r="B46" s="129">
        <v>7.5</v>
      </c>
      <c r="E46" s="105"/>
    </row>
    <row r="47" spans="1:5" ht="12.75" customHeight="1" x14ac:dyDescent="0.2">
      <c r="A47" s="126" t="s">
        <v>75</v>
      </c>
      <c r="B47" s="129">
        <v>6.6</v>
      </c>
      <c r="E47" s="105"/>
    </row>
    <row r="48" spans="1:5" ht="12.75" customHeight="1" x14ac:dyDescent="0.2">
      <c r="A48" s="126" t="s">
        <v>78</v>
      </c>
      <c r="B48" s="129">
        <v>3.6</v>
      </c>
      <c r="E48" s="105"/>
    </row>
    <row r="49" spans="1:5" ht="12.75" customHeight="1" x14ac:dyDescent="0.2">
      <c r="A49" s="126" t="s">
        <v>64</v>
      </c>
      <c r="B49" s="129">
        <v>3.4</v>
      </c>
      <c r="E49" s="105"/>
    </row>
    <row r="50" spans="1:5" ht="12.75" customHeight="1" x14ac:dyDescent="0.2">
      <c r="A50" s="126" t="s">
        <v>73</v>
      </c>
      <c r="B50" s="129">
        <v>2.8</v>
      </c>
      <c r="E50" s="105"/>
    </row>
    <row r="51" spans="1:5" ht="12.75" customHeight="1" x14ac:dyDescent="0.2">
      <c r="A51" s="126" t="s">
        <v>61</v>
      </c>
      <c r="B51" s="129">
        <v>2.8</v>
      </c>
      <c r="E51" s="105"/>
    </row>
    <row r="52" spans="1:5" ht="12.75" customHeight="1" x14ac:dyDescent="0.2">
      <c r="A52" s="126" t="s">
        <v>71</v>
      </c>
      <c r="B52" s="129">
        <v>2.6</v>
      </c>
      <c r="E52" s="105"/>
    </row>
    <row r="53" spans="1:5" ht="12.75" customHeight="1" x14ac:dyDescent="0.2">
      <c r="A53" s="126" t="s">
        <v>80</v>
      </c>
      <c r="B53" s="129">
        <v>2.4</v>
      </c>
      <c r="E53" s="105"/>
    </row>
    <row r="54" spans="1:5" ht="12.75" customHeight="1" x14ac:dyDescent="0.2">
      <c r="A54" s="126" t="s">
        <v>67</v>
      </c>
      <c r="B54" s="129">
        <v>2.2000000000000002</v>
      </c>
      <c r="E54" s="105"/>
    </row>
    <row r="55" spans="1:5" ht="12.75" customHeight="1" x14ac:dyDescent="0.2">
      <c r="A55" s="126" t="s">
        <v>91</v>
      </c>
      <c r="B55" s="129">
        <v>2.1</v>
      </c>
      <c r="E55" s="105"/>
    </row>
    <row r="56" spans="1:5" ht="12.75" customHeight="1" x14ac:dyDescent="0.2">
      <c r="A56" s="126" t="s">
        <v>76</v>
      </c>
      <c r="B56" s="129">
        <v>2</v>
      </c>
      <c r="E56" s="105"/>
    </row>
    <row r="57" spans="1:5" ht="12.75" customHeight="1" x14ac:dyDescent="0.2">
      <c r="A57" s="127" t="s">
        <v>68</v>
      </c>
      <c r="B57" s="140">
        <v>38.6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A2" sqref="A2:M2"/>
    </sheetView>
  </sheetViews>
  <sheetFormatPr defaultRowHeight="12" x14ac:dyDescent="0.2"/>
  <cols>
    <col min="1" max="1" width="9.140625" style="3"/>
    <col min="2" max="2" width="9.85546875" style="3" customWidth="1"/>
    <col min="3" max="3" width="9.7109375" style="3" customWidth="1"/>
    <col min="4" max="4" width="10" style="3" customWidth="1"/>
    <col min="5" max="6" width="9.7109375" style="3" customWidth="1"/>
    <col min="7" max="7" width="9.5703125" style="3" customWidth="1"/>
    <col min="8" max="9" width="9.140625" style="3"/>
    <col min="10" max="10" width="10.7109375" style="3" customWidth="1"/>
    <col min="11" max="11" width="10.85546875" style="3" customWidth="1"/>
    <col min="12" max="12" width="10.42578125" style="3" customWidth="1"/>
    <col min="13" max="13" width="10.5703125" style="3" customWidth="1"/>
    <col min="14" max="16384" width="9.140625" style="3"/>
  </cols>
  <sheetData>
    <row r="2" spans="1:13" ht="12.75" x14ac:dyDescent="0.2">
      <c r="A2" s="155" t="s">
        <v>88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x14ac:dyDescent="0.2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x14ac:dyDescent="0.2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x14ac:dyDescent="0.2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x14ac:dyDescent="0.2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-422.8</v>
      </c>
      <c r="I27" s="33">
        <v>-450.6</v>
      </c>
      <c r="J27" s="33">
        <v>-525.29999999999995</v>
      </c>
      <c r="K27" s="33">
        <v>-399.2</v>
      </c>
      <c r="L27" s="33">
        <v>-502.5</v>
      </c>
      <c r="M27" s="34">
        <v>-524.29999999999995</v>
      </c>
    </row>
    <row r="28" spans="1:13" x14ac:dyDescent="0.2">
      <c r="A28" s="29">
        <v>2023</v>
      </c>
      <c r="B28" s="10">
        <v>-402.2</v>
      </c>
      <c r="C28" s="10">
        <v>-396.5</v>
      </c>
      <c r="D28" s="35">
        <v>-436.2</v>
      </c>
      <c r="E28" s="35">
        <v>-373.3</v>
      </c>
      <c r="F28" s="35">
        <v>-372.7</v>
      </c>
      <c r="G28" s="35">
        <v>-348.6</v>
      </c>
      <c r="H28" s="35">
        <v>-334.9</v>
      </c>
      <c r="I28" s="35"/>
      <c r="J28" s="35"/>
      <c r="K28" s="35"/>
      <c r="L28" s="35"/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4"/>
  <sheetViews>
    <sheetView zoomScaleNormal="100" workbookViewId="0">
      <selection activeCell="A2" sqref="A2:F2"/>
    </sheetView>
  </sheetViews>
  <sheetFormatPr defaultRowHeight="12" x14ac:dyDescent="0.2"/>
  <cols>
    <col min="1" max="1" width="20.8554687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2" spans="1:13" ht="12.75" x14ac:dyDescent="0.2">
      <c r="A2" s="159" t="s">
        <v>116</v>
      </c>
      <c r="B2" s="159"/>
      <c r="C2" s="159"/>
      <c r="D2" s="159"/>
      <c r="E2" s="159"/>
      <c r="F2" s="159"/>
      <c r="G2" s="39"/>
      <c r="H2" s="39"/>
      <c r="I2" s="39"/>
      <c r="J2" s="39"/>
      <c r="K2" s="39"/>
      <c r="L2" s="39"/>
      <c r="M2" s="39"/>
    </row>
    <row r="3" spans="1:13" x14ac:dyDescent="0.2">
      <c r="A3" s="73"/>
      <c r="B3" s="73"/>
      <c r="C3" s="73"/>
      <c r="D3" s="73"/>
      <c r="E3" s="73"/>
      <c r="F3" s="73"/>
      <c r="G3" s="39"/>
      <c r="H3" s="39"/>
      <c r="I3" s="39"/>
      <c r="J3" s="39"/>
      <c r="K3" s="39"/>
      <c r="L3" s="39"/>
      <c r="M3" s="39"/>
    </row>
    <row r="4" spans="1:13" ht="19.5" customHeight="1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7" spans="1:6" x14ac:dyDescent="0.2">
      <c r="A27" s="95" t="s">
        <v>51</v>
      </c>
      <c r="B27" s="21" t="s">
        <v>52</v>
      </c>
      <c r="C27" s="21" t="s">
        <v>53</v>
      </c>
      <c r="D27" s="22" t="s">
        <v>54</v>
      </c>
    </row>
    <row r="28" spans="1:6" ht="15.75" customHeight="1" x14ac:dyDescent="0.2">
      <c r="A28" s="93" t="s">
        <v>107</v>
      </c>
      <c r="B28" s="138">
        <v>1533.6</v>
      </c>
      <c r="C28" s="138">
        <v>3222.9</v>
      </c>
      <c r="D28" s="141">
        <v>-1689.3000000000002</v>
      </c>
    </row>
    <row r="29" spans="1:6" ht="15" customHeight="1" x14ac:dyDescent="0.2">
      <c r="A29" s="94" t="s">
        <v>106</v>
      </c>
      <c r="B29" s="138">
        <v>1581.4</v>
      </c>
      <c r="C29" s="138">
        <v>3307.4</v>
      </c>
      <c r="D29" s="141">
        <v>-1726</v>
      </c>
    </row>
    <row r="30" spans="1:6" ht="14.25" customHeight="1" x14ac:dyDescent="0.2">
      <c r="A30" s="94" t="s">
        <v>105</v>
      </c>
      <c r="B30" s="138">
        <v>1361.3</v>
      </c>
      <c r="C30" s="138">
        <v>2890.3</v>
      </c>
      <c r="D30" s="141">
        <v>-1529.0000000000002</v>
      </c>
    </row>
    <row r="31" spans="1:6" ht="14.25" customHeight="1" x14ac:dyDescent="0.2">
      <c r="A31" s="94" t="s">
        <v>104</v>
      </c>
      <c r="B31" s="138">
        <v>1572.2</v>
      </c>
      <c r="C31" s="138">
        <v>3828.1</v>
      </c>
      <c r="D31" s="141">
        <v>-2255.8999999999996</v>
      </c>
    </row>
    <row r="32" spans="1:6" ht="13.5" customHeight="1" x14ac:dyDescent="0.2">
      <c r="A32" s="94" t="s">
        <v>103</v>
      </c>
      <c r="B32" s="138">
        <v>2629.6</v>
      </c>
      <c r="C32" s="138">
        <v>5111.6000000000004</v>
      </c>
      <c r="D32" s="141">
        <v>-2482.0000000000005</v>
      </c>
    </row>
    <row r="33" spans="1:4" ht="13.5" customHeight="1" x14ac:dyDescent="0.2">
      <c r="A33" s="94" t="s">
        <v>102</v>
      </c>
      <c r="B33" s="138">
        <v>2346.5</v>
      </c>
      <c r="C33" s="138">
        <v>5010.8</v>
      </c>
      <c r="D33" s="141">
        <v>-2664.3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8"/>
  <sheetViews>
    <sheetView workbookViewId="0">
      <selection activeCell="A2" sqref="A2:S2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26" width="6.85546875" style="3" customWidth="1"/>
    <col min="27" max="27" width="6" style="3" customWidth="1"/>
    <col min="28" max="28" width="6.140625" style="3" customWidth="1"/>
    <col min="29" max="29" width="6.5703125" style="3" customWidth="1"/>
    <col min="30" max="30" width="7" style="3" customWidth="1"/>
    <col min="31" max="31" width="6.85546875" style="3" customWidth="1"/>
    <col min="32" max="32" width="6" style="3" customWidth="1"/>
    <col min="33" max="16384" width="9.140625" style="3"/>
  </cols>
  <sheetData>
    <row r="2" spans="1:19" ht="15.75" customHeight="1" x14ac:dyDescent="0.2">
      <c r="A2" s="155" t="s">
        <v>85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32" ht="22.5" customHeight="1" x14ac:dyDescent="0.2">
      <c r="A17" s="4"/>
    </row>
    <row r="18" spans="1:32" x14ac:dyDescent="0.2">
      <c r="A18" s="4"/>
    </row>
    <row r="19" spans="1:32" x14ac:dyDescent="0.2">
      <c r="A19" s="5"/>
    </row>
    <row r="20" spans="1:32" x14ac:dyDescent="0.2">
      <c r="A20" s="5"/>
    </row>
    <row r="21" spans="1:32" x14ac:dyDescent="0.2">
      <c r="A21" s="5"/>
    </row>
    <row r="22" spans="1:32" ht="19.5" customHeight="1" x14ac:dyDescent="0.2">
      <c r="A22" s="5"/>
    </row>
    <row r="23" spans="1:32" ht="15" customHeight="1" x14ac:dyDescent="0.2">
      <c r="A23" s="150"/>
      <c r="B23" s="152">
        <v>2021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  <c r="N23" s="152">
        <v>2022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4"/>
      <c r="Z23" s="156">
        <v>2023</v>
      </c>
      <c r="AA23" s="157"/>
      <c r="AB23" s="157"/>
      <c r="AC23" s="157"/>
      <c r="AD23" s="157"/>
      <c r="AE23" s="157"/>
      <c r="AF23" s="158"/>
    </row>
    <row r="24" spans="1:32" x14ac:dyDescent="0.2">
      <c r="A24" s="151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89" t="s">
        <v>13</v>
      </c>
      <c r="O24" s="89" t="s">
        <v>14</v>
      </c>
      <c r="P24" s="90" t="s">
        <v>15</v>
      </c>
      <c r="Q24" s="81" t="s">
        <v>16</v>
      </c>
      <c r="R24" s="57" t="s">
        <v>17</v>
      </c>
      <c r="S24" s="57" t="s">
        <v>22</v>
      </c>
      <c r="T24" s="57" t="s">
        <v>18</v>
      </c>
      <c r="U24" s="57" t="s">
        <v>23</v>
      </c>
      <c r="V24" s="57" t="s">
        <v>19</v>
      </c>
      <c r="W24" s="57" t="s">
        <v>24</v>
      </c>
      <c r="X24" s="57" t="s">
        <v>20</v>
      </c>
      <c r="Y24" s="57" t="s">
        <v>21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89" t="s">
        <v>22</v>
      </c>
      <c r="AF24" s="89" t="s">
        <v>18</v>
      </c>
    </row>
    <row r="25" spans="1:32" ht="28.5" customHeight="1" x14ac:dyDescent="0.2">
      <c r="A25" s="13" t="s">
        <v>55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79">
        <v>110.41268252711565</v>
      </c>
      <c r="X25" s="79">
        <v>101.07685140675132</v>
      </c>
      <c r="Y25" s="77">
        <v>98.231011775552389</v>
      </c>
      <c r="Z25" s="98">
        <v>94.738709353020752</v>
      </c>
      <c r="AA25" s="79">
        <v>107.53426152887265</v>
      </c>
      <c r="AB25" s="79">
        <v>108.10569775638508</v>
      </c>
      <c r="AC25" s="79">
        <v>82.37132224691446</v>
      </c>
      <c r="AD25" s="14">
        <v>106.1352271642845</v>
      </c>
      <c r="AE25" s="79">
        <v>94.094090343677621</v>
      </c>
      <c r="AF25" s="77">
        <v>96.083754729334231</v>
      </c>
    </row>
    <row r="26" spans="1:32" ht="40.5" customHeight="1" x14ac:dyDescent="0.2">
      <c r="A26" s="18" t="s">
        <v>56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78">
        <f>IF(227034.99772="","-",336464.33268/227034.99772*100)</f>
        <v>148.19932435921535</v>
      </c>
      <c r="P26" s="78">
        <f>IF(259287.13538="","-",395828.7569/259287.13538*100)</f>
        <v>152.66039185472528</v>
      </c>
      <c r="Q26" s="78">
        <f>IF(218235.12722="","-",396338.08224/218235.12722*100)</f>
        <v>181.61058088529293</v>
      </c>
      <c r="R26" s="78">
        <f>IF(201697.01673="","-",415966.01044/201697.01673*100)</f>
        <v>206.23310011413275</v>
      </c>
      <c r="S26" s="78">
        <f>IF(226810.79989="","-",416434.52243/226810.79989*100)</f>
        <v>183.60436215205132</v>
      </c>
      <c r="T26" s="78">
        <f>IF(240720.89459="","-",338224.33542/240720.89459*100)</f>
        <v>140.50476839414773</v>
      </c>
      <c r="U26" s="78">
        <f>IF(236300.67911="","-",329416.35614/236300.67911*100)</f>
        <v>139.40559010693906</v>
      </c>
      <c r="V26" s="78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99">
        <f>IF(330357.20487="","-",331097.88364/330357.20487*100)</f>
        <v>100.22420542342689</v>
      </c>
      <c r="AA26" s="10">
        <f>IF(336464.33268="","-",356043.66411/336464.33268*100)</f>
        <v>105.8191402559811</v>
      </c>
      <c r="AB26" s="78">
        <f>IF(395828.7569="","-",384903.48749/395828.7569*100)</f>
        <v>97.239900027586913</v>
      </c>
      <c r="AC26" s="78">
        <f>IF(396338.08224="","-",317050.09202/396338.08224*100)</f>
        <v>79.994859496749626</v>
      </c>
      <c r="AD26" s="78">
        <f>IF(415966.01044="","-",336501.83539/415966.01044*100)</f>
        <v>80.896473977298172</v>
      </c>
      <c r="AE26" s="78">
        <f>IF(416434.52243="","-",316628.341/416434.52243*100)</f>
        <v>76.033163425643508</v>
      </c>
      <c r="AF26" s="112">
        <f>IF(338224.33542="","-",304228.39857/338224.33542*100)</f>
        <v>89.948701707763121</v>
      </c>
    </row>
    <row r="29" spans="1:32" ht="15.75" x14ac:dyDescent="0.25">
      <c r="N29" s="64"/>
      <c r="O29" s="84"/>
      <c r="P29" s="60"/>
      <c r="Q29" s="85"/>
      <c r="R29" s="60"/>
      <c r="S29" s="60"/>
      <c r="T29" s="60"/>
      <c r="U29" s="60"/>
      <c r="V29" s="60"/>
      <c r="W29" s="75"/>
      <c r="X29" s="75"/>
      <c r="Y29" s="75"/>
    </row>
    <row r="30" spans="1:32" ht="15.75" x14ac:dyDescent="0.25">
      <c r="N30" s="61"/>
      <c r="O30" s="86"/>
      <c r="P30" s="87"/>
      <c r="Q30" s="87"/>
      <c r="R30" s="87"/>
      <c r="S30" s="87"/>
      <c r="T30" s="87"/>
      <c r="U30" s="87"/>
      <c r="V30" s="87"/>
      <c r="W30" s="64"/>
      <c r="X30" s="64"/>
      <c r="Y30" s="83"/>
    </row>
    <row r="33" spans="14:21" ht="15.75" x14ac:dyDescent="0.25">
      <c r="N33" s="64"/>
      <c r="O33" s="65"/>
      <c r="P33" s="66"/>
      <c r="Q33" s="66"/>
      <c r="R33" s="66"/>
      <c r="S33" s="67"/>
      <c r="T33" s="46"/>
      <c r="U33" s="46"/>
    </row>
    <row r="34" spans="14:21" ht="15.75" x14ac:dyDescent="0.25">
      <c r="N34" s="66"/>
      <c r="O34" s="66"/>
      <c r="P34" s="66"/>
      <c r="Q34" s="66"/>
      <c r="R34" s="66"/>
      <c r="S34" s="67"/>
      <c r="T34" s="46"/>
      <c r="U34" s="46"/>
    </row>
    <row r="35" spans="14:21" ht="15.75" x14ac:dyDescent="0.25">
      <c r="N35" s="68"/>
      <c r="O35" s="68"/>
      <c r="P35" s="66"/>
      <c r="Q35" s="66"/>
      <c r="R35" s="68"/>
      <c r="S35" s="69"/>
      <c r="T35" s="69"/>
      <c r="U35" s="69"/>
    </row>
    <row r="36" spans="14:21" ht="15.75" x14ac:dyDescent="0.25">
      <c r="N36" s="68"/>
      <c r="O36" s="68"/>
      <c r="P36" s="66"/>
      <c r="Q36" s="66"/>
      <c r="R36" s="68"/>
      <c r="S36" s="69"/>
      <c r="T36" s="69"/>
      <c r="U36" s="69"/>
    </row>
    <row r="37" spans="14:21" ht="16.5" x14ac:dyDescent="0.25">
      <c r="N37" s="63"/>
      <c r="O37" s="65"/>
      <c r="P37" s="66"/>
      <c r="Q37" s="66"/>
      <c r="R37" s="66"/>
      <c r="S37" s="70"/>
      <c r="T37" s="46"/>
      <c r="U37" s="42"/>
    </row>
    <row r="38" spans="14:21" ht="15.75" x14ac:dyDescent="0.25">
      <c r="N38" s="66"/>
      <c r="O38" s="66"/>
      <c r="P38" s="66"/>
      <c r="Q38" s="66"/>
      <c r="R38" s="66"/>
      <c r="S38" s="67"/>
      <c r="T38" s="46"/>
      <c r="U38" s="46"/>
    </row>
  </sheetData>
  <mergeCells count="5">
    <mergeCell ref="A23:A24"/>
    <mergeCell ref="B23:M23"/>
    <mergeCell ref="N23:Y23"/>
    <mergeCell ref="A2:S2"/>
    <mergeCell ref="Z23:AF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0"/>
  <sheetViews>
    <sheetView workbookViewId="0">
      <selection activeCell="A2" sqref="A2:G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7109375" style="3" customWidth="1"/>
    <col min="4" max="4" width="14.140625" style="3" customWidth="1"/>
    <col min="5" max="5" width="15" style="3" customWidth="1"/>
    <col min="6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59" t="s">
        <v>111</v>
      </c>
      <c r="B2" s="159"/>
      <c r="C2" s="159"/>
      <c r="D2" s="159"/>
      <c r="E2" s="159"/>
      <c r="F2" s="159"/>
      <c r="G2" s="159"/>
    </row>
    <row r="3" spans="1:7" ht="5.25" customHeight="1" x14ac:dyDescent="0.2">
      <c r="A3" s="73"/>
      <c r="B3" s="73"/>
      <c r="C3" s="73"/>
      <c r="D3" s="73"/>
      <c r="E3" s="73"/>
      <c r="F3" s="73"/>
      <c r="G3" s="73"/>
    </row>
    <row r="4" spans="1:7" ht="17.25" customHeight="1" x14ac:dyDescent="0.2">
      <c r="A4" s="73"/>
      <c r="B4" s="73"/>
      <c r="C4" s="73"/>
      <c r="D4" s="73"/>
      <c r="E4" s="73"/>
      <c r="F4" s="73"/>
      <c r="G4" s="73"/>
    </row>
    <row r="5" spans="1:7" ht="17.25" customHeight="1" x14ac:dyDescent="0.2">
      <c r="A5" s="4"/>
      <c r="B5" s="4"/>
      <c r="C5" s="4"/>
      <c r="D5" s="4"/>
      <c r="E5" s="4"/>
      <c r="F5" s="4"/>
      <c r="G5" s="4"/>
    </row>
    <row r="6" spans="1:7" ht="17.25" customHeight="1" x14ac:dyDescent="0.2">
      <c r="A6" s="4"/>
      <c r="B6" s="4"/>
      <c r="C6" s="4"/>
      <c r="D6" s="4"/>
      <c r="E6" s="4"/>
      <c r="F6" s="4"/>
      <c r="G6" s="4"/>
    </row>
    <row r="7" spans="1:7" ht="17.25" customHeight="1" x14ac:dyDescent="0.2">
      <c r="A7" s="4"/>
      <c r="B7" s="4"/>
      <c r="C7" s="4"/>
      <c r="D7" s="4"/>
      <c r="E7" s="4"/>
      <c r="F7" s="4"/>
      <c r="G7" s="4"/>
    </row>
    <row r="8" spans="1:7" ht="17.25" customHeight="1" x14ac:dyDescent="0.2">
      <c r="A8" s="4"/>
      <c r="B8" s="4"/>
      <c r="C8" s="4"/>
      <c r="D8" s="4"/>
      <c r="E8" s="4"/>
      <c r="F8" s="4"/>
      <c r="G8" s="4"/>
    </row>
    <row r="9" spans="1:7" ht="17.2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7.25" customHeight="1" x14ac:dyDescent="0.2">
      <c r="A11" s="4"/>
      <c r="B11" s="4"/>
      <c r="C11" s="4"/>
      <c r="D11" s="4"/>
      <c r="E11" s="4"/>
      <c r="F11" s="4"/>
      <c r="G11" s="4"/>
    </row>
    <row r="12" spans="1:7" ht="17.25" customHeight="1" x14ac:dyDescent="0.2">
      <c r="A12" s="4"/>
      <c r="B12" s="4"/>
      <c r="C12" s="4"/>
      <c r="D12" s="4"/>
      <c r="E12" s="4"/>
      <c r="F12" s="4"/>
      <c r="G12" s="4"/>
    </row>
    <row r="13" spans="1:7" ht="17.25" customHeight="1" x14ac:dyDescent="0.2">
      <c r="A13" s="4"/>
      <c r="B13" s="4"/>
      <c r="C13" s="4"/>
      <c r="D13" s="4"/>
      <c r="E13" s="4"/>
      <c r="F13" s="4"/>
      <c r="G13" s="4"/>
    </row>
    <row r="14" spans="1:7" ht="17.25" customHeight="1" x14ac:dyDescent="0.2">
      <c r="A14" s="4"/>
      <c r="B14" s="4"/>
      <c r="C14" s="4"/>
      <c r="D14" s="4"/>
      <c r="E14" s="4"/>
      <c r="F14" s="4"/>
      <c r="G14" s="4"/>
    </row>
    <row r="15" spans="1:7" ht="17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7.25" customHeight="1" x14ac:dyDescent="0.2">
      <c r="A17" s="4"/>
      <c r="B17" s="4"/>
      <c r="C17" s="4"/>
      <c r="D17" s="4"/>
      <c r="E17" s="4"/>
      <c r="F17" s="4"/>
      <c r="G17" s="4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/>
      <c r="B19" s="4"/>
      <c r="C19" s="4"/>
      <c r="D19" s="4"/>
      <c r="E19" s="4"/>
      <c r="F19" s="4"/>
      <c r="G19" s="4"/>
    </row>
    <row r="20" spans="1:7" ht="17.25" customHeight="1" x14ac:dyDescent="0.2">
      <c r="A20" s="4"/>
      <c r="B20" s="4"/>
      <c r="C20" s="4"/>
      <c r="D20" s="4"/>
      <c r="E20" s="4"/>
      <c r="F20" s="4"/>
      <c r="G20" s="4"/>
    </row>
    <row r="21" spans="1:7" ht="15" customHeight="1" x14ac:dyDescent="0.2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0" customHeight="1" x14ac:dyDescent="0.2">
      <c r="A23" s="38" t="s">
        <v>25</v>
      </c>
      <c r="B23" s="24" t="s">
        <v>102</v>
      </c>
      <c r="C23" s="24" t="s">
        <v>103</v>
      </c>
      <c r="D23" s="24" t="s">
        <v>104</v>
      </c>
      <c r="E23" s="24" t="s">
        <v>105</v>
      </c>
      <c r="F23" s="24" t="s">
        <v>106</v>
      </c>
      <c r="G23" s="24" t="s">
        <v>107</v>
      </c>
    </row>
    <row r="24" spans="1:7" x14ac:dyDescent="0.2">
      <c r="A24" s="100" t="s">
        <v>26</v>
      </c>
      <c r="B24" s="113">
        <v>13.2</v>
      </c>
      <c r="C24" s="114">
        <v>15.9</v>
      </c>
      <c r="D24" s="114">
        <v>6.1</v>
      </c>
      <c r="E24" s="114">
        <v>8.6999999999999993</v>
      </c>
      <c r="F24" s="114">
        <v>7</v>
      </c>
      <c r="G24" s="115">
        <v>7.1</v>
      </c>
    </row>
    <row r="25" spans="1:7" x14ac:dyDescent="0.2">
      <c r="A25" s="101" t="s">
        <v>27</v>
      </c>
      <c r="B25" s="102">
        <v>2.9</v>
      </c>
      <c r="C25" s="116">
        <v>9.1</v>
      </c>
      <c r="D25" s="116">
        <v>1.3</v>
      </c>
      <c r="E25" s="116">
        <v>3.7</v>
      </c>
      <c r="F25" s="116">
        <v>4.4000000000000004</v>
      </c>
      <c r="G25" s="117">
        <v>3.2</v>
      </c>
    </row>
    <row r="26" spans="1:7" x14ac:dyDescent="0.2">
      <c r="A26" s="101" t="s">
        <v>28</v>
      </c>
      <c r="B26" s="102">
        <v>81.7</v>
      </c>
      <c r="C26" s="116">
        <v>74</v>
      </c>
      <c r="D26" s="116">
        <v>91.4</v>
      </c>
      <c r="E26" s="116">
        <v>86.4</v>
      </c>
      <c r="F26" s="116">
        <v>86.9</v>
      </c>
      <c r="G26" s="117">
        <v>87.4</v>
      </c>
    </row>
    <row r="27" spans="1:7" x14ac:dyDescent="0.2">
      <c r="A27" s="101" t="s">
        <v>29</v>
      </c>
      <c r="B27" s="102">
        <v>1.1000000000000001</v>
      </c>
      <c r="C27" s="116">
        <v>0.8</v>
      </c>
      <c r="D27" s="116">
        <v>1.1000000000000001</v>
      </c>
      <c r="E27" s="116">
        <v>1.1000000000000001</v>
      </c>
      <c r="F27" s="116">
        <v>1.6</v>
      </c>
      <c r="G27" s="117">
        <v>2.2000000000000002</v>
      </c>
    </row>
    <row r="28" spans="1:7" x14ac:dyDescent="0.2">
      <c r="A28" s="101" t="s">
        <v>45</v>
      </c>
      <c r="B28" s="102">
        <v>0</v>
      </c>
      <c r="C28" s="116">
        <v>0</v>
      </c>
      <c r="D28" s="116">
        <v>0.1</v>
      </c>
      <c r="E28" s="116">
        <v>0.1</v>
      </c>
      <c r="F28" s="116">
        <v>0.1</v>
      </c>
      <c r="G28" s="117">
        <v>0.1</v>
      </c>
    </row>
    <row r="29" spans="1:7" x14ac:dyDescent="0.2">
      <c r="A29" s="31" t="s">
        <v>46</v>
      </c>
      <c r="B29" s="102">
        <v>1</v>
      </c>
      <c r="C29" s="116">
        <v>0.2</v>
      </c>
      <c r="D29" s="116">
        <v>0</v>
      </c>
      <c r="E29" s="116">
        <v>0</v>
      </c>
      <c r="F29" s="116">
        <v>0</v>
      </c>
      <c r="G29" s="117">
        <v>0</v>
      </c>
    </row>
    <row r="30" spans="1:7" x14ac:dyDescent="0.2">
      <c r="A30" s="109" t="s">
        <v>47</v>
      </c>
      <c r="B30" s="120">
        <v>0.1</v>
      </c>
      <c r="C30" s="118">
        <v>0</v>
      </c>
      <c r="D30" s="118">
        <v>0</v>
      </c>
      <c r="E30" s="118">
        <v>0</v>
      </c>
      <c r="F30" s="118">
        <v>0</v>
      </c>
      <c r="G30" s="119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1.140625" style="3" bestFit="1" customWidth="1"/>
    <col min="2" max="2" width="14.7109375" style="3" customWidth="1"/>
    <col min="3" max="5" width="14.85546875" style="3" customWidth="1"/>
    <col min="6" max="6" width="15" style="3" customWidth="1"/>
    <col min="7" max="7" width="13.7109375" style="3" customWidth="1"/>
    <col min="8" max="16384" width="9.140625" style="3"/>
  </cols>
  <sheetData>
    <row r="2" spans="1:13" ht="12.75" x14ac:dyDescent="0.2">
      <c r="A2" s="159" t="s">
        <v>112</v>
      </c>
      <c r="B2" s="159"/>
      <c r="C2" s="159"/>
      <c r="D2" s="159"/>
      <c r="E2" s="159"/>
      <c r="F2" s="159"/>
      <c r="G2" s="159"/>
      <c r="H2" s="39"/>
      <c r="I2" s="39"/>
      <c r="J2" s="39"/>
      <c r="K2" s="39"/>
      <c r="L2" s="39"/>
      <c r="M2" s="39"/>
    </row>
    <row r="3" spans="1:13" ht="11.25" customHeight="1" x14ac:dyDescent="0.2">
      <c r="A3" s="74"/>
      <c r="B3" s="74"/>
      <c r="C3" s="74"/>
      <c r="D3" s="74"/>
      <c r="E3" s="74"/>
      <c r="F3" s="74"/>
      <c r="G3" s="74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30.75" customHeight="1" x14ac:dyDescent="0.2">
      <c r="A21" s="20"/>
      <c r="B21" s="9" t="s">
        <v>107</v>
      </c>
      <c r="C21" s="9" t="s">
        <v>106</v>
      </c>
      <c r="D21" s="9" t="s">
        <v>105</v>
      </c>
      <c r="E21" s="9" t="s">
        <v>104</v>
      </c>
      <c r="F21" s="9" t="s">
        <v>103</v>
      </c>
      <c r="G21" s="9" t="s">
        <v>102</v>
      </c>
    </row>
    <row r="22" spans="1:8" ht="15" customHeight="1" x14ac:dyDescent="0.2">
      <c r="A22" s="16" t="s">
        <v>30</v>
      </c>
      <c r="B22" s="113">
        <v>65.400000000000006</v>
      </c>
      <c r="C22" s="114">
        <v>63.3</v>
      </c>
      <c r="D22" s="114">
        <v>64.3</v>
      </c>
      <c r="E22" s="114">
        <v>64.2</v>
      </c>
      <c r="F22" s="121">
        <v>60.3</v>
      </c>
      <c r="G22" s="115">
        <v>62.3</v>
      </c>
      <c r="H22" s="6"/>
    </row>
    <row r="23" spans="1:8" ht="14.25" customHeight="1" x14ac:dyDescent="0.2">
      <c r="A23" s="17" t="s">
        <v>31</v>
      </c>
      <c r="B23" s="102">
        <v>16</v>
      </c>
      <c r="C23" s="116">
        <v>14.7</v>
      </c>
      <c r="D23" s="116">
        <v>16.2</v>
      </c>
      <c r="E23" s="116">
        <v>15.5</v>
      </c>
      <c r="F23" s="116">
        <v>19.7</v>
      </c>
      <c r="G23" s="117">
        <v>24.9</v>
      </c>
      <c r="H23" s="6"/>
    </row>
    <row r="24" spans="1:8" ht="15" customHeight="1" x14ac:dyDescent="0.2">
      <c r="A24" s="18" t="s">
        <v>32</v>
      </c>
      <c r="B24" s="122">
        <v>18.600000000000001</v>
      </c>
      <c r="C24" s="123">
        <v>22</v>
      </c>
      <c r="D24" s="118">
        <v>19.5</v>
      </c>
      <c r="E24" s="118">
        <v>20.3</v>
      </c>
      <c r="F24" s="118">
        <v>20</v>
      </c>
      <c r="G24" s="119">
        <v>12.8</v>
      </c>
      <c r="H24" s="6"/>
    </row>
    <row r="30" spans="1:8" ht="15.75" x14ac:dyDescent="0.2">
      <c r="B30" s="52"/>
      <c r="C30" s="52"/>
      <c r="D30" s="52"/>
      <c r="E30" s="53"/>
      <c r="F30" s="52"/>
      <c r="G30" s="52"/>
    </row>
    <row r="31" spans="1:8" ht="15.75" x14ac:dyDescent="0.2">
      <c r="B31" s="52"/>
      <c r="C31" s="52"/>
      <c r="D31" s="52"/>
      <c r="E31" s="53"/>
      <c r="F31" s="52"/>
      <c r="G31" s="52"/>
    </row>
    <row r="32" spans="1:8" ht="15.75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6"/>
  <sheetViews>
    <sheetView workbookViewId="0">
      <selection activeCell="A2" sqref="A2:G2"/>
    </sheetView>
  </sheetViews>
  <sheetFormatPr defaultRowHeight="12" x14ac:dyDescent="0.2"/>
  <cols>
    <col min="1" max="1" width="21" style="3" customWidth="1"/>
    <col min="2" max="3" width="14.5703125" style="3" customWidth="1"/>
    <col min="4" max="4" width="14.28515625" style="3" customWidth="1"/>
    <col min="5" max="5" width="14.140625" style="3" customWidth="1"/>
    <col min="6" max="6" width="14.28515625" style="3" customWidth="1"/>
    <col min="7" max="7" width="14.42578125" style="3" customWidth="1"/>
    <col min="8" max="16384" width="9.140625" style="3"/>
  </cols>
  <sheetData>
    <row r="2" spans="1:7" ht="12.75" x14ac:dyDescent="0.2">
      <c r="A2" s="159" t="s">
        <v>113</v>
      </c>
      <c r="B2" s="159"/>
      <c r="C2" s="159"/>
      <c r="D2" s="159"/>
      <c r="E2" s="159"/>
      <c r="F2" s="159"/>
      <c r="G2" s="159"/>
    </row>
    <row r="3" spans="1:7" x14ac:dyDescent="0.2">
      <c r="A3" s="73"/>
      <c r="B3" s="73"/>
      <c r="C3" s="73"/>
      <c r="D3" s="73"/>
      <c r="E3" s="73"/>
      <c r="F3" s="73"/>
      <c r="G3" s="73"/>
    </row>
    <row r="4" spans="1:7" ht="13.5" customHeight="1" x14ac:dyDescent="0.2">
      <c r="A4" s="4"/>
      <c r="B4" s="4"/>
      <c r="C4" s="4"/>
      <c r="D4" s="4"/>
      <c r="E4" s="4"/>
      <c r="F4" s="4"/>
      <c r="G4" s="4"/>
    </row>
    <row r="5" spans="1:7" ht="13.5" customHeight="1" x14ac:dyDescent="0.2">
      <c r="A5" s="4"/>
      <c r="B5" s="4"/>
      <c r="C5" s="4"/>
      <c r="D5" s="4"/>
      <c r="E5" s="4"/>
      <c r="F5" s="4"/>
      <c r="G5" s="4"/>
    </row>
    <row r="6" spans="1:7" ht="13.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3.5" customHeight="1" x14ac:dyDescent="0.2">
      <c r="A8" s="4"/>
      <c r="B8" s="4"/>
      <c r="C8" s="4"/>
      <c r="D8" s="4"/>
      <c r="E8" s="4"/>
      <c r="F8" s="4"/>
      <c r="G8" s="4"/>
    </row>
    <row r="9" spans="1:7" ht="13.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3.5" customHeight="1" x14ac:dyDescent="0.2">
      <c r="A13" s="4"/>
      <c r="B13" s="4"/>
      <c r="C13" s="4"/>
      <c r="D13" s="4"/>
      <c r="E13" s="4"/>
      <c r="F13" s="4"/>
      <c r="G13" s="4"/>
    </row>
    <row r="14" spans="1:7" ht="13.5" customHeight="1" x14ac:dyDescent="0.2">
      <c r="A14" s="4"/>
      <c r="B14" s="4"/>
      <c r="C14" s="4"/>
      <c r="D14" s="4"/>
      <c r="E14" s="4"/>
      <c r="F14" s="4"/>
      <c r="G14" s="4"/>
    </row>
    <row r="15" spans="1:7" ht="13.5" customHeight="1" x14ac:dyDescent="0.2">
      <c r="A15" s="4"/>
      <c r="B15" s="4"/>
      <c r="C15" s="4"/>
      <c r="D15" s="4"/>
      <c r="E15" s="4"/>
      <c r="F15" s="4"/>
      <c r="G15" s="4"/>
    </row>
    <row r="16" spans="1:7" ht="13.5" customHeight="1" x14ac:dyDescent="0.2">
      <c r="A16" s="4"/>
      <c r="B16" s="4"/>
      <c r="C16" s="4"/>
      <c r="D16" s="4"/>
      <c r="E16" s="4"/>
      <c r="F16" s="4"/>
      <c r="G16" s="4"/>
    </row>
    <row r="17" spans="1:7" ht="13.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ht="13.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ht="13.5" customHeight="1" x14ac:dyDescent="0.2">
      <c r="A22" s="5"/>
    </row>
    <row r="23" spans="1:7" ht="13.5" customHeight="1" x14ac:dyDescent="0.2">
      <c r="A23" s="5"/>
    </row>
    <row r="24" spans="1:7" ht="14.25" customHeight="1" x14ac:dyDescent="0.2">
      <c r="A24" s="5"/>
    </row>
    <row r="25" spans="1:7" ht="27" customHeight="1" x14ac:dyDescent="0.2">
      <c r="A25" s="37"/>
      <c r="B25" s="9" t="s">
        <v>107</v>
      </c>
      <c r="C25" s="9" t="s">
        <v>106</v>
      </c>
      <c r="D25" s="9" t="s">
        <v>105</v>
      </c>
      <c r="E25" s="9" t="s">
        <v>104</v>
      </c>
      <c r="F25" s="9" t="s">
        <v>103</v>
      </c>
      <c r="G25" s="9" t="s">
        <v>102</v>
      </c>
    </row>
    <row r="26" spans="1:7" x14ac:dyDescent="0.2">
      <c r="A26" s="146" t="s">
        <v>33</v>
      </c>
      <c r="B26" s="142">
        <f>IF(OR(412124.37951="",412124.37951="***"),"-",412124.37951/1533630.30697*100)</f>
        <v>26.872472305547735</v>
      </c>
      <c r="C26" s="142">
        <f>IF(448157.66799="","-",448157.66799/1581380.128*100)</f>
        <v>28.339654713936053</v>
      </c>
      <c r="D26" s="142">
        <f>IF(357021.51263="","-",357021.51263/1361306.86729*100)</f>
        <v>26.226380047632823</v>
      </c>
      <c r="E26" s="142">
        <f>IF(438720.7544="","-",438720.7544/1572223.23546*100)</f>
        <v>27.904482296474857</v>
      </c>
      <c r="F26" s="142">
        <f>IF(749307.95325="","-",749307.95325/2629613.24498*100)</f>
        <v>28.494987035848268</v>
      </c>
      <c r="G26" s="143">
        <f>IF(760070.114="","-",760070.114/2346453.7023*100)</f>
        <v>32.392291109557256</v>
      </c>
    </row>
    <row r="27" spans="1:7" x14ac:dyDescent="0.2">
      <c r="A27" s="147" t="s">
        <v>38</v>
      </c>
      <c r="B27" s="141">
        <f>IF(OR(47136.75271="",47136.75271="***"),"-",47136.75271/1533630.30697*100)</f>
        <v>3.0735407676657283</v>
      </c>
      <c r="C27" s="141">
        <f>IF(42146.47004="","-",42146.47004/1581380.128*100)</f>
        <v>2.6651700811052557</v>
      </c>
      <c r="D27" s="141">
        <f>IF(33715.30077="","-",33715.30077/1361306.86729*100)</f>
        <v>2.4766863063813234</v>
      </c>
      <c r="E27" s="141">
        <f>IF(43620.74939="","-",43620.74939/1572223.23546*100)</f>
        <v>2.7744628374759683</v>
      </c>
      <c r="F27" s="141">
        <f>IF(329235.51234="","-",329235.51234/2629613.24498*100)</f>
        <v>12.520301719977992</v>
      </c>
      <c r="G27" s="144">
        <f>IF(396114.26156="","-",396114.26156/2346453.7023*100)</f>
        <v>16.881401119132576</v>
      </c>
    </row>
    <row r="28" spans="1:7" x14ac:dyDescent="0.2">
      <c r="A28" s="147" t="s">
        <v>36</v>
      </c>
      <c r="B28" s="141">
        <f>IF(OR(176924.98215="",176924.98215="***"),"-",176924.98215/1533630.30697*100)</f>
        <v>11.536351449623568</v>
      </c>
      <c r="C28" s="141">
        <f>IF(160649.39035="","-",160649.39035/1581380.128*100)</f>
        <v>10.15880922654417</v>
      </c>
      <c r="D28" s="141">
        <f>IF(124232.66174="","-",124232.66174/1361306.86729*100)</f>
        <v>9.1259850901446047</v>
      </c>
      <c r="E28" s="141">
        <f>IF(118873.60248="","-",118873.60248/1572223.23546*100)</f>
        <v>7.5608603027177645</v>
      </c>
      <c r="F28" s="141">
        <f>IF(216987.66991="","-",216987.66991/2629613.24498*100)</f>
        <v>8.2516951998258712</v>
      </c>
      <c r="G28" s="144">
        <f>IF(165353.33221="","-",165353.33221/2346453.7023*100)</f>
        <v>7.0469462938015885</v>
      </c>
    </row>
    <row r="29" spans="1:7" x14ac:dyDescent="0.2">
      <c r="A29" s="147" t="s">
        <v>34</v>
      </c>
      <c r="B29" s="141">
        <f>IF(OR(129436.56273="",129436.56273="***"),"-",129436.56273/1533630.30697*100)</f>
        <v>8.4398803376368043</v>
      </c>
      <c r="C29" s="141">
        <f>IF(140730.13259="","-",140730.13259/1581380.128*100)</f>
        <v>8.8991969797915651</v>
      </c>
      <c r="D29" s="141">
        <f>IF(121478.61347="","-",121478.61347/1361306.86729*100)</f>
        <v>8.9236759461760169</v>
      </c>
      <c r="E29" s="141">
        <f>IF(154977.80417="","-",154977.80417/1572223.23546*100)</f>
        <v>9.8572391422937269</v>
      </c>
      <c r="F29" s="141">
        <f>IF(143484.11319="","-",143484.11319/2629613.24498*100)</f>
        <v>5.456472105314913</v>
      </c>
      <c r="G29" s="144">
        <f>IF(125313.40434="","-",125313.40434/2346453.7023*100)</f>
        <v>5.3405445083858876</v>
      </c>
    </row>
    <row r="30" spans="1:7" x14ac:dyDescent="0.2">
      <c r="A30" s="147" t="s">
        <v>92</v>
      </c>
      <c r="B30" s="141">
        <f>IF(OR(127189.84941="",127189.84941="***"),"-",127189.84941/1533630.30697*100)</f>
        <v>8.2933839290962847</v>
      </c>
      <c r="C30" s="141">
        <f>IF(131974.66668="","-",131974.66668/1581380.128*100)</f>
        <v>8.3455371888927647</v>
      </c>
      <c r="D30" s="141">
        <f>IF(137476.83742="","-",137476.83742/1361306.86729*100)</f>
        <v>10.098886645130927</v>
      </c>
      <c r="E30" s="141">
        <f>IF(149954.3786="","-",149954.3786/1572223.23546*100)</f>
        <v>9.5377281812099941</v>
      </c>
      <c r="F30" s="141">
        <f>IF(133773.31003="","-",133773.31003/2629613.24498*100)</f>
        <v>5.0871857405409981</v>
      </c>
      <c r="G30" s="144">
        <f>IF(92230.42254="","-",92230.42254/2346453.7023*100)</f>
        <v>3.9306303998069723</v>
      </c>
    </row>
    <row r="31" spans="1:7" x14ac:dyDescent="0.2">
      <c r="A31" s="147" t="s">
        <v>58</v>
      </c>
      <c r="B31" s="141">
        <f>IF(OR(23914.83151="",23914.83151="***"),"-",23914.83151/1533630.30697*100)</f>
        <v>1.5593609099476284</v>
      </c>
      <c r="C31" s="141">
        <f>IF(29349.42273="","-",29349.42273/1581380.128*100)</f>
        <v>1.8559372418014852</v>
      </c>
      <c r="D31" s="141">
        <f>IF(46614.63328="","-",46614.63328/1361306.86729*100)</f>
        <v>3.4242560880337982</v>
      </c>
      <c r="E31" s="141">
        <f>IF(49898.47956="","-",49898.47956/1572223.23546*100)</f>
        <v>3.1737528383112044</v>
      </c>
      <c r="F31" s="141">
        <f>IF(57486.036="","-",57486.036/2629613.24498*100)</f>
        <v>2.1861023140852498</v>
      </c>
      <c r="G31" s="144">
        <f>IF(90797.72554="","-",90797.72554/2346453.7023*100)</f>
        <v>3.8695724297052965</v>
      </c>
    </row>
    <row r="32" spans="1:7" x14ac:dyDescent="0.2">
      <c r="A32" s="147" t="s">
        <v>35</v>
      </c>
      <c r="B32" s="141">
        <f>IF(OR(54692.91641="",54692.91641="***"),"-",54692.91641/1533630.30697*100)</f>
        <v>3.5662386274862437</v>
      </c>
      <c r="C32" s="141">
        <f>IF(125376.13988="","-",125376.13988/1581380.128*100)</f>
        <v>7.928273389812067</v>
      </c>
      <c r="D32" s="141">
        <f>IF(96790.0014="","-",96790.0014/1361306.86729*100)</f>
        <v>7.1100795658721054</v>
      </c>
      <c r="E32" s="141">
        <f>IF(135272.30965="","-",135272.30965/1572223.23546*100)</f>
        <v>8.6038869416926111</v>
      </c>
      <c r="F32" s="141">
        <f>IF(228158.75029="","-",228158.75029/2629613.24498*100)</f>
        <v>8.6765135795372572</v>
      </c>
      <c r="G32" s="144">
        <f>IF(86574.9526="","-",86574.9526/2346453.7023*100)</f>
        <v>3.6896083871221923</v>
      </c>
    </row>
    <row r="33" spans="1:7" x14ac:dyDescent="0.2">
      <c r="A33" s="147" t="s">
        <v>37</v>
      </c>
      <c r="B33" s="141">
        <f>IF(OR(52935.78027="",52935.78027="***"),"-",52935.78027/1533630.30697*100)</f>
        <v>3.451664982715779</v>
      </c>
      <c r="C33" s="141">
        <f>IF(60858.82551="","-",60858.82551/1581380.128*100)</f>
        <v>3.848462772007212</v>
      </c>
      <c r="D33" s="141">
        <f>IF(54035.21941="","-",54035.21941/1361306.86729*100)</f>
        <v>3.9693636099529672</v>
      </c>
      <c r="E33" s="141">
        <f>IF(60334.40485="","-",60334.40485/1572223.23546*100)</f>
        <v>3.8375215102547058</v>
      </c>
      <c r="F33" s="141">
        <f>IF(72903.90841="","-",72903.90841/2629613.24498*100)</f>
        <v>2.7724194251445704</v>
      </c>
      <c r="G33" s="144">
        <f>IF(66282.42655="","-",66282.42655/2346453.7023*100)</f>
        <v>2.8247915773931442</v>
      </c>
    </row>
    <row r="34" spans="1:7" x14ac:dyDescent="0.2">
      <c r="A34" s="147" t="s">
        <v>39</v>
      </c>
      <c r="B34" s="141">
        <f>IF(OR(55676.73866="",55676.73866="***"),"-",55676.73866/1533630.30697*100)</f>
        <v>3.6303885236853968</v>
      </c>
      <c r="C34" s="141">
        <f>IF(47307.65031="","-",47307.65031/1581380.128*100)</f>
        <v>2.9915419747831811</v>
      </c>
      <c r="D34" s="141">
        <f>IF(37997.43648="","-",37997.43648/1361306.86729*100)</f>
        <v>2.791246954894365</v>
      </c>
      <c r="E34" s="141">
        <f>IF(35091.34527="","-",35091.34527/1572223.23546*100)</f>
        <v>2.231956917983914</v>
      </c>
      <c r="F34" s="141">
        <f>IF(38290.11991="","-",38290.11991/2629613.24498*100)</f>
        <v>1.4561122242252482</v>
      </c>
      <c r="G34" s="144">
        <f>IF(53807.47582="","-",53807.47582/2346453.7023*100)</f>
        <v>2.2931403149892868</v>
      </c>
    </row>
    <row r="35" spans="1:7" x14ac:dyDescent="0.2">
      <c r="A35" s="147" t="s">
        <v>41</v>
      </c>
      <c r="B35" s="141">
        <f>IF(OR(18351.10061="",18351.10061="***"),"-",18351.10061/1533630.30697*100)</f>
        <v>1.1965791577408476</v>
      </c>
      <c r="C35" s="141">
        <f>IF(20106.75285="","-",20106.75285/1581380.128*100)</f>
        <v>1.2714686680317258</v>
      </c>
      <c r="D35" s="141">
        <f>IF(22711.31089="","-",22711.31089/1361306.86729*100)</f>
        <v>1.6683461632138963</v>
      </c>
      <c r="E35" s="141">
        <f>IF(19419.49218="","-",19419.49218/1572223.23546*100)</f>
        <v>1.2351612507697265</v>
      </c>
      <c r="F35" s="141">
        <f>IF(24062.43263="","-",24062.43263/2629613.24498*100)</f>
        <v>0.91505595645807647</v>
      </c>
      <c r="G35" s="144">
        <f>IF(41067.03553="","-",41067.03553/2346453.7023*100)</f>
        <v>1.7501745502051025</v>
      </c>
    </row>
    <row r="36" spans="1:7" x14ac:dyDescent="0.2">
      <c r="A36" s="147" t="s">
        <v>42</v>
      </c>
      <c r="B36" s="141">
        <f>IF(OR(32007.68056="",32007.68056="***"),"-",32007.68056/1533630.30697*100)</f>
        <v>2.0870532105770465</v>
      </c>
      <c r="C36" s="141">
        <f>IF(23236.45476="","-",23236.45476/1581380.128*100)</f>
        <v>1.4693781936786803</v>
      </c>
      <c r="D36" s="141">
        <f>IF(20948.8324="","-",20948.8324/1361306.86729*100)</f>
        <v>1.5388765680513723</v>
      </c>
      <c r="E36" s="141">
        <f>IF(21667.15476="","-",21667.15476/1572223.23546*100)</f>
        <v>1.3781220294496308</v>
      </c>
      <c r="F36" s="141">
        <f>IF(119538.82488="","-",119538.82488/2629613.24498*100)</f>
        <v>4.545870960613799</v>
      </c>
      <c r="G36" s="144">
        <f>IF(34223.16884="","-",34223.16884/2346453.7023*100)</f>
        <v>1.4585060342956846</v>
      </c>
    </row>
    <row r="37" spans="1:7" x14ac:dyDescent="0.2">
      <c r="A37" s="147" t="s">
        <v>59</v>
      </c>
      <c r="B37" s="141">
        <f>IF(OR(12953.4273="",12953.4273="***"),"-",12953.4273/1533630.30697*100)</f>
        <v>0.84462515125905036</v>
      </c>
      <c r="C37" s="141">
        <f>IF(12822.42829="","-",12822.42829/1581380.128*100)</f>
        <v>0.81083782848699104</v>
      </c>
      <c r="D37" s="141">
        <f>IF(15011.90954="","-",15011.90954/1361306.86729*100)</f>
        <v>1.1027572034426538</v>
      </c>
      <c r="E37" s="141">
        <f>IF(13084.25894="","-",13084.25894/1572223.23546*100)</f>
        <v>0.83221381321029864</v>
      </c>
      <c r="F37" s="141">
        <f>IF(23782.92024="","-",23782.92024/2629613.24498*100)</f>
        <v>0.90442654582008253</v>
      </c>
      <c r="G37" s="144">
        <f>IF(30618.64905="","-",30618.64905/2346453.7023*100)</f>
        <v>1.3048903977942339</v>
      </c>
    </row>
    <row r="38" spans="1:7" x14ac:dyDescent="0.2">
      <c r="A38" s="147" t="s">
        <v>40</v>
      </c>
      <c r="B38" s="141">
        <f>IF(OR(4306.02613="",4306.02613="***"),"-",4306.02613/1533630.30697*100)</f>
        <v>0.28077341132540828</v>
      </c>
      <c r="C38" s="141">
        <f>IF(4834.5906="","-",4834.5906/1581380.128*100)</f>
        <v>0.30571970106355101</v>
      </c>
      <c r="D38" s="141">
        <f>IF(11599.2305="","-",11599.2305/1361306.86729*100)</f>
        <v>0.85206581842130735</v>
      </c>
      <c r="E38" s="141">
        <f>IF(22908.64638="","-",22908.64638/1572223.23546*100)</f>
        <v>1.4570861098676868</v>
      </c>
      <c r="F38" s="141">
        <f>IF(31810.62451="","-",31810.62451/2629613.24498*100)</f>
        <v>1.2097073427329024</v>
      </c>
      <c r="G38" s="144">
        <f>IF(28846.48338="","-",28846.48338/2346453.7023*100)</f>
        <v>1.2293651202972642</v>
      </c>
    </row>
    <row r="39" spans="1:7" x14ac:dyDescent="0.2">
      <c r="A39" s="147" t="s">
        <v>93</v>
      </c>
      <c r="B39" s="141">
        <f>IF(OR(33792.3882="",33792.3882="***"),"-",33792.3882/1533630.30697*100)</f>
        <v>2.2034246484580611</v>
      </c>
      <c r="C39" s="141">
        <f>IF(20774.62256="","-",20774.62256/1581380.128*100)</f>
        <v>1.3137020120692955</v>
      </c>
      <c r="D39" s="141">
        <f>IF(20287.57356="","-",20287.57356/1361306.86729*100)</f>
        <v>1.4903012720700635</v>
      </c>
      <c r="E39" s="141">
        <f>IF(20448.1662="","-",20448.1662/1572223.23546*100)</f>
        <v>1.3005892381444986</v>
      </c>
      <c r="F39" s="141">
        <f>IF(26514.38229="","-",26514.38229/2629613.24498*100)</f>
        <v>1.0082996935240058</v>
      </c>
      <c r="G39" s="144">
        <f>IF(26689.88171="","-",26689.88171/2346453.7023*100)</f>
        <v>1.137456140039691</v>
      </c>
    </row>
    <row r="40" spans="1:7" x14ac:dyDescent="0.2">
      <c r="A40" s="147" t="s">
        <v>74</v>
      </c>
      <c r="B40" s="141">
        <f>IF(OR(22590.37999="",22590.37999="***"),"-",22590.37999/1533630.30697*100)</f>
        <v>1.4730003630817594</v>
      </c>
      <c r="C40" s="141">
        <f>IF(22139.29721="","-",22139.29721/1581380.128*100)</f>
        <v>1.3999984455350385</v>
      </c>
      <c r="D40" s="141">
        <f>IF(20499.17493="","-",20499.17493/1361306.86729*100)</f>
        <v>1.5058452596223515</v>
      </c>
      <c r="E40" s="141">
        <f>IF(21533.53654="","-",21533.53654/1572223.23546*100)</f>
        <v>1.369623349555684</v>
      </c>
      <c r="F40" s="141">
        <f>IF(48344.98831="","-",48344.98831/2629613.24498*100)</f>
        <v>1.8384828416228829</v>
      </c>
      <c r="G40" s="144">
        <f>IF(25652.7879="","-",25652.7879/2346453.7023*100)</f>
        <v>1.0932577904629046</v>
      </c>
    </row>
    <row r="41" spans="1:7" x14ac:dyDescent="0.2">
      <c r="A41" s="147" t="s">
        <v>90</v>
      </c>
      <c r="B41" s="141">
        <f>IF(OR(10053.30492="",10053.30492="***"),"-",10053.30492/1533630.30697*100)</f>
        <v>0.65552336011553913</v>
      </c>
      <c r="C41" s="141">
        <f>IF(8433.15779="","-",8433.15779/1581380.128*100)</f>
        <v>0.53327834596388701</v>
      </c>
      <c r="D41" s="141">
        <f>IF(9514.0604="","-",9514.0604/1361306.86729*100)</f>
        <v>0.69889167744668512</v>
      </c>
      <c r="E41" s="141">
        <f>IF(14508.85958="","-",14508.85958/1572223.23546*100)</f>
        <v>0.92282439622863133</v>
      </c>
      <c r="F41" s="141">
        <f>IF(15633.71304="","-",15633.71304/2629613.24498*100)</f>
        <v>0.5945251861597961</v>
      </c>
      <c r="G41" s="144">
        <f>IF(25270.0599="","-",25270.0599/2346453.7023*100)</f>
        <v>1.0769468783991016</v>
      </c>
    </row>
    <row r="42" spans="1:7" x14ac:dyDescent="0.2">
      <c r="A42" s="147" t="s">
        <v>81</v>
      </c>
      <c r="B42" s="141">
        <f>IF(OR(9013.56984="",9013.56984="***"),"-",9013.56984/1533630.30697*100)</f>
        <v>0.58772768111293705</v>
      </c>
      <c r="C42" s="141">
        <f>IF(5153.95664="","-",5153.95664/1581380.128*100)</f>
        <v>0.32591510091367482</v>
      </c>
      <c r="D42" s="141">
        <f>IF(7489.21166="","-",7489.21166/1361306.86729*100)</f>
        <v>0.55014867256998634</v>
      </c>
      <c r="E42" s="141">
        <f>IF(7117.1987="","-",7117.1987/1572223.23546*100)</f>
        <v>0.45268372451687211</v>
      </c>
      <c r="F42" s="141">
        <f>IF(6823.28223="","-",6823.28223/2629613.24498*100)</f>
        <v>0.25947854662756292</v>
      </c>
      <c r="G42" s="144">
        <f>IF(24940.92199="","-",24940.92199/2346453.7023*100)</f>
        <v>1.0629198422092387</v>
      </c>
    </row>
    <row r="43" spans="1:7" ht="12" customHeight="1" x14ac:dyDescent="0.2">
      <c r="A43" s="147" t="s">
        <v>43</v>
      </c>
      <c r="B43" s="141">
        <f>IF(OR(50561.85961="",50561.85961="***"),"-",50561.85961/1533630.30697*100)</f>
        <v>3.2968740497763953</v>
      </c>
      <c r="C43" s="141">
        <f>IF(32407.21088="","-",32407.21088/1581380.128*100)</f>
        <v>2.0492992359140105</v>
      </c>
      <c r="D43" s="141">
        <f>IF(22191.42751="","-",22191.42751/1361306.86729*100)</f>
        <v>1.6301561421031567</v>
      </c>
      <c r="E43" s="141">
        <f>IF(33195.47839="","-",33195.47839/1572223.23546*100)</f>
        <v>2.1113718231169436</v>
      </c>
      <c r="F43" s="141">
        <f>IF(42825.42462="","-",42825.42462/2629613.24498*100)</f>
        <v>1.6285826328930633</v>
      </c>
      <c r="G43" s="144">
        <f>IF(24205.39479="","-",24205.39479/2346453.7023*100)</f>
        <v>1.0315735088347922</v>
      </c>
    </row>
    <row r="44" spans="1:7" x14ac:dyDescent="0.2">
      <c r="A44" s="147" t="s">
        <v>57</v>
      </c>
      <c r="B44" s="141">
        <f>IF(OR(21373.31453="",21373.31453="***"),"-",21373.31453/1533630.30697*100)</f>
        <v>1.3936418987589878</v>
      </c>
      <c r="C44" s="141">
        <f>IF(15695.64628="","-",15695.64628/1581380.128*100)</f>
        <v>0.99252836190945237</v>
      </c>
      <c r="D44" s="141">
        <f>IF(22740.36351="","-",22740.36351/1361306.86729*100)</f>
        <v>1.6704803344796177</v>
      </c>
      <c r="E44" s="141">
        <f>IF(15303.18103="","-",15303.18103/1572223.23546*100)</f>
        <v>0.97334657603648789</v>
      </c>
      <c r="F44" s="141">
        <f>IF(21524.98495="","-",21524.98495/2629613.24498*100)</f>
        <v>0.81856086597874245</v>
      </c>
      <c r="G44" s="144">
        <f>IF(22091.81967="","-",22091.81967/2346453.7023*100)</f>
        <v>0.94149821274315126</v>
      </c>
    </row>
    <row r="45" spans="1:7" x14ac:dyDescent="0.2">
      <c r="A45" s="147" t="s">
        <v>89</v>
      </c>
      <c r="B45" s="141">
        <f>IF(OR(4780.20398="",4780.20398="***"),"-",4780.20398/1533630.30697*100)</f>
        <v>0.31169206543943889</v>
      </c>
      <c r="C45" s="141">
        <f>IF(7736.07946="","-",7736.07946/1581380.128*100)</f>
        <v>0.48919796847225844</v>
      </c>
      <c r="D45" s="141">
        <f>IF(9093.44591="","-",9093.44591/1361306.86729*100)</f>
        <v>0.66799383214033392</v>
      </c>
      <c r="E45" s="141">
        <f>IF(4312.69382="","-",4312.69382/1572223.23546*100)</f>
        <v>0.27430543721344985</v>
      </c>
      <c r="F45" s="141">
        <f>IF(11892.43218="","-",11892.43218/2629613.24498*100)</f>
        <v>0.45225023880233961</v>
      </c>
      <c r="G45" s="144">
        <f>IF(21887.69194="","-",21887.69194/2346453.7023*100)</f>
        <v>0.93279879839715685</v>
      </c>
    </row>
    <row r="46" spans="1:7" x14ac:dyDescent="0.2">
      <c r="A46" s="148" t="s">
        <v>94</v>
      </c>
      <c r="B46" s="145">
        <f>IF(OR(30133.14568="",30133.14568="***"),"-",30133.14568/1533630.30697*100)</f>
        <v>1.9648246088416306</v>
      </c>
      <c r="C46" s="145">
        <f>IF(44058.70382="","-",44058.70382/1581380.128*100)</f>
        <v>2.7860919104707507</v>
      </c>
      <c r="D46" s="145">
        <f>IF(41446.01293="","-",41446.01293/1361306.86729*100)</f>
        <v>3.0445753213974447</v>
      </c>
      <c r="E46" s="145">
        <f>IF(27163.47238="","-",27163.47238/1572223.23546*100)</f>
        <v>1.7277109107252526</v>
      </c>
      <c r="F46" s="145">
        <f>IF(56304.08484="","-",56304.08484/2629613.24498*100)</f>
        <v>2.1411545955469293</v>
      </c>
      <c r="G46" s="124">
        <f>IF(18445.7136="","-",18445.7136/2346453.7023*100)</f>
        <v>0.78611027278822765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zoomScaleNormal="100"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61" t="s">
        <v>82</v>
      </c>
      <c r="B2" s="161"/>
      <c r="C2" s="161"/>
      <c r="D2" s="161"/>
      <c r="E2" s="161"/>
      <c r="F2" s="161"/>
      <c r="G2" s="161"/>
    </row>
    <row r="3" spans="1:8" ht="15" customHeight="1" x14ac:dyDescent="0.2">
      <c r="A3" s="107"/>
      <c r="B3" s="107"/>
      <c r="C3" s="107"/>
      <c r="D3" s="107"/>
      <c r="E3" s="107"/>
      <c r="F3" s="107"/>
      <c r="G3" s="107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ht="15" customHeight="1" x14ac:dyDescent="0.2">
      <c r="A5" s="48"/>
      <c r="B5" s="48"/>
      <c r="C5" s="48"/>
      <c r="D5" s="48"/>
      <c r="E5" s="48"/>
      <c r="F5" s="48"/>
      <c r="G5" s="48"/>
    </row>
    <row r="6" spans="1:8" x14ac:dyDescent="0.2">
      <c r="A6" s="160"/>
      <c r="B6" s="160"/>
      <c r="C6" s="160"/>
      <c r="D6" s="160"/>
      <c r="E6" s="160"/>
      <c r="F6" s="160"/>
      <c r="G6" s="160"/>
      <c r="H6" s="160"/>
    </row>
    <row r="30" spans="1:6" x14ac:dyDescent="0.2">
      <c r="A30" s="96" t="s">
        <v>108</v>
      </c>
      <c r="B30" s="37" t="s">
        <v>44</v>
      </c>
    </row>
    <row r="31" spans="1:6" ht="15" x14ac:dyDescent="0.2">
      <c r="A31" s="125" t="s">
        <v>65</v>
      </c>
      <c r="B31" s="115">
        <v>12.1</v>
      </c>
      <c r="C31" s="102"/>
      <c r="D31" s="104"/>
      <c r="E31" s="105"/>
      <c r="F31" s="105"/>
    </row>
    <row r="32" spans="1:6" ht="15" x14ac:dyDescent="0.2">
      <c r="A32" s="126" t="s">
        <v>79</v>
      </c>
      <c r="B32" s="117">
        <v>9.9</v>
      </c>
      <c r="C32" s="102"/>
      <c r="D32" s="104"/>
      <c r="E32" s="105"/>
      <c r="F32" s="105"/>
    </row>
    <row r="33" spans="1:6" ht="15" x14ac:dyDescent="0.2">
      <c r="A33" s="126" t="s">
        <v>60</v>
      </c>
      <c r="B33" s="117">
        <v>13.7</v>
      </c>
      <c r="C33" s="102"/>
      <c r="D33" s="104"/>
      <c r="E33" s="105"/>
      <c r="F33" s="105"/>
    </row>
    <row r="34" spans="1:6" ht="15" x14ac:dyDescent="0.2">
      <c r="A34" s="126" t="s">
        <v>61</v>
      </c>
      <c r="B34" s="117">
        <v>8.1999999999999993</v>
      </c>
      <c r="C34" s="102"/>
      <c r="D34" s="104"/>
      <c r="E34" s="105"/>
      <c r="F34" s="105"/>
    </row>
    <row r="35" spans="1:6" ht="15" x14ac:dyDescent="0.2">
      <c r="A35" s="126" t="s">
        <v>67</v>
      </c>
      <c r="B35" s="117">
        <v>6.7</v>
      </c>
      <c r="C35" s="102"/>
      <c r="D35" s="104"/>
      <c r="E35" s="105"/>
      <c r="F35" s="105"/>
    </row>
    <row r="36" spans="1:6" ht="15" x14ac:dyDescent="0.2">
      <c r="A36" s="126" t="s">
        <v>63</v>
      </c>
      <c r="B36" s="117">
        <v>9.8000000000000007</v>
      </c>
      <c r="C36" s="102"/>
      <c r="D36" s="104"/>
      <c r="E36" s="105"/>
      <c r="F36" s="105"/>
    </row>
    <row r="37" spans="1:6" ht="15" x14ac:dyDescent="0.2">
      <c r="A37" s="126" t="s">
        <v>62</v>
      </c>
      <c r="B37" s="117">
        <v>10.5</v>
      </c>
      <c r="C37" s="102"/>
      <c r="D37" s="104"/>
      <c r="E37" s="105"/>
      <c r="F37" s="105"/>
    </row>
    <row r="38" spans="1:6" ht="15" x14ac:dyDescent="0.2">
      <c r="A38" s="126" t="s">
        <v>69</v>
      </c>
      <c r="B38" s="117">
        <v>3.4</v>
      </c>
      <c r="C38" s="102"/>
      <c r="D38" s="104"/>
      <c r="E38" s="105"/>
      <c r="F38" s="105"/>
    </row>
    <row r="39" spans="1:6" ht="15" x14ac:dyDescent="0.2">
      <c r="A39" s="126" t="s">
        <v>66</v>
      </c>
      <c r="B39" s="117">
        <v>3.3</v>
      </c>
      <c r="C39" s="102"/>
      <c r="D39" s="104"/>
      <c r="E39" s="105"/>
      <c r="F39" s="105"/>
    </row>
    <row r="40" spans="1:6" ht="15" x14ac:dyDescent="0.2">
      <c r="A40" s="126" t="s">
        <v>76</v>
      </c>
      <c r="B40" s="117">
        <v>2</v>
      </c>
      <c r="C40" s="102"/>
      <c r="D40" s="104"/>
      <c r="E40" s="105"/>
      <c r="F40" s="105"/>
    </row>
    <row r="41" spans="1:6" ht="15" x14ac:dyDescent="0.2">
      <c r="A41" s="126" t="s">
        <v>78</v>
      </c>
      <c r="B41" s="117">
        <v>2</v>
      </c>
      <c r="C41" s="102"/>
      <c r="D41" s="104"/>
      <c r="E41" s="105"/>
      <c r="F41" s="105"/>
    </row>
    <row r="42" spans="1:6" ht="15" x14ac:dyDescent="0.2">
      <c r="A42" s="126" t="s">
        <v>72</v>
      </c>
      <c r="B42" s="117">
        <v>2</v>
      </c>
      <c r="C42" s="102"/>
      <c r="D42" s="104"/>
      <c r="E42" s="105"/>
      <c r="F42" s="105"/>
    </row>
    <row r="43" spans="1:6" ht="15" x14ac:dyDescent="0.2">
      <c r="A43" s="127" t="s">
        <v>68</v>
      </c>
      <c r="B43" s="124">
        <v>16.399999999999999</v>
      </c>
      <c r="C43" s="103"/>
      <c r="D43" s="104"/>
      <c r="E43" s="106"/>
      <c r="F43" s="106"/>
    </row>
    <row r="44" spans="1:6" x14ac:dyDescent="0.2">
      <c r="A44" s="59"/>
      <c r="B44" s="80"/>
    </row>
    <row r="45" spans="1:6" x14ac:dyDescent="0.2">
      <c r="A45" s="96" t="s">
        <v>109</v>
      </c>
      <c r="B45" s="27" t="s">
        <v>44</v>
      </c>
    </row>
    <row r="46" spans="1:6" ht="15" x14ac:dyDescent="0.2">
      <c r="A46" s="125" t="s">
        <v>65</v>
      </c>
      <c r="B46" s="128">
        <v>15.6</v>
      </c>
      <c r="D46" s="105"/>
    </row>
    <row r="47" spans="1:6" ht="15" x14ac:dyDescent="0.2">
      <c r="A47" s="126" t="s">
        <v>79</v>
      </c>
      <c r="B47" s="129">
        <v>12.2</v>
      </c>
      <c r="D47" s="105"/>
    </row>
    <row r="48" spans="1:6" ht="15" x14ac:dyDescent="0.2">
      <c r="A48" s="126" t="s">
        <v>60</v>
      </c>
      <c r="B48" s="129">
        <v>9</v>
      </c>
      <c r="D48" s="105"/>
    </row>
    <row r="49" spans="1:4" ht="15" x14ac:dyDescent="0.2">
      <c r="A49" s="126" t="s">
        <v>61</v>
      </c>
      <c r="B49" s="129">
        <v>7.8</v>
      </c>
      <c r="D49" s="105"/>
    </row>
    <row r="50" spans="1:4" ht="15" x14ac:dyDescent="0.2">
      <c r="A50" s="126" t="s">
        <v>67</v>
      </c>
      <c r="B50" s="129">
        <v>7.4</v>
      </c>
      <c r="D50" s="105"/>
    </row>
    <row r="51" spans="1:4" ht="15" x14ac:dyDescent="0.2">
      <c r="A51" s="126" t="s">
        <v>63</v>
      </c>
      <c r="B51" s="129">
        <v>6.7</v>
      </c>
      <c r="D51" s="105"/>
    </row>
    <row r="52" spans="1:4" ht="15" x14ac:dyDescent="0.2">
      <c r="A52" s="126" t="s">
        <v>62</v>
      </c>
      <c r="B52" s="129">
        <v>6</v>
      </c>
      <c r="D52" s="105"/>
    </row>
    <row r="53" spans="1:4" ht="15" x14ac:dyDescent="0.2">
      <c r="A53" s="126" t="s">
        <v>69</v>
      </c>
      <c r="B53" s="129">
        <v>5</v>
      </c>
      <c r="D53" s="105"/>
    </row>
    <row r="54" spans="1:4" ht="15" x14ac:dyDescent="0.2">
      <c r="A54" s="126" t="s">
        <v>66</v>
      </c>
      <c r="B54" s="129">
        <v>3.6</v>
      </c>
      <c r="D54" s="105"/>
    </row>
    <row r="55" spans="1:4" ht="15" x14ac:dyDescent="0.2">
      <c r="A55" s="126" t="s">
        <v>76</v>
      </c>
      <c r="B55" s="129">
        <v>2.9</v>
      </c>
      <c r="D55" s="105"/>
    </row>
    <row r="56" spans="1:4" ht="15" x14ac:dyDescent="0.2">
      <c r="A56" s="126" t="s">
        <v>78</v>
      </c>
      <c r="B56" s="129">
        <v>2.1</v>
      </c>
      <c r="D56" s="105"/>
    </row>
    <row r="57" spans="1:4" ht="15" x14ac:dyDescent="0.2">
      <c r="A57" s="126" t="s">
        <v>72</v>
      </c>
      <c r="B57" s="129">
        <v>1.9</v>
      </c>
      <c r="D57" s="105"/>
    </row>
    <row r="58" spans="1:4" ht="15" x14ac:dyDescent="0.2">
      <c r="A58" s="127" t="s">
        <v>68</v>
      </c>
      <c r="B58" s="130">
        <v>19.8</v>
      </c>
      <c r="D58" s="106"/>
    </row>
  </sheetData>
  <mergeCells count="2">
    <mergeCell ref="A6:H6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workbookViewId="0">
      <selection activeCell="A2" sqref="A2:M2"/>
    </sheetView>
  </sheetViews>
  <sheetFormatPr defaultRowHeight="12" x14ac:dyDescent="0.2"/>
  <cols>
    <col min="1" max="1" width="8.5703125" style="3" customWidth="1"/>
    <col min="2" max="2" width="9.7109375" style="3" customWidth="1"/>
    <col min="3" max="3" width="10" style="3" customWidth="1"/>
    <col min="4" max="4" width="9.5703125" style="3" customWidth="1"/>
    <col min="5" max="5" width="9.28515625" style="3" bestFit="1" customWidth="1"/>
    <col min="6" max="6" width="10.28515625" style="3" customWidth="1"/>
    <col min="7" max="7" width="9.28515625" style="3" bestFit="1" customWidth="1"/>
    <col min="8" max="8" width="10" style="3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59" t="s">
        <v>86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x14ac:dyDescent="0.2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x14ac:dyDescent="0.2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x14ac:dyDescent="0.2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x14ac:dyDescent="0.2">
      <c r="A27" s="28">
        <v>2022</v>
      </c>
      <c r="B27" s="33">
        <v>621.70000000000005</v>
      </c>
      <c r="C27" s="33">
        <v>669.1</v>
      </c>
      <c r="D27" s="15">
        <v>748.3</v>
      </c>
      <c r="E27" s="15">
        <v>770.4</v>
      </c>
      <c r="F27" s="15">
        <v>772.7</v>
      </c>
      <c r="G27" s="33">
        <v>768.4</v>
      </c>
      <c r="H27" s="33">
        <v>761</v>
      </c>
      <c r="I27" s="33">
        <v>780</v>
      </c>
      <c r="J27" s="33">
        <v>844.1</v>
      </c>
      <c r="K27" s="33">
        <v>751.2</v>
      </c>
      <c r="L27" s="33">
        <v>858.3</v>
      </c>
      <c r="M27" s="34">
        <v>873.8</v>
      </c>
    </row>
    <row r="28" spans="1:13" x14ac:dyDescent="0.2">
      <c r="A28" s="29">
        <v>2023</v>
      </c>
      <c r="B28" s="10">
        <v>733.3</v>
      </c>
      <c r="C28" s="10">
        <v>752.5</v>
      </c>
      <c r="D28" s="10">
        <v>821.1</v>
      </c>
      <c r="E28" s="10">
        <v>690.4</v>
      </c>
      <c r="F28" s="10">
        <v>709.2</v>
      </c>
      <c r="G28" s="35">
        <v>665.2</v>
      </c>
      <c r="H28" s="35">
        <v>639.1</v>
      </c>
      <c r="I28" s="35"/>
      <c r="J28" s="35"/>
      <c r="K28" s="35"/>
      <c r="L28" s="35"/>
      <c r="M28" s="36"/>
    </row>
    <row r="29" spans="1:13" x14ac:dyDescent="0.2">
      <c r="E29" s="108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F32"/>
  <sheetViews>
    <sheetView workbookViewId="0">
      <selection activeCell="A2" sqref="A2:T2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0.140625" style="3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32" width="6.140625" style="3" customWidth="1"/>
    <col min="33" max="16384" width="9.140625" style="3"/>
  </cols>
  <sheetData>
    <row r="2" spans="1:20" ht="12.75" x14ac:dyDescent="0.2">
      <c r="A2" s="155" t="s">
        <v>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2" x14ac:dyDescent="0.2">
      <c r="A17" s="4"/>
    </row>
    <row r="18" spans="1:32" x14ac:dyDescent="0.2">
      <c r="A18" s="4"/>
    </row>
    <row r="19" spans="1:32" x14ac:dyDescent="0.2">
      <c r="A19" s="4"/>
    </row>
    <row r="20" spans="1:32" x14ac:dyDescent="0.2">
      <c r="A20" s="4"/>
    </row>
    <row r="21" spans="1:32" ht="15" customHeight="1" x14ac:dyDescent="0.2">
      <c r="A21" s="4"/>
    </row>
    <row r="22" spans="1:32" x14ac:dyDescent="0.2">
      <c r="A22" s="4"/>
    </row>
    <row r="23" spans="1:32" x14ac:dyDescent="0.2">
      <c r="A23" s="162"/>
      <c r="B23" s="152">
        <v>2021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  <c r="N23" s="152">
        <v>2022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4"/>
      <c r="Z23" s="156">
        <v>2023</v>
      </c>
      <c r="AA23" s="157"/>
      <c r="AB23" s="157"/>
      <c r="AC23" s="157"/>
      <c r="AD23" s="157"/>
      <c r="AE23" s="157"/>
      <c r="AF23" s="158"/>
    </row>
    <row r="24" spans="1:32" x14ac:dyDescent="0.2">
      <c r="A24" s="163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91" t="s">
        <v>20</v>
      </c>
      <c r="Y24" s="91" t="s">
        <v>21</v>
      </c>
      <c r="Z24" s="91" t="s">
        <v>13</v>
      </c>
      <c r="AA24" s="91" t="s">
        <v>14</v>
      </c>
      <c r="AB24" s="91" t="s">
        <v>15</v>
      </c>
      <c r="AC24" s="91" t="s">
        <v>16</v>
      </c>
      <c r="AD24" s="91" t="s">
        <v>17</v>
      </c>
      <c r="AE24" s="131" t="s">
        <v>22</v>
      </c>
      <c r="AF24" s="131" t="s">
        <v>18</v>
      </c>
    </row>
    <row r="25" spans="1:32" ht="27.75" customHeight="1" x14ac:dyDescent="0.2">
      <c r="A25" s="16" t="s">
        <v>55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92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88">
        <v>88.988673647198652</v>
      </c>
      <c r="X25" s="88">
        <v>114.26056736134905</v>
      </c>
      <c r="Y25" s="82">
        <v>101.80484196839581</v>
      </c>
      <c r="Z25" s="98">
        <v>83.923113131090105</v>
      </c>
      <c r="AA25" s="79">
        <v>102.61098940878497</v>
      </c>
      <c r="AB25" s="79">
        <v>109.12064094346417</v>
      </c>
      <c r="AC25" s="79">
        <v>84.078157654874644</v>
      </c>
      <c r="AD25" s="79">
        <v>102.7218186786998</v>
      </c>
      <c r="AE25" s="79">
        <v>93.799562886459725</v>
      </c>
      <c r="AF25" s="77">
        <v>96.084801852064871</v>
      </c>
    </row>
    <row r="26" spans="1:32" ht="42" customHeight="1" x14ac:dyDescent="0.2">
      <c r="A26" s="18" t="s">
        <v>56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99">
        <f>IF(621670.20413="","-",733326.83984/621670.20413*100)</f>
        <v>117.96075072735046</v>
      </c>
      <c r="AA26" s="78">
        <f>IF(669093.24933="","-",752473.92596/669093.24933*100)</f>
        <v>112.46174232268726</v>
      </c>
      <c r="AB26" s="78">
        <f>IF(748290.45998="","-",821104.37094/748290.45998*100)</f>
        <v>109.73070149283291</v>
      </c>
      <c r="AC26" s="78">
        <f>IF(770435.79939="","-",690369.42751/770435.79939*100)</f>
        <v>89.607651676701252</v>
      </c>
      <c r="AD26" s="78">
        <f>IF(772669.2169="","-",709160.03154/772669.2169*100)</f>
        <v>91.780546711204167</v>
      </c>
      <c r="AE26" s="78">
        <f>IF(768415.61486="","-",665189.00975/768415.61486*100)</f>
        <v>86.566305640625586</v>
      </c>
      <c r="AF26" s="112">
        <f>IF(761060.1229="","-",639145.54196/761060.1229*100)</f>
        <v>83.980952716922332</v>
      </c>
    </row>
    <row r="27" spans="1:32" x14ac:dyDescent="0.2">
      <c r="A27" s="7"/>
      <c r="B27" s="8"/>
      <c r="C27" s="8"/>
      <c r="D27" s="8"/>
      <c r="E27" s="8"/>
      <c r="F27" s="8"/>
      <c r="G27" s="8"/>
      <c r="H27" s="8"/>
    </row>
    <row r="28" spans="1:32" x14ac:dyDescent="0.2">
      <c r="A28" s="7"/>
      <c r="B28" s="8"/>
      <c r="C28" s="8"/>
      <c r="D28" s="8"/>
      <c r="E28" s="8"/>
      <c r="F28" s="8"/>
      <c r="G28" s="8"/>
      <c r="H28" s="8"/>
      <c r="N28" s="58"/>
      <c r="O28" s="15"/>
      <c r="P28" s="15"/>
      <c r="Q28" s="15"/>
      <c r="R28" s="15"/>
      <c r="S28" s="15"/>
      <c r="T28" s="15"/>
      <c r="U28" s="15"/>
      <c r="V28" s="15"/>
      <c r="W28" s="88"/>
      <c r="X28" s="88"/>
      <c r="Y28" s="88"/>
    </row>
    <row r="29" spans="1:32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2" ht="15.75" x14ac:dyDescent="0.25">
      <c r="N30" s="62"/>
      <c r="O30" s="62"/>
      <c r="P30" s="62"/>
      <c r="Q30" s="15"/>
      <c r="R30" s="15"/>
      <c r="S30" s="15"/>
      <c r="T30" s="15"/>
      <c r="U30" s="15"/>
      <c r="V30" s="67"/>
      <c r="W30" s="76"/>
    </row>
    <row r="31" spans="1:32" ht="15.75" x14ac:dyDescent="0.25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2" ht="15.75" x14ac:dyDescent="0.2">
      <c r="L32" s="45"/>
    </row>
  </sheetData>
  <mergeCells count="5">
    <mergeCell ref="A23:A24"/>
    <mergeCell ref="B23:M23"/>
    <mergeCell ref="N23:Y23"/>
    <mergeCell ref="A2:T2"/>
    <mergeCell ref="Z23:AF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2023-02-01T07:21:59Z</cp:lastPrinted>
  <dcterms:created xsi:type="dcterms:W3CDTF">2017-02-13T11:50:10Z</dcterms:created>
  <dcterms:modified xsi:type="dcterms:W3CDTF">2023-09-15T05:53:53Z</dcterms:modified>
</cp:coreProperties>
</file>