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95169464-773D-4A57-81B1-C2BEFCBF5178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5" l="1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H26" i="8"/>
  <c r="AG26" i="8"/>
  <c r="AF26" i="8"/>
  <c r="AE26" i="8"/>
  <c r="AD26" i="8"/>
  <c r="AC26" i="8"/>
  <c r="AB26" i="8"/>
  <c r="AA26" i="8"/>
  <c r="Z26" i="8"/>
  <c r="AH26" i="2" l="1"/>
  <c r="AG26" i="2"/>
  <c r="AF26" i="2"/>
  <c r="AE26" i="2"/>
  <c r="AD26" i="2"/>
  <c r="AC26" i="2"/>
  <c r="AB26" i="2"/>
  <c r="AA26" i="2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<sst xmlns="http://schemas.openxmlformats.org/spreadsheetml/2006/main" count="296" uniqueCount="116">
  <si>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</si>
  <si>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</si>
  <si>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</si>
  <si>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</si>
  <si>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</si>
  <si>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</si>
  <si>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</si>
  <si>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</si>
  <si>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</si>
  <si>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</si>
  <si>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</si>
  <si>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</si>
  <si>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</si>
  <si>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</si>
  <si>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</si>
  <si>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</si>
  <si>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</si>
  <si>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</si>
  <si>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</si>
  <si>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</si>
  <si>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</si>
  <si>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</si>
  <si>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</si>
  <si>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</si>
  <si>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</si>
  <si>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</si>
  <si>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</si>
  <si>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</si>
  <si>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</si>
  <si>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</si>
  <si>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</si>
  <si>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</si>
  <si>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</si>
  <si>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</si>
  <si>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</si>
  <si>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</si>
  <si>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</si>
  <si>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</si>
  <si>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</si>
  <si>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</si>
  <si>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</si>
  <si>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</si>
  <si>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</si>
  <si>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</si>
  <si>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</si>
  <si>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</si>
  <si>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</si>
  <si>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</si>
  <si>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</si>
  <si>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</si>
  <si>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</si>
  <si>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</si>
  <si>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</si>
  <si>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</si>
  <si>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</si>
  <si>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</si>
  <si>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</si>
  <si>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</si>
  <si>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</si>
  <si>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</si>
  <si>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</si>
  <si>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</si>
  <si>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</si>
  <si>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</si>
  <si>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</si>
  <si>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</si>
  <si>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</si>
  <si>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</si>
  <si>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</si>
  <si>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</si>
  <si>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</si>
  <si>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</si>
  <si>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</si>
  <si>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</si>
  <si>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</si>
  <si>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</si>
  <si>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</si>
  <si>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</si>
  <si>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</si>
  <si>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</si>
  <si>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</si>
  <si>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</si>
  <si>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</si>
  <si>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</si>
  <si>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</si>
  <si>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</si>
  <si>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</si>
  <si>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</si>
  <si>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</si>
  <si>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</si>
  <si>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Liban</t>
  </si>
  <si>
    <t>Articole prelucrate din metal</t>
  </si>
  <si>
    <t>Federația Rusă</t>
  </si>
  <si>
    <t>Franța</t>
  </si>
  <si>
    <t>China</t>
  </si>
  <si>
    <t>India</t>
  </si>
  <si>
    <t>Austria</t>
  </si>
  <si>
    <t>Japonia</t>
  </si>
  <si>
    <t>Slovacia</t>
  </si>
  <si>
    <t>Ianuarie-septembrie 2023</t>
  </si>
  <si>
    <t>Ianuarie-septembrie 2022</t>
  </si>
  <si>
    <t>Ianuarie-septembrie 2021</t>
  </si>
  <si>
    <t>Ianuarie-septembrie 2020</t>
  </si>
  <si>
    <t>Ianuarie-septembrie 2019</t>
  </si>
  <si>
    <t>Ianuarie-septembrie 2018</t>
  </si>
  <si>
    <t xml:space="preserve">   Ianuarie-septembrie 2022</t>
  </si>
  <si>
    <t xml:space="preserve">   Ianuarie-septembrie 2023</t>
  </si>
  <si>
    <t xml:space="preserve">          </t>
  </si>
  <si>
    <t>Elveția</t>
  </si>
  <si>
    <r>
      <rPr>
        <b/>
        <sz val="10"/>
        <color rgb="FF000000"/>
        <rFont val="Arial"/>
        <family val="2"/>
        <charset val="204"/>
      </rPr>
      <t>Figura 3.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ianuarie-septembrie 2018-2023, după modul de transport (%)</t>
    </r>
  </si>
  <si>
    <r>
      <rPr>
        <b/>
        <sz val="10"/>
        <color rgb="FF000000"/>
        <rFont val="Arial"/>
        <family val="2"/>
        <charset val="204"/>
      </rPr>
      <t>Figura 4.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ianuarie-septembrie 2018-2023, pe grupe de ţări (%)</t>
    </r>
  </si>
  <si>
    <r>
      <rPr>
        <b/>
        <sz val="10"/>
        <color rgb="FF000000"/>
        <rFont val="Arial"/>
        <family val="2"/>
        <charset val="204"/>
      </rPr>
      <t>Figura 5.</t>
    </r>
    <r>
      <rPr>
        <b/>
        <i/>
        <sz val="10"/>
        <color indexed="8"/>
        <rFont val="Arial"/>
        <family val="2"/>
        <charset val="204"/>
      </rPr>
      <t xml:space="preserve"> Structura exporturilor, în ianuarie-septembrie 2018-2023, pe principalele ţări de destinaţie a mărfurilor (%)</t>
    </r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</si>
  <si>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ianuarie-septembrie 2018-2023, după modul de transport (%)</t>
    </r>
  </si>
  <si>
    <r>
      <t xml:space="preserve">    </t>
    </r>
    <r>
      <rPr>
        <b/>
        <sz val="10"/>
        <color theme="1"/>
        <rFont val="Arial"/>
        <family val="2"/>
        <charset val="204"/>
      </rPr>
      <t>Figura 10.</t>
    </r>
    <r>
      <rPr>
        <b/>
        <i/>
        <sz val="10"/>
        <color theme="1"/>
        <rFont val="Arial"/>
        <family val="2"/>
        <charset val="204"/>
      </rPr>
      <t xml:space="preserve"> Structura importurilor de mărfuri, în ianuarie-septembrie 2018-2023, pe grupe de ţări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</si>
  <si>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ianuarie-septembrie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</si>
  <si>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 xml:space="preserve">Figura 14. </t>
    </r>
    <r>
      <rPr>
        <b/>
        <i/>
        <sz val="10"/>
        <color indexed="8"/>
        <rFont val="Arial"/>
        <family val="2"/>
        <charset val="204"/>
      </rPr>
      <t>Tendinţele comerţului internaţional cu mărfuri, în ianuarie-septembrie 2018-2023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</si>
</sst>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33" fillId="0" borderId="0" xfId="0" applyFont="1"/>
    <xf numFmtId="38" fontId="4" fillId="0" borderId="0" xfId="0" applyNumberFormat="1" applyFont="1" applyAlignment="1">
      <alignment horizontal="left" wrapText="1" indent="1"/>
    </xf>
    <xf numFmtId="0" fontId="17" fillId="0" borderId="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top"/>
    </xf>
    <xf numFmtId="38" fontId="4" fillId="0" borderId="4" xfId="0" applyNumberFormat="1" applyFont="1" applyBorder="1" applyAlignment="1">
      <alignment horizontal="left" vertical="top" wrapText="1" indent="1"/>
    </xf>
    <xf numFmtId="38" fontId="4" fillId="0" borderId="5" xfId="0" applyNumberFormat="1" applyFont="1" applyBorder="1" applyAlignment="1">
      <alignment horizontal="left" vertical="top" wrapText="1" indent="1"/>
    </xf>
    <xf numFmtId="38" fontId="4" fillId="0" borderId="6" xfId="0" applyNumberFormat="1" applyFont="1" applyBorder="1" applyAlignment="1">
      <alignment horizontal="left" vertical="top" wrapText="1" inden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0" fontId="2" fillId="0" borderId="11" xfId="0" applyFont="1" applyBorder="1"/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38" fontId="6" fillId="0" borderId="10" xfId="0" applyNumberFormat="1" applyFont="1" applyBorder="1" applyAlignment="1">
      <alignment horizontal="left" vertical="top" wrapText="1" indent="1"/>
    </xf>
    <xf numFmtId="38" fontId="6" fillId="0" borderId="11" xfId="0" applyNumberFormat="1" applyFont="1" applyBorder="1" applyAlignment="1">
      <alignment horizontal="left" vertical="top" wrapText="1" indent="1"/>
    </xf>
    <xf numFmtId="38" fontId="6" fillId="0" borderId="9" xfId="0" applyNumberFormat="1" applyFont="1" applyBorder="1" applyAlignment="1">
      <alignment horizontal="left" vertical="top" wrapText="1" indent="1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  <c:pt idx="5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  <c:pt idx="5">
                  <c:v>322.3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  <c:pt idx="5">
                  <c:v>346.2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61216"/>
        <c:axId val="93828160"/>
      </c:barChart>
      <c:catAx>
        <c:axId val="939612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828160"/>
        <c:crosses val="autoZero"/>
        <c:auto val="0"/>
        <c:lblAlgn val="ctr"/>
        <c:lblOffset val="100"/>
        <c:tickLblSkip val="1"/>
        <c:noMultiLvlLbl val="0"/>
      </c:catAx>
      <c:valAx>
        <c:axId val="938281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6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Ianuarie-septembrie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0.0</c:formatCode>
                <c:ptCount val="7"/>
                <c:pt idx="0">
                  <c:v>8.1</c:v>
                </c:pt>
                <c:pt idx="1">
                  <c:v>3.9</c:v>
                </c:pt>
                <c:pt idx="2">
                  <c:v>78.900000000000006</c:v>
                </c:pt>
                <c:pt idx="3">
                  <c:v>1.9</c:v>
                </c:pt>
                <c:pt idx="4">
                  <c:v>0.1</c:v>
                </c:pt>
                <c:pt idx="5">
                  <c:v>6.4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Ianuarie-septembrie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0.0</c:formatCode>
                <c:ptCount val="7"/>
                <c:pt idx="0">
                  <c:v>7.5</c:v>
                </c:pt>
                <c:pt idx="1">
                  <c:v>4.8</c:v>
                </c:pt>
                <c:pt idx="2">
                  <c:v>76.2</c:v>
                </c:pt>
                <c:pt idx="3">
                  <c:v>1.7</c:v>
                </c:pt>
                <c:pt idx="4">
                  <c:v>0.1</c:v>
                </c:pt>
                <c:pt idx="5">
                  <c:v>9.1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Ianuarie-septembrie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0.0</c:formatCode>
                <c:ptCount val="7"/>
                <c:pt idx="0">
                  <c:v>3.2</c:v>
                </c:pt>
                <c:pt idx="1">
                  <c:v>4.8</c:v>
                </c:pt>
                <c:pt idx="2">
                  <c:v>85.5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Ianuarie-septembrie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0.0</c:formatCode>
                <c:ptCount val="7"/>
                <c:pt idx="0">
                  <c:v>1.6</c:v>
                </c:pt>
                <c:pt idx="1">
                  <c:v>5.0999999999999996</c:v>
                </c:pt>
                <c:pt idx="2">
                  <c:v>87</c:v>
                </c:pt>
                <c:pt idx="3">
                  <c:v>2.2999999999999998</c:v>
                </c:pt>
                <c:pt idx="4">
                  <c:v>0.3</c:v>
                </c:pt>
                <c:pt idx="5">
                  <c:v>3.2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Ianuarie-septembrie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0.0</c:formatCode>
                <c:ptCount val="7"/>
                <c:pt idx="0">
                  <c:v>2.2000000000000002</c:v>
                </c:pt>
                <c:pt idx="1">
                  <c:v>4.9000000000000004</c:v>
                </c:pt>
                <c:pt idx="2">
                  <c:v>84.8</c:v>
                </c:pt>
                <c:pt idx="3">
                  <c:v>2.6</c:v>
                </c:pt>
                <c:pt idx="4">
                  <c:v>0.2</c:v>
                </c:pt>
                <c:pt idx="5">
                  <c:v>4.5999999999999996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Ianuarie-septembrie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0.0</c:formatCode>
                <c:ptCount val="7"/>
                <c:pt idx="0">
                  <c:v>3</c:v>
                </c:pt>
                <c:pt idx="1">
                  <c:v>5.8</c:v>
                </c:pt>
                <c:pt idx="2">
                  <c:v>83.3</c:v>
                </c:pt>
                <c:pt idx="3">
                  <c:v>2.6</c:v>
                </c:pt>
                <c:pt idx="4">
                  <c:v>0.3</c:v>
                </c:pt>
                <c:pt idx="5">
                  <c:v>4.4000000000000004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82464"/>
        <c:axId val="128386752"/>
      </c:barChart>
      <c:catAx>
        <c:axId val="128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6752"/>
        <c:crossesAt val="0"/>
        <c:auto val="1"/>
        <c:lblAlgn val="ctr"/>
        <c:lblOffset val="100"/>
        <c:noMultiLvlLbl val="0"/>
      </c:catAx>
      <c:valAx>
        <c:axId val="128386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24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026759118227319"/>
          <c:y val="0.91909764444001463"/>
          <c:w val="0.79917419617867314"/>
          <c:h val="6.8948164425183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10'!$B$23:$G$23</c:f>
              <c:numCache>
                <c:formatCode>0.0</c:formatCode>
                <c:ptCount val="6"/>
                <c:pt idx="0" formatCode="General">
                  <c:v>49.4</c:v>
                </c:pt>
                <c:pt idx="1">
                  <c:v>49</c:v>
                </c:pt>
                <c:pt idx="2">
                  <c:v>45.7</c:v>
                </c:pt>
                <c:pt idx="3" formatCode="General">
                  <c:v>45.8</c:v>
                </c:pt>
                <c:pt idx="4" formatCode="General">
                  <c:v>45.7</c:v>
                </c:pt>
                <c:pt idx="5" formatCode="General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10'!$B$24:$G$24</c:f>
              <c:numCache>
                <c:formatCode>0.0</c:formatCode>
                <c:ptCount val="6"/>
                <c:pt idx="0" formatCode="General">
                  <c:v>24.3</c:v>
                </c:pt>
                <c:pt idx="1">
                  <c:v>24.1</c:v>
                </c:pt>
                <c:pt idx="2">
                  <c:v>25</c:v>
                </c:pt>
                <c:pt idx="3" formatCode="General">
                  <c:v>24.3</c:v>
                </c:pt>
                <c:pt idx="4" formatCode="General">
                  <c:v>25.5</c:v>
                </c:pt>
                <c:pt idx="5" formatCode="General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10'!$B$25:$G$25</c:f>
              <c:numCache>
                <c:formatCode>0.0</c:formatCode>
                <c:ptCount val="6"/>
                <c:pt idx="0" formatCode="General">
                  <c:v>26.3</c:v>
                </c:pt>
                <c:pt idx="1">
                  <c:v>26.9</c:v>
                </c:pt>
                <c:pt idx="2">
                  <c:v>29.3</c:v>
                </c:pt>
                <c:pt idx="3" formatCode="General">
                  <c:v>29.9</c:v>
                </c:pt>
                <c:pt idx="4" formatCode="General">
                  <c:v>28.8</c:v>
                </c:pt>
                <c:pt idx="5" formatCode="General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1920"/>
        <c:axId val="128389056"/>
      </c:barChart>
      <c:catAx>
        <c:axId val="128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9056"/>
        <c:crosses val="autoZero"/>
        <c:auto val="0"/>
        <c:lblAlgn val="ctr"/>
        <c:lblOffset val="100"/>
        <c:noMultiLvlLbl val="0"/>
      </c:catAx>
      <c:valAx>
        <c:axId val="12838905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72192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Ianuarie-septembrie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11'!$B$25:$B$46</c:f>
              <c:numCache>
                <c:formatCode>#,##0.0</c:formatCode>
                <c:ptCount val="22"/>
                <c:pt idx="0">
                  <c:v>14.871656310271769</c:v>
                </c:pt>
                <c:pt idx="1">
                  <c:v>10.03950666272342</c:v>
                </c:pt>
                <c:pt idx="2">
                  <c:v>10.486139967137531</c:v>
                </c:pt>
                <c:pt idx="3">
                  <c:v>5.7222828171582609</c:v>
                </c:pt>
                <c:pt idx="4">
                  <c:v>8.4802606852982763</c:v>
                </c:pt>
                <c:pt idx="5">
                  <c:v>6.9306003071197759</c:v>
                </c:pt>
                <c:pt idx="6">
                  <c:v>11.63814233016303</c:v>
                </c:pt>
                <c:pt idx="7">
                  <c:v>3.4973886038373099</c:v>
                </c:pt>
                <c:pt idx="8">
                  <c:v>0.52626234511362302</c:v>
                </c:pt>
                <c:pt idx="9">
                  <c:v>2.4737088428094096</c:v>
                </c:pt>
                <c:pt idx="10">
                  <c:v>2.0586085831497751</c:v>
                </c:pt>
                <c:pt idx="11">
                  <c:v>1.476052472160515</c:v>
                </c:pt>
                <c:pt idx="12">
                  <c:v>1.1457885713851967</c:v>
                </c:pt>
                <c:pt idx="13">
                  <c:v>0.43139165151503478</c:v>
                </c:pt>
                <c:pt idx="14">
                  <c:v>1.291805565390588</c:v>
                </c:pt>
                <c:pt idx="15">
                  <c:v>1.3535802487354964</c:v>
                </c:pt>
                <c:pt idx="16">
                  <c:v>0.96895400475048721</c:v>
                </c:pt>
                <c:pt idx="17">
                  <c:v>1.8456067617989464</c:v>
                </c:pt>
                <c:pt idx="18">
                  <c:v>2.1358825172124321</c:v>
                </c:pt>
                <c:pt idx="19">
                  <c:v>1.0491489432351055</c:v>
                </c:pt>
                <c:pt idx="20">
                  <c:v>0.53657048162317134</c:v>
                </c:pt>
                <c:pt idx="21">
                  <c:v>1.0410973449363365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Ianuarie-septembrie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11'!$C$25:$C$46</c:f>
              <c:numCache>
                <c:formatCode>#,##0.0</c:formatCode>
                <c:ptCount val="22"/>
                <c:pt idx="0">
                  <c:v>14.629749910691142</c:v>
                </c:pt>
                <c:pt idx="1">
                  <c:v>9.9488298542240798</c:v>
                </c:pt>
                <c:pt idx="2">
                  <c:v>10.221759736639816</c:v>
                </c:pt>
                <c:pt idx="3">
                  <c:v>6.5849758343793248</c:v>
                </c:pt>
                <c:pt idx="4">
                  <c:v>8.3776649691722884</c:v>
                </c:pt>
                <c:pt idx="5">
                  <c:v>6.8826919694729538</c:v>
                </c:pt>
                <c:pt idx="6">
                  <c:v>11.535657569524224</c:v>
                </c:pt>
                <c:pt idx="7">
                  <c:v>3.4278214284183881</c:v>
                </c:pt>
                <c:pt idx="8">
                  <c:v>0.62214063208051551</c:v>
                </c:pt>
                <c:pt idx="9">
                  <c:v>2.4917328051396441</c:v>
                </c:pt>
                <c:pt idx="10">
                  <c:v>1.977904820433692</c:v>
                </c:pt>
                <c:pt idx="11">
                  <c:v>1.9363927006711246</c:v>
                </c:pt>
                <c:pt idx="12">
                  <c:v>1.0211121685549536</c:v>
                </c:pt>
                <c:pt idx="13">
                  <c:v>0.39188252502167975</c:v>
                </c:pt>
                <c:pt idx="14">
                  <c:v>1.3161124943836295</c:v>
                </c:pt>
                <c:pt idx="15">
                  <c:v>1.4266167840932704</c:v>
                </c:pt>
                <c:pt idx="16">
                  <c:v>0.86023624351095129</c:v>
                </c:pt>
                <c:pt idx="17">
                  <c:v>1.6620266937688304</c:v>
                </c:pt>
                <c:pt idx="18">
                  <c:v>2.2728934807137522</c:v>
                </c:pt>
                <c:pt idx="19">
                  <c:v>1.0111256623758003</c:v>
                </c:pt>
                <c:pt idx="20">
                  <c:v>0.56970273723741705</c:v>
                </c:pt>
                <c:pt idx="21">
                  <c:v>1.0058493252128846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Ianuarie-septembrie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11'!$D$25:$D$46</c:f>
              <c:numCache>
                <c:formatCode>#,##0.0</c:formatCode>
                <c:ptCount val="22"/>
                <c:pt idx="0">
                  <c:v>11.894888801024758</c:v>
                </c:pt>
                <c:pt idx="1">
                  <c:v>9.9623665673458603</c:v>
                </c:pt>
                <c:pt idx="2">
                  <c:v>11.689901067330469</c:v>
                </c:pt>
                <c:pt idx="3">
                  <c:v>6.8475716924666017</c:v>
                </c:pt>
                <c:pt idx="4">
                  <c:v>8.2886475834416089</c:v>
                </c:pt>
                <c:pt idx="5">
                  <c:v>6.4850831041400783</c:v>
                </c:pt>
                <c:pt idx="6">
                  <c:v>11.140161088945504</c:v>
                </c:pt>
                <c:pt idx="7">
                  <c:v>3.990494830321937</c:v>
                </c:pt>
                <c:pt idx="8">
                  <c:v>0.76404901836100669</c:v>
                </c:pt>
                <c:pt idx="9">
                  <c:v>2.3407109571451632</c:v>
                </c:pt>
                <c:pt idx="10">
                  <c:v>1.9361359979274022</c:v>
                </c:pt>
                <c:pt idx="11">
                  <c:v>1.6981114800269377</c:v>
                </c:pt>
                <c:pt idx="12">
                  <c:v>1.1785357856043901</c:v>
                </c:pt>
                <c:pt idx="13">
                  <c:v>0.46973569383754682</c:v>
                </c:pt>
                <c:pt idx="14">
                  <c:v>1.277910380950446</c:v>
                </c:pt>
                <c:pt idx="15">
                  <c:v>1.4397384021714157</c:v>
                </c:pt>
                <c:pt idx="16">
                  <c:v>1.0115551781087664</c:v>
                </c:pt>
                <c:pt idx="17">
                  <c:v>1.1053953854090415</c:v>
                </c:pt>
                <c:pt idx="18">
                  <c:v>2.1168797687640928</c:v>
                </c:pt>
                <c:pt idx="19">
                  <c:v>1.0568017047773226</c:v>
                </c:pt>
                <c:pt idx="20">
                  <c:v>0.54709406409595351</c:v>
                </c:pt>
                <c:pt idx="21">
                  <c:v>0.89932493123233981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Ianuarie-septembrie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11'!$E$25:$E$46</c:f>
              <c:numCache>
                <c:formatCode>#,##0.0</c:formatCode>
                <c:ptCount val="22"/>
                <c:pt idx="0">
                  <c:v>12.018698082998224</c:v>
                </c:pt>
                <c:pt idx="1">
                  <c:v>9.3405539116405496</c:v>
                </c:pt>
                <c:pt idx="2">
                  <c:v>11.766900415281956</c:v>
                </c:pt>
                <c:pt idx="3">
                  <c:v>7.4724261609925087</c:v>
                </c:pt>
                <c:pt idx="4">
                  <c:v>7.9668702946649388</c:v>
                </c:pt>
                <c:pt idx="5">
                  <c:v>6.4733409032482019</c:v>
                </c:pt>
                <c:pt idx="6">
                  <c:v>12.48330009826803</c:v>
                </c:pt>
                <c:pt idx="7">
                  <c:v>3.7819198513241248</c:v>
                </c:pt>
                <c:pt idx="8">
                  <c:v>0.6630184362151077</c:v>
                </c:pt>
                <c:pt idx="9">
                  <c:v>2.5265960897809787</c:v>
                </c:pt>
                <c:pt idx="10">
                  <c:v>1.8093844738667306</c:v>
                </c:pt>
                <c:pt idx="11">
                  <c:v>1.6807707653799617</c:v>
                </c:pt>
                <c:pt idx="12">
                  <c:v>1.2399311105386903</c:v>
                </c:pt>
                <c:pt idx="13">
                  <c:v>0.5868143464601866</c:v>
                </c:pt>
                <c:pt idx="14">
                  <c:v>1.5386833087837846</c:v>
                </c:pt>
                <c:pt idx="15">
                  <c:v>1.366444962090162</c:v>
                </c:pt>
                <c:pt idx="16">
                  <c:v>0.96084827306793974</c:v>
                </c:pt>
                <c:pt idx="17">
                  <c:v>1.4891790789622146</c:v>
                </c:pt>
                <c:pt idx="18">
                  <c:v>1.9123728012432051</c:v>
                </c:pt>
                <c:pt idx="19">
                  <c:v>1.0811485567683754</c:v>
                </c:pt>
                <c:pt idx="20">
                  <c:v>0.56598589308031355</c:v>
                </c:pt>
                <c:pt idx="21">
                  <c:v>0.91476550546057389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Ianuarie-septembrie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11'!$F$25:$F$46</c:f>
              <c:numCache>
                <c:formatCode>#,##0.0</c:formatCode>
                <c:ptCount val="22"/>
                <c:pt idx="0">
                  <c:v>16.846966434510787</c:v>
                </c:pt>
                <c:pt idx="1">
                  <c:v>9.8161345900761567</c:v>
                </c:pt>
                <c:pt idx="2">
                  <c:v>10.203868202342244</c:v>
                </c:pt>
                <c:pt idx="3">
                  <c:v>7.0863527330484359</c:v>
                </c:pt>
                <c:pt idx="4">
                  <c:v>6.4476035912260503</c:v>
                </c:pt>
                <c:pt idx="5">
                  <c:v>4.9035143015821916</c:v>
                </c:pt>
                <c:pt idx="6">
                  <c:v>13.642341612275214</c:v>
                </c:pt>
                <c:pt idx="7">
                  <c:v>3.3123193426631379</c:v>
                </c:pt>
                <c:pt idx="8">
                  <c:v>2.9103994912911189</c:v>
                </c:pt>
                <c:pt idx="9">
                  <c:v>2.0836487511838557</c:v>
                </c:pt>
                <c:pt idx="10">
                  <c:v>2.0095486710758359</c:v>
                </c:pt>
                <c:pt idx="11">
                  <c:v>1.4678461697381484</c:v>
                </c:pt>
                <c:pt idx="12">
                  <c:v>1.5018310401531225</c:v>
                </c:pt>
                <c:pt idx="13">
                  <c:v>0.75778907679656349</c:v>
                </c:pt>
                <c:pt idx="14">
                  <c:v>1.48992066235926</c:v>
                </c:pt>
                <c:pt idx="15">
                  <c:v>1.1682496194274654</c:v>
                </c:pt>
                <c:pt idx="16">
                  <c:v>0.76695080883194533</c:v>
                </c:pt>
                <c:pt idx="17">
                  <c:v>0.92151869895387706</c:v>
                </c:pt>
                <c:pt idx="18">
                  <c:v>1.1270803961367202</c:v>
                </c:pt>
                <c:pt idx="19">
                  <c:v>0.96912445254646318</c:v>
                </c:pt>
                <c:pt idx="20">
                  <c:v>0.61712889969497964</c:v>
                </c:pt>
                <c:pt idx="21">
                  <c:v>0.78383585022036206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Ianuarie-septembrie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Netherlands</c:v>
                </c:pt>
                <c:pt idx="20">
                  <c:v>Slovacia</c:v>
                </c:pt>
                <c:pt idx="21">
                  <c:v>Regatul Unit </c:v>
                </c:pt>
              </c:strCache>
            </c:strRef>
          </c:cat>
          <c:val>
            <c:numRef>
              <c:f>'Figura 11'!$G$25:$G$46</c:f>
              <c:numCache>
                <c:formatCode>#,##0.0</c:formatCode>
                <c:ptCount val="22"/>
                <c:pt idx="0">
                  <c:v>15.359556906894865</c:v>
                </c:pt>
                <c:pt idx="1">
                  <c:v>11.827244702188155</c:v>
                </c:pt>
                <c:pt idx="2">
                  <c:v>11.320855362634717</c:v>
                </c:pt>
                <c:pt idx="3">
                  <c:v>8.8044912247302207</c:v>
                </c:pt>
                <c:pt idx="4">
                  <c:v>7.0749753759818219</c:v>
                </c:pt>
                <c:pt idx="5">
                  <c:v>5.5240279295307317</c:v>
                </c:pt>
                <c:pt idx="6">
                  <c:v>4.0455313027117201</c:v>
                </c:pt>
                <c:pt idx="7">
                  <c:v>3.6634594151250242</c:v>
                </c:pt>
                <c:pt idx="8">
                  <c:v>2.6627225853313989</c:v>
                </c:pt>
                <c:pt idx="9">
                  <c:v>2.4693037516355836</c:v>
                </c:pt>
                <c:pt idx="10">
                  <c:v>2.1598506646234554</c:v>
                </c:pt>
                <c:pt idx="11">
                  <c:v>1.7834406834033434</c:v>
                </c:pt>
                <c:pt idx="12">
                  <c:v>1.6699233410713992</c:v>
                </c:pt>
                <c:pt idx="13">
                  <c:v>1.4864952111513583</c:v>
                </c:pt>
                <c:pt idx="14">
                  <c:v>1.3741476645964199</c:v>
                </c:pt>
                <c:pt idx="15">
                  <c:v>1.3661048780777725</c:v>
                </c:pt>
                <c:pt idx="16">
                  <c:v>1.1133114627799523</c:v>
                </c:pt>
                <c:pt idx="17">
                  <c:v>1.0292925929797383</c:v>
                </c:pt>
                <c:pt idx="18">
                  <c:v>1.0231332182875885</c:v>
                </c:pt>
                <c:pt idx="19">
                  <c:v>0.95640450971632451</c:v>
                </c:pt>
                <c:pt idx="20">
                  <c:v>0.9405266061559574</c:v>
                </c:pt>
                <c:pt idx="21">
                  <c:v>0.87954964008288861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567872"/>
        <c:axId val="128391360"/>
      </c:barChart>
      <c:catAx>
        <c:axId val="12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91360"/>
        <c:crosses val="autoZero"/>
        <c:auto val="1"/>
        <c:lblAlgn val="ctr"/>
        <c:lblOffset val="100"/>
        <c:noMultiLvlLbl val="0"/>
      </c:catAx>
      <c:valAx>
        <c:axId val="12839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756787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9751918361983403E-2"/>
          <c:y val="0.87203727441046597"/>
          <c:w val="0.91799736495388684"/>
          <c:h val="7.972844479711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septembrie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920473041556303"/>
          <c:y val="1.20356749750542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3.9664378337147331E-2"/>
                  <c:y val="2.657076450438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3.2036613272311214E-2"/>
                  <c:y val="-6.88361680789834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4744469870327"/>
                      <c:h val="0.16958805873556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7.6278851871204884E-3"/>
                  <c:y val="-0.1202012360014934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94801107527461"/>
                      <c:h val="0.16840444708811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4.2715724607650586E-2"/>
                  <c:y val="-0.150448962451117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01983218916857"/>
                      <c:h val="0.15821345563047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5.7355748151618348E-2"/>
                  <c:y val="-8.1160615911712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1.7383856766187981E-2"/>
                  <c:y val="4.689988867371991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0403262521246628"/>
                  <c:y val="2.46666163723925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4358697153701"/>
                      <c:h val="0.1699726141799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6231103263121857"/>
                  <c:y val="-2.4761177475073931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53916286779939"/>
                      <c:h val="0.187663644939721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1998222190189613"/>
                  <c:y val="-6.86193828222054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13031466032421"/>
                      <c:h val="0.155196972988411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21200153756524143"/>
                  <c:y val="-0.2010236797107638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08771929824559"/>
                      <c:h val="0.184249346582899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6347898160327212"/>
                  <c:y val="-0.3189284221643997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2163606551469396"/>
                  <c:y val="-0.4536534849110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3.1999135119551707E-2"/>
                  <c:y val="-0.59065426175466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9832189168573608"/>
                  <c:y val="-0.21152036508081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12'!$A$44:$A$57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Maşini şi aparate specializate </c:v>
                </c:pt>
                <c:pt idx="8">
                  <c:v>Legume şi fructe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12'!$B$44:$B$57</c:f>
              <c:numCache>
                <c:formatCode>0.0</c:formatCode>
                <c:ptCount val="14"/>
                <c:pt idx="0">
                  <c:v>16.100000000000001</c:v>
                </c:pt>
                <c:pt idx="1">
                  <c:v>7.6</c:v>
                </c:pt>
                <c:pt idx="2">
                  <c:v>6.7</c:v>
                </c:pt>
                <c:pt idx="3">
                  <c:v>6.4</c:v>
                </c:pt>
                <c:pt idx="4">
                  <c:v>3.5</c:v>
                </c:pt>
                <c:pt idx="5">
                  <c:v>3.4</c:v>
                </c:pt>
                <c:pt idx="6">
                  <c:v>2.9</c:v>
                </c:pt>
                <c:pt idx="7">
                  <c:v>2.6</c:v>
                </c:pt>
                <c:pt idx="8">
                  <c:v>2.6</c:v>
                </c:pt>
                <c:pt idx="9">
                  <c:v>2.5</c:v>
                </c:pt>
                <c:pt idx="10">
                  <c:v>2.4</c:v>
                </c:pt>
                <c:pt idx="11">
                  <c:v>2.2000000000000002</c:v>
                </c:pt>
                <c:pt idx="12">
                  <c:v>2.1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septembrie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112606069872329"/>
          <c:y val="8.60301167513561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6.8636954361287361E-2"/>
                  <c:y val="1.4414383488167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5.2376347374053972E-2"/>
                  <c:y val="-6.615060038476117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-6.4724919093851136E-3"/>
                  <c:y val="-0.1091475895213371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14476467140637"/>
                      <c:h val="0.130852267444771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2.1324694850036949E-2"/>
                  <c:y val="-0.167671780761311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1798027673725"/>
                      <c:h val="0.20015827885350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6.2124710139387918E-2"/>
                  <c:y val="-8.5911876819212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1.1272807566486116E-2"/>
                  <c:y val="-2.47221987274996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7.8623969928861698E-2"/>
                  <c:y val="1.95695595932304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5994385714209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2464694340391917"/>
                  <c:y val="1.821579523268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010299550594"/>
                      <c:h val="0.149408494889947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16008562036541549"/>
                  <c:y val="-6.34813018944840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7918233516669185"/>
                  <c:y val="-0.18358750022919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9550928113837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30835349772015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3115944244833475"/>
                  <c:y val="-0.449988628805595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3.9550493081568688E-2"/>
                  <c:y val="-0.575545781572943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20307239507682898"/>
                  <c:y val="-0.20477904839551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Vehicule rutiere</c:v>
                </c:pt>
                <c:pt idx="3">
                  <c:v>Gaz şi produse industriale obţinute din gaz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Maşini şi aparate specializate </c:v>
                </c:pt>
                <c:pt idx="8">
                  <c:v>Legume şi fructe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0.0</c:formatCode>
                <c:ptCount val="14"/>
                <c:pt idx="0">
                  <c:v>16.3</c:v>
                </c:pt>
                <c:pt idx="1">
                  <c:v>6.3</c:v>
                </c:pt>
                <c:pt idx="2">
                  <c:v>5.8</c:v>
                </c:pt>
                <c:pt idx="3">
                  <c:v>9</c:v>
                </c:pt>
                <c:pt idx="4">
                  <c:v>3.7</c:v>
                </c:pt>
                <c:pt idx="5">
                  <c:v>3.1</c:v>
                </c:pt>
                <c:pt idx="6">
                  <c:v>2.8</c:v>
                </c:pt>
                <c:pt idx="7">
                  <c:v>3.6</c:v>
                </c:pt>
                <c:pt idx="8">
                  <c:v>2</c:v>
                </c:pt>
                <c:pt idx="9">
                  <c:v>2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1.9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  <c:pt idx="5">
                  <c:v>-335.3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  <c:pt idx="5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  <c:pt idx="5">
                  <c:v>-354.6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8304"/>
        <c:axId val="133212992"/>
      </c:barChart>
      <c:catAx>
        <c:axId val="1338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12992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58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2216044423018551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14'!$B$28:$B$33</c:f>
              <c:numCache>
                <c:formatCode>0.0</c:formatCode>
                <c:ptCount val="6"/>
                <c:pt idx="0">
                  <c:v>1959.5</c:v>
                </c:pt>
                <c:pt idx="1">
                  <c:v>2026</c:v>
                </c:pt>
                <c:pt idx="2">
                  <c:v>1737.5</c:v>
                </c:pt>
                <c:pt idx="3">
                  <c:v>2103.4</c:v>
                </c:pt>
                <c:pt idx="4">
                  <c:v>3277.8</c:v>
                </c:pt>
                <c:pt idx="5">
                  <c:v>3014.9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14'!$C$28:$C$33</c:f>
              <c:numCache>
                <c:formatCode>0.0</c:formatCode>
                <c:ptCount val="6"/>
                <c:pt idx="0">
                  <c:v>4177.6000000000004</c:v>
                </c:pt>
                <c:pt idx="1">
                  <c:v>4273.3999999999996</c:v>
                </c:pt>
                <c:pt idx="2">
                  <c:v>3832.2</c:v>
                </c:pt>
                <c:pt idx="3">
                  <c:v>5074.2</c:v>
                </c:pt>
                <c:pt idx="4">
                  <c:v>6735.7</c:v>
                </c:pt>
                <c:pt idx="5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3806080"/>
        <c:axId val="13321702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53138000607062E-2"/>
                  <c:y val="-2.930799066640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525380755945E-2"/>
                  <c:y val="-3.895829683896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3412705941877745E-2"/>
                  <c:y val="4.269834246582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6065777492099271E-2"/>
                  <c:y val="-3.531183277442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0761471081175227E-2"/>
                  <c:y val="-4.000231614366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123675805584548E-2"/>
                      <c:h val="4.15785805841068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2.9403914872086771E-2"/>
                  <c:y val="-3.990581015751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-2218.1000000000004</c:v>
                </c:pt>
                <c:pt idx="1">
                  <c:v>-2247.3999999999996</c:v>
                </c:pt>
                <c:pt idx="2">
                  <c:v>-2094.6999999999998</c:v>
                </c:pt>
                <c:pt idx="3">
                  <c:v>-2970.7999999999997</c:v>
                </c:pt>
                <c:pt idx="4">
                  <c:v>-3457.8999999999996</c:v>
                </c:pt>
                <c:pt idx="5">
                  <c:v>-3396.1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080"/>
        <c:axId val="133217024"/>
      </c:lineChart>
      <c:catAx>
        <c:axId val="1338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7024"/>
        <c:crosses val="autoZero"/>
        <c:auto val="1"/>
        <c:lblAlgn val="ctr"/>
        <c:lblOffset val="100"/>
        <c:noMultiLvlLbl val="0"/>
      </c:catAx>
      <c:valAx>
        <c:axId val="133217024"/>
        <c:scaling>
          <c:orientation val="minMax"/>
          <c:min val="-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06080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2'!$B$23:$AH$24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2'!$B$25:$AH$25</c:f>
              <c:numCache>
                <c:formatCode>#,##0.0</c:formatCode>
                <c:ptCount val="33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95.423145055942825</c:v>
                </c:pt>
                <c:pt idx="25" formatCode="0.0">
                  <c:v>107.53426155303467</c:v>
                </c:pt>
                <c:pt idx="26" formatCode="0.0">
                  <c:v>108.10569775638508</c:v>
                </c:pt>
                <c:pt idx="27" formatCode="0.0">
                  <c:v>82.362902414137324</c:v>
                </c:pt>
                <c:pt idx="28">
                  <c:v>106.13827282357234</c:v>
                </c:pt>
                <c:pt idx="29" formatCode="0.0">
                  <c:v>94.10015168524933</c:v>
                </c:pt>
                <c:pt idx="30" formatCode="0.0">
                  <c:v>96.070902646835719</c:v>
                </c:pt>
                <c:pt idx="31" formatCode="0.0">
                  <c:v>105.97041738662007</c:v>
                </c:pt>
                <c:pt idx="32" formatCode="0.0">
                  <c:v>107.39486603168993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2'!$B$23:$AH$24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2'!$B$26:$AH$26</c:f>
              <c:numCache>
                <c:formatCode>#,##0.0</c:formatCode>
                <c:ptCount val="33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100.22420542342689</c:v>
                </c:pt>
                <c:pt idx="25" formatCode="0.0">
                  <c:v>105.81914027975773</c:v>
                </c:pt>
                <c:pt idx="26" formatCode="0.0">
                  <c:v>97.239900027586913</c:v>
                </c:pt>
                <c:pt idx="27" formatCode="0.0">
                  <c:v>79.986682581269577</c:v>
                </c:pt>
                <c:pt idx="28" formatCode="0.0">
                  <c:v>80.890526070647383</c:v>
                </c:pt>
                <c:pt idx="29" formatCode="0.0">
                  <c:v>76.032470754924674</c:v>
                </c:pt>
                <c:pt idx="30" formatCode="0.0">
                  <c:v>89.935850911576011</c:v>
                </c:pt>
                <c:pt idx="31" formatCode="0.0">
                  <c:v>97.853685232012239</c:v>
                </c:pt>
                <c:pt idx="32" formatCode="0.0">
                  <c:v>108.59159407486703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Ianuarie-septembrie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3'!$B$24:$B$29</c:f>
              <c:numCache>
                <c:formatCode>0.0</c:formatCode>
                <c:ptCount val="6"/>
                <c:pt idx="0">
                  <c:v>13.4</c:v>
                </c:pt>
                <c:pt idx="1">
                  <c:v>3</c:v>
                </c:pt>
                <c:pt idx="2">
                  <c:v>81.400000000000006</c:v>
                </c:pt>
                <c:pt idx="3">
                  <c:v>1.1000000000000001</c:v>
                </c:pt>
                <c:pt idx="4">
                  <c:v>0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Ianuarie-septembrie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3'!$C$24:$C$29</c:f>
              <c:numCache>
                <c:formatCode>0.0</c:formatCode>
                <c:ptCount val="6"/>
                <c:pt idx="0">
                  <c:v>14.1</c:v>
                </c:pt>
                <c:pt idx="1">
                  <c:v>8.8000000000000007</c:v>
                </c:pt>
                <c:pt idx="2">
                  <c:v>75.8</c:v>
                </c:pt>
                <c:pt idx="3">
                  <c:v>0.9</c:v>
                </c:pt>
                <c:pt idx="4">
                  <c:v>0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Ianuarie-septembrie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3'!$D$24:$D$29</c:f>
              <c:numCache>
                <c:formatCode>0.0</c:formatCode>
                <c:ptCount val="6"/>
                <c:pt idx="0">
                  <c:v>7</c:v>
                </c:pt>
                <c:pt idx="1">
                  <c:v>3.7</c:v>
                </c:pt>
                <c:pt idx="2">
                  <c:v>88.1</c:v>
                </c:pt>
                <c:pt idx="3">
                  <c:v>1.2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Ianuarie-septembrie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3'!$E$24:$E$29</c:f>
              <c:numCache>
                <c:formatCode>0.0</c:formatCode>
                <c:ptCount val="6"/>
                <c:pt idx="0">
                  <c:v>7.3</c:v>
                </c:pt>
                <c:pt idx="1">
                  <c:v>3.1</c:v>
                </c:pt>
                <c:pt idx="2">
                  <c:v>88.4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Ianuarie-septembrie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3'!$F$24:$F$29</c:f>
              <c:numCache>
                <c:formatCode>0.0</c:formatCode>
                <c:ptCount val="6"/>
                <c:pt idx="0">
                  <c:v>6.6</c:v>
                </c:pt>
                <c:pt idx="1">
                  <c:v>4.5</c:v>
                </c:pt>
                <c:pt idx="2">
                  <c:v>87.2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Ianuarie-septembrie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3'!$G$24:$G$29</c:f>
              <c:numCache>
                <c:formatCode>0.0</c:formatCode>
                <c:ptCount val="6"/>
                <c:pt idx="0">
                  <c:v>6.6</c:v>
                </c:pt>
                <c:pt idx="1">
                  <c:v>3.9</c:v>
                </c:pt>
                <c:pt idx="2">
                  <c:v>87.5</c:v>
                </c:pt>
                <c:pt idx="3">
                  <c:v>1.9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920768"/>
        <c:axId val="100813632"/>
      </c:barChart>
      <c:catAx>
        <c:axId val="1259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3632"/>
        <c:crossesAt val="0"/>
        <c:auto val="1"/>
        <c:lblAlgn val="ctr"/>
        <c:lblOffset val="100"/>
        <c:noMultiLvlLbl val="0"/>
      </c:catAx>
      <c:valAx>
        <c:axId val="10081363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9207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383985075795487"/>
          <c:y val="0.9043039262949274"/>
          <c:w val="0.77804044922400262"/>
          <c:h val="6.84851893513310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66.400000000000006</c:v>
                </c:pt>
                <c:pt idx="1">
                  <c:v>63.6</c:v>
                </c:pt>
                <c:pt idx="2">
                  <c:v>65.7</c:v>
                </c:pt>
                <c:pt idx="3">
                  <c:v>61.3</c:v>
                </c:pt>
                <c:pt idx="4">
                  <c:v>59.2</c:v>
                </c:pt>
                <c:pt idx="5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4'!$B$23:$G$23</c:f>
              <c:numCache>
                <c:formatCode>0.0</c:formatCode>
                <c:ptCount val="6"/>
                <c:pt idx="0">
                  <c:v>15.6</c:v>
                </c:pt>
                <c:pt idx="1">
                  <c:v>14.9</c:v>
                </c:pt>
                <c:pt idx="2">
                  <c:v>15.8</c:v>
                </c:pt>
                <c:pt idx="3">
                  <c:v>15.3</c:v>
                </c:pt>
                <c:pt idx="4">
                  <c:v>22.2</c:v>
                </c:pt>
                <c:pt idx="5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  <c:pt idx="5">
                  <c:v>Ianuarie-septembrie 2023</c:v>
                </c:pt>
              </c:strCache>
            </c:strRef>
          </c:cat>
          <c:val>
            <c:numRef>
              <c:f>'Figura 4'!$B$24:$G$24</c:f>
              <c:numCache>
                <c:formatCode>0.0</c:formatCode>
                <c:ptCount val="6"/>
                <c:pt idx="0">
                  <c:v>18</c:v>
                </c:pt>
                <c:pt idx="1">
                  <c:v>21.5</c:v>
                </c:pt>
                <c:pt idx="2">
                  <c:v>18.5</c:v>
                </c:pt>
                <c:pt idx="3">
                  <c:v>23.4</c:v>
                </c:pt>
                <c:pt idx="4">
                  <c:v>18.600000000000001</c:v>
                </c:pt>
                <c:pt idx="5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41952"/>
        <c:axId val="100815936"/>
      </c:barChart>
      <c:catAx>
        <c:axId val="126141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5936"/>
        <c:crosses val="autoZero"/>
        <c:auto val="1"/>
        <c:lblAlgn val="ctr"/>
        <c:lblOffset val="100"/>
        <c:noMultiLvlLbl val="0"/>
      </c:catAx>
      <c:valAx>
        <c:axId val="100815936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141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Ianuarie-septembrie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Liban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5'!$B$26:$B$46</c:f>
              <c:numCache>
                <c:formatCode>#,##0.0</c:formatCode>
                <c:ptCount val="21"/>
                <c:pt idx="0">
                  <c:v>28.673214276324938</c:v>
                </c:pt>
                <c:pt idx="1">
                  <c:v>2.9867976670329321</c:v>
                </c:pt>
                <c:pt idx="2">
                  <c:v>11.722679594022678</c:v>
                </c:pt>
                <c:pt idx="3">
                  <c:v>8.3607176765475746</c:v>
                </c:pt>
                <c:pt idx="4">
                  <c:v>1.5534886756788138</c:v>
                </c:pt>
                <c:pt idx="5">
                  <c:v>8.1400639498893845</c:v>
                </c:pt>
                <c:pt idx="6">
                  <c:v>3.0883532183431166</c:v>
                </c:pt>
                <c:pt idx="7">
                  <c:v>3.5449202437282632</c:v>
                </c:pt>
                <c:pt idx="8">
                  <c:v>3.478194014628333</c:v>
                </c:pt>
                <c:pt idx="9">
                  <c:v>1.92422620669579</c:v>
                </c:pt>
                <c:pt idx="10">
                  <c:v>1.0150733561527991</c:v>
                </c:pt>
                <c:pt idx="11">
                  <c:v>0.82863570251120988</c:v>
                </c:pt>
                <c:pt idx="12">
                  <c:v>0.30168639565633398</c:v>
                </c:pt>
                <c:pt idx="13">
                  <c:v>1.3770044089213822</c:v>
                </c:pt>
                <c:pt idx="14">
                  <c:v>0.63851193071194079</c:v>
                </c:pt>
                <c:pt idx="15">
                  <c:v>1.9520749730284022</c:v>
                </c:pt>
                <c:pt idx="16">
                  <c:v>3.2171872913561059</c:v>
                </c:pt>
                <c:pt idx="17">
                  <c:v>0.59410859659240856</c:v>
                </c:pt>
                <c:pt idx="18">
                  <c:v>1.3557782229429998</c:v>
                </c:pt>
                <c:pt idx="19">
                  <c:v>0.30919801546395598</c:v>
                </c:pt>
                <c:pt idx="20">
                  <c:v>1.9862049695544333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Ianuarie-septembrie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Liban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5'!$C$26:$C$46</c:f>
              <c:numCache>
                <c:formatCode>#,##0.0</c:formatCode>
                <c:ptCount val="21"/>
                <c:pt idx="0">
                  <c:v>28.232947866457824</c:v>
                </c:pt>
                <c:pt idx="1">
                  <c:v>2.6550254933367037</c:v>
                </c:pt>
                <c:pt idx="2">
                  <c:v>10.205860053828975</c:v>
                </c:pt>
                <c:pt idx="3">
                  <c:v>8.9788486629316555</c:v>
                </c:pt>
                <c:pt idx="4">
                  <c:v>2.0699477272359315</c:v>
                </c:pt>
                <c:pt idx="5">
                  <c:v>8.4757902274192123</c:v>
                </c:pt>
                <c:pt idx="6">
                  <c:v>7.3960538163391449</c:v>
                </c:pt>
                <c:pt idx="7">
                  <c:v>3.9698454818509594</c:v>
                </c:pt>
                <c:pt idx="8">
                  <c:v>2.9567656155859816</c:v>
                </c:pt>
                <c:pt idx="9">
                  <c:v>1.7531661149759075</c:v>
                </c:pt>
                <c:pt idx="10">
                  <c:v>1.1632498115350558</c:v>
                </c:pt>
                <c:pt idx="11">
                  <c:v>0.80589873135736345</c:v>
                </c:pt>
                <c:pt idx="12">
                  <c:v>0.33587870003475229</c:v>
                </c:pt>
                <c:pt idx="13">
                  <c:v>1.2543294957528623</c:v>
                </c:pt>
                <c:pt idx="14">
                  <c:v>0.33402268291851561</c:v>
                </c:pt>
                <c:pt idx="15">
                  <c:v>1.2291279217598157</c:v>
                </c:pt>
                <c:pt idx="16">
                  <c:v>1.9230742558175022</c:v>
                </c:pt>
                <c:pt idx="17">
                  <c:v>0.47074515140297535</c:v>
                </c:pt>
                <c:pt idx="18">
                  <c:v>1.1283568803738353</c:v>
                </c:pt>
                <c:pt idx="19">
                  <c:v>0.40939379470723308</c:v>
                </c:pt>
                <c:pt idx="20">
                  <c:v>2.9628534357755534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Ianuarie-septembrie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Liban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5'!$D$26:$D$46</c:f>
              <c:numCache>
                <c:formatCode>#,##0.0</c:formatCode>
                <c:ptCount val="21"/>
                <c:pt idx="0">
                  <c:v>27.951234636485811</c:v>
                </c:pt>
                <c:pt idx="1">
                  <c:v>2.6492092303963379</c:v>
                </c:pt>
                <c:pt idx="2">
                  <c:v>8.793585906229854</c:v>
                </c:pt>
                <c:pt idx="3">
                  <c:v>9.3363230396767776</c:v>
                </c:pt>
                <c:pt idx="4">
                  <c:v>3.3034103402875603</c:v>
                </c:pt>
                <c:pt idx="5">
                  <c:v>9.3897262239558845</c:v>
                </c:pt>
                <c:pt idx="6">
                  <c:v>6.6541017759603154</c:v>
                </c:pt>
                <c:pt idx="7">
                  <c:v>4.2066250018039364</c:v>
                </c:pt>
                <c:pt idx="8">
                  <c:v>2.7921368615712927</c:v>
                </c:pt>
                <c:pt idx="9">
                  <c:v>1.6604442981096166</c:v>
                </c:pt>
                <c:pt idx="10">
                  <c:v>1.3547498597503</c:v>
                </c:pt>
                <c:pt idx="11">
                  <c:v>1.129474516758239</c:v>
                </c:pt>
                <c:pt idx="12">
                  <c:v>0.9762431661383143</c:v>
                </c:pt>
                <c:pt idx="13">
                  <c:v>1.4892054064236466</c:v>
                </c:pt>
                <c:pt idx="14">
                  <c:v>0.62796460198401116</c:v>
                </c:pt>
                <c:pt idx="15">
                  <c:v>1.3300140520648291</c:v>
                </c:pt>
                <c:pt idx="16">
                  <c:v>1.7445948628829606</c:v>
                </c:pt>
                <c:pt idx="17">
                  <c:v>0.57246603747315261</c:v>
                </c:pt>
                <c:pt idx="18">
                  <c:v>1.3610598097009505</c:v>
                </c:pt>
                <c:pt idx="19">
                  <c:v>0.57921383587779407</c:v>
                </c:pt>
                <c:pt idx="20">
                  <c:v>2.5550125095090555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Ianuarie-septembrie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Liban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5'!$E$26:$E$46</c:f>
              <c:numCache>
                <c:formatCode>#,##0.0</c:formatCode>
                <c:ptCount val="21"/>
                <c:pt idx="0">
                  <c:v>26.859071263193897</c:v>
                </c:pt>
                <c:pt idx="1">
                  <c:v>3.0207895464735821</c:v>
                </c:pt>
                <c:pt idx="2">
                  <c:v>7.4946381665549771</c:v>
                </c:pt>
                <c:pt idx="3">
                  <c:v>8.9331704445296491</c:v>
                </c:pt>
                <c:pt idx="4">
                  <c:v>2.8610550601370481</c:v>
                </c:pt>
                <c:pt idx="5">
                  <c:v>9.231694236627435</c:v>
                </c:pt>
                <c:pt idx="6">
                  <c:v>9.7265251966318242</c:v>
                </c:pt>
                <c:pt idx="7">
                  <c:v>3.648570415944778</c:v>
                </c:pt>
                <c:pt idx="8">
                  <c:v>2.1753095673121385</c:v>
                </c:pt>
                <c:pt idx="9">
                  <c:v>1.8951878564888447</c:v>
                </c:pt>
                <c:pt idx="10">
                  <c:v>0.99408773019381624</c:v>
                </c:pt>
                <c:pt idx="11">
                  <c:v>0.88393954148909615</c:v>
                </c:pt>
                <c:pt idx="12">
                  <c:v>1.3961913893705549</c:v>
                </c:pt>
                <c:pt idx="13">
                  <c:v>1.2485393831949929</c:v>
                </c:pt>
                <c:pt idx="14">
                  <c:v>0.44286720940019925</c:v>
                </c:pt>
                <c:pt idx="15">
                  <c:v>1.1219709126702795</c:v>
                </c:pt>
                <c:pt idx="16">
                  <c:v>2.1502108781708054</c:v>
                </c:pt>
                <c:pt idx="17">
                  <c:v>0.97411072897962592</c:v>
                </c:pt>
                <c:pt idx="18">
                  <c:v>0.97471408792455028</c:v>
                </c:pt>
                <c:pt idx="19">
                  <c:v>0.20739415558449878</c:v>
                </c:pt>
                <c:pt idx="20">
                  <c:v>2.9424778780944223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Ianuarie-septembrie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Liban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5'!$F$26:$F$46</c:f>
              <c:numCache>
                <c:formatCode>#,##0.0</c:formatCode>
                <c:ptCount val="21"/>
                <c:pt idx="0">
                  <c:v>28.484817646086142</c:v>
                </c:pt>
                <c:pt idx="1">
                  <c:v>14.940762356222084</c:v>
                </c:pt>
                <c:pt idx="2">
                  <c:v>7.9118662542576503</c:v>
                </c:pt>
                <c:pt idx="3">
                  <c:v>5.4486706135968808</c:v>
                </c:pt>
                <c:pt idx="4">
                  <c:v>2.2935991792192398</c:v>
                </c:pt>
                <c:pt idx="5">
                  <c:v>4.7654186195378783</c:v>
                </c:pt>
                <c:pt idx="6">
                  <c:v>8.0279417437749174</c:v>
                </c:pt>
                <c:pt idx="7">
                  <c:v>2.8054066253040739</c:v>
                </c:pt>
                <c:pt idx="8">
                  <c:v>1.6405234227217496</c:v>
                </c:pt>
                <c:pt idx="9">
                  <c:v>4.0028365819197864</c:v>
                </c:pt>
                <c:pt idx="10">
                  <c:v>0.77219065456362368</c:v>
                </c:pt>
                <c:pt idx="11">
                  <c:v>0.91643938834339389</c:v>
                </c:pt>
                <c:pt idx="12">
                  <c:v>1.2369997562077149</c:v>
                </c:pt>
                <c:pt idx="13">
                  <c:v>1.6485699767940103</c:v>
                </c:pt>
                <c:pt idx="14">
                  <c:v>0.43626092197256289</c:v>
                </c:pt>
                <c:pt idx="15">
                  <c:v>0.93296793180344251</c:v>
                </c:pt>
                <c:pt idx="16">
                  <c:v>1.5609122721808497</c:v>
                </c:pt>
                <c:pt idx="17">
                  <c:v>0.47822431310617181</c:v>
                </c:pt>
                <c:pt idx="18">
                  <c:v>0.8115177107433279</c:v>
                </c:pt>
                <c:pt idx="19">
                  <c:v>0.41940150893288086</c:v>
                </c:pt>
                <c:pt idx="20">
                  <c:v>1.8176745209238763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Ianuarie-septembrie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Netherlands</c:v>
                </c:pt>
                <c:pt idx="14">
                  <c:v>Kazahstan</c:v>
                </c:pt>
                <c:pt idx="15">
                  <c:v>Franța</c:v>
                </c:pt>
                <c:pt idx="16">
                  <c:v>Regatul Unit </c:v>
                </c:pt>
                <c:pt idx="17">
                  <c:v>Liban</c:v>
                </c:pt>
                <c:pt idx="18">
                  <c:v>Grecia</c:v>
                </c:pt>
                <c:pt idx="19">
                  <c:v>Cipru</c:v>
                </c:pt>
                <c:pt idx="20">
                  <c:v>Elveția</c:v>
                </c:pt>
              </c:strCache>
            </c:strRef>
          </c:cat>
          <c:val>
            <c:numRef>
              <c:f>'Figura 5'!$G$26:$G$46</c:f>
              <c:numCache>
                <c:formatCode>#,##0.0</c:formatCode>
                <c:ptCount val="21"/>
                <c:pt idx="0">
                  <c:v>34.214945434330716</c:v>
                </c:pt>
                <c:pt idx="1">
                  <c:v>16.290997755506311</c:v>
                </c:pt>
                <c:pt idx="2">
                  <c:v>6.6988610700197402</c:v>
                </c:pt>
                <c:pt idx="3">
                  <c:v>5.3996601817588905</c:v>
                </c:pt>
                <c:pt idx="4">
                  <c:v>3.823558966160713</c:v>
                </c:pt>
                <c:pt idx="5">
                  <c:v>3.5684763181915269</c:v>
                </c:pt>
                <c:pt idx="6">
                  <c:v>3.4699539156404771</c:v>
                </c:pt>
                <c:pt idx="7">
                  <c:v>2.9832165668242112</c:v>
                </c:pt>
                <c:pt idx="8">
                  <c:v>2.1564517728386421</c:v>
                </c:pt>
                <c:pt idx="9">
                  <c:v>1.8100716877211931</c:v>
                </c:pt>
                <c:pt idx="10">
                  <c:v>1.4238091515911542</c:v>
                </c:pt>
                <c:pt idx="11">
                  <c:v>1.2459996681256846</c:v>
                </c:pt>
                <c:pt idx="12">
                  <c:v>1.2013018930775849</c:v>
                </c:pt>
                <c:pt idx="13">
                  <c:v>1.1131577131231241</c:v>
                </c:pt>
                <c:pt idx="14">
                  <c:v>1.1079567879192431</c:v>
                </c:pt>
                <c:pt idx="15">
                  <c:v>1.0519268031773104</c:v>
                </c:pt>
                <c:pt idx="16">
                  <c:v>1.0015785711721485</c:v>
                </c:pt>
                <c:pt idx="17">
                  <c:v>0.87853822232552714</c:v>
                </c:pt>
                <c:pt idx="18">
                  <c:v>0.8363378593211549</c:v>
                </c:pt>
                <c:pt idx="19">
                  <c:v>0.81079280990133362</c:v>
                </c:pt>
                <c:pt idx="20">
                  <c:v>0.77179802525578156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137856"/>
        <c:axId val="100818240"/>
      </c:barChart>
      <c:catAx>
        <c:axId val="861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8240"/>
        <c:crosses val="autoZero"/>
        <c:auto val="1"/>
        <c:lblAlgn val="ctr"/>
        <c:lblOffset val="100"/>
        <c:noMultiLvlLbl val="0"/>
      </c:catAx>
      <c:valAx>
        <c:axId val="100818240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37856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4785011629643841E-2"/>
          <c:y val="0.85665627734033245"/>
          <c:w val="0.89206367496745831"/>
          <c:h val="8.1852580927384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septembrie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401312621305361"/>
          <c:y val="5.22294180683035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6'!$B$45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6.1973380302924069E-2"/>
                  <c:y val="3.95505734614920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9141325611910673E-2"/>
                  <c:y val="-8.9470373490923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2832439940281227E-2"/>
                  <c:y val="-0.153121635294946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9.4591536895450801E-2"/>
                  <c:y val="-0.13360616166981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9570662805955338"/>
                  <c:y val="-4.70261721154184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4789506220876767"/>
                  <c:y val="2.28698937951263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7939774238792386"/>
                  <c:y val="9.5934735891573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8.1544428358147236E-2"/>
                  <c:y val="0.115161595924769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9570662805955336E-2"/>
                  <c:y val="9.8585090656771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3.2617771343258894E-3"/>
                  <c:y val="2.7176215042085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9.7852029865550492E-3"/>
                  <c:y val="-7.015219267810689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16772828523238"/>
                      <c:h val="0.19764375170124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7.1759096955169577E-2"/>
                  <c:y val="-0.140065510650715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3047108537303553"/>
                  <c:y val="-3.94087231734121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6'!$A$46:$A$58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6'!$B$46:$B$58</c:f>
              <c:numCache>
                <c:formatCode>0.0</c:formatCode>
                <c:ptCount val="13"/>
                <c:pt idx="0">
                  <c:v>15.4</c:v>
                </c:pt>
                <c:pt idx="1">
                  <c:v>11.6</c:v>
                </c:pt>
                <c:pt idx="2">
                  <c:v>9.9</c:v>
                </c:pt>
                <c:pt idx="3">
                  <c:v>8.1</c:v>
                </c:pt>
                <c:pt idx="4">
                  <c:v>7.3</c:v>
                </c:pt>
                <c:pt idx="5">
                  <c:v>6.5</c:v>
                </c:pt>
                <c:pt idx="6">
                  <c:v>6.4</c:v>
                </c:pt>
                <c:pt idx="7">
                  <c:v>5</c:v>
                </c:pt>
                <c:pt idx="8">
                  <c:v>3.6</c:v>
                </c:pt>
                <c:pt idx="9">
                  <c:v>2.8</c:v>
                </c:pt>
                <c:pt idx="10">
                  <c:v>2.1</c:v>
                </c:pt>
                <c:pt idx="11">
                  <c:v>1.8</c:v>
                </c:pt>
                <c:pt idx="12" formatCode="#,##0.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septembrie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129706031510515"/>
          <c:y val="9.07556527105499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6'!$B$30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Lbls>
            <c:dLbl>
              <c:idx val="0"/>
              <c:layout>
                <c:manualLayout>
                  <c:x val="-3.6035658402021997E-2"/>
                  <c:y val="5.4852143482064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3.2760041210584123E-2"/>
                  <c:y val="8.2720529499030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3.2761330975984914E-3"/>
                  <c:y val="-0.103929949932729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8.8452111268577133E-2"/>
                  <c:y val="-0.1228522905225082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4086791925243133"/>
                  <c:y val="-2.79797378268892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2527305623325562"/>
                  <c:y val="2.513553197154703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2172145504109966"/>
                  <c:y val="0.162415286324503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9.5004119510693957E-2"/>
                  <c:y val="0.21742899784585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1.6380020605292062E-2"/>
                  <c:y val="0.182781858150084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0"/>
                  <c:y val="0.103172103487064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1.6380020605292062E-3"/>
                  <c:y val="-8.4254174110592536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45364557349933"/>
                      <c:h val="0.214821382621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6.5520082421168233E-2"/>
                  <c:y val="-0.108031790143879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9.828012363175237E-2"/>
                  <c:y val="-2.6663431776910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6'!$A$31:$A$43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Seminţe şi fructe oleaginoase</c:v>
                </c:pt>
                <c:pt idx="6">
                  <c:v>Grăsimi şi uleiuri vegetale 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6'!$B$31:$B$43</c:f>
              <c:numCache>
                <c:formatCode>0.0</c:formatCode>
                <c:ptCount val="13"/>
                <c:pt idx="0">
                  <c:v>12.3</c:v>
                </c:pt>
                <c:pt idx="1">
                  <c:v>11.7</c:v>
                </c:pt>
                <c:pt idx="2">
                  <c:v>12.1</c:v>
                </c:pt>
                <c:pt idx="3">
                  <c:v>7.9</c:v>
                </c:pt>
                <c:pt idx="4">
                  <c:v>6.7</c:v>
                </c:pt>
                <c:pt idx="5">
                  <c:v>9.9</c:v>
                </c:pt>
                <c:pt idx="6">
                  <c:v>8.6</c:v>
                </c:pt>
                <c:pt idx="7">
                  <c:v>3.9</c:v>
                </c:pt>
                <c:pt idx="8">
                  <c:v>3.3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 formatCode="#,##0.0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  <c:pt idx="5">
                  <c:v>639.5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  <c:pt idx="5">
                  <c:v>698.6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  <c:pt idx="5">
                  <c:v>700.8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1536"/>
        <c:axId val="126078912"/>
      </c:barChart>
      <c:catAx>
        <c:axId val="128641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78912"/>
        <c:crosses val="autoZero"/>
        <c:auto val="0"/>
        <c:lblAlgn val="ctr"/>
        <c:lblOffset val="100"/>
        <c:tickLblSkip val="1"/>
        <c:noMultiLvlLbl val="0"/>
      </c:catAx>
      <c:valAx>
        <c:axId val="1260789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64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'Figura 8'!$B$23:$AH$24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8'!$B$25:$AH$25</c:f>
              <c:numCache>
                <c:formatCode>#,##0.0</c:formatCode>
                <c:ptCount val="33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83.926621848561766</c:v>
                </c:pt>
                <c:pt idx="25" formatCode="0.0">
                  <c:v>102.61098940878497</c:v>
                </c:pt>
                <c:pt idx="26" formatCode="0.0">
                  <c:v>109.12124896586097</c:v>
                </c:pt>
                <c:pt idx="27" formatCode="0.0">
                  <c:v>84.077689172306663</c:v>
                </c:pt>
                <c:pt idx="28" formatCode="0.0">
                  <c:v>102.7218186786998</c:v>
                </c:pt>
                <c:pt idx="29" formatCode="0.0">
                  <c:v>93.852966657563073</c:v>
                </c:pt>
                <c:pt idx="30" formatCode="0.0">
                  <c:v>96.089832364595196</c:v>
                </c:pt>
                <c:pt idx="31" formatCode="0.0">
                  <c:v>109.23682989386666</c:v>
                </c:pt>
                <c:pt idx="32" formatCode="0.0">
                  <c:v>100.31669475748831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8'!$B$23:$AH$24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8'!$B$26:$AH$26</c:f>
              <c:numCache>
                <c:formatCode>#,##0.0</c:formatCode>
                <c:ptCount val="33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117.96075072735046</c:v>
                </c:pt>
                <c:pt idx="25" formatCode="0.0">
                  <c:v>112.46174232268726</c:v>
                </c:pt>
                <c:pt idx="26" formatCode="0.0">
                  <c:v>109.73131291449928</c:v>
                </c:pt>
                <c:pt idx="27" formatCode="0.0">
                  <c:v>89.607651676701252</c:v>
                </c:pt>
                <c:pt idx="28" formatCode="0.0">
                  <c:v>91.780546711204167</c:v>
                </c:pt>
                <c:pt idx="29" formatCode="0.0">
                  <c:v>86.615591234603144</c:v>
                </c:pt>
                <c:pt idx="30" formatCode="0.0">
                  <c:v>84.03316568775648</c:v>
                </c:pt>
                <c:pt idx="31" formatCode="0.0">
                  <c:v>89.56992398502193</c:v>
                </c:pt>
                <c:pt idx="32" formatCode="0.0">
                  <c:v>83.022449645230978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75776"/>
        <c:axId val="126082368"/>
      </c:lineChart>
      <c:catAx>
        <c:axId val="12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82368"/>
        <c:crossesAt val="30"/>
        <c:auto val="1"/>
        <c:lblAlgn val="ctr"/>
        <c:lblOffset val="100"/>
        <c:noMultiLvlLbl val="0"/>
      </c:catAx>
      <c:valAx>
        <c:axId val="12608236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75776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400049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95250</xdr:rowOff>
    </xdr:from>
    <xdr:to>
      <xdr:col>8</xdr:col>
      <xdr:colOff>66675</xdr:colOff>
      <xdr:row>24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85724</xdr:rowOff>
    </xdr:from>
    <xdr:to>
      <xdr:col>1</xdr:col>
      <xdr:colOff>781050</xdr:colOff>
      <xdr:row>24</xdr:row>
      <xdr:rowOff>114299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142874</xdr:rowOff>
    </xdr:from>
    <xdr:to>
      <xdr:col>19</xdr:col>
      <xdr:colOff>419100</xdr:colOff>
      <xdr:row>21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726042</xdr:colOff>
      <xdr:row>2</xdr:row>
      <xdr:rowOff>57150</xdr:rowOff>
    </xdr:from>
    <xdr:to>
      <xdr:col>7</xdr:col>
      <xdr:colOff>323850</xdr:colOff>
      <xdr:row>23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742949</xdr:colOff>
      <xdr:row>23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RowHeight="12" x14ac:dyDescent="0.2"/>
  <cols>
    <col min="1" max="1" width="9" style="3" customWidth="1"/>
    <col min="2" max="2" width="9.5703125" style="3" customWidth="1"/>
    <col min="3" max="4" width="9.85546875" style="3" customWidth="1"/>
    <col min="5" max="5" width="9.28515625" style="3" customWidth="1"/>
    <col min="6" max="6" width="9.85546875" style="3" customWidth="1"/>
    <col min="7" max="7" width="9.140625" style="3" customWidth="1"/>
    <col min="8" max="8" width="8.7109375" style="3" customWidth="1"/>
    <col min="9" max="9" width="9.140625" style="3" customWidth="1"/>
    <col min="10" max="10" width="11" style="3" customWidth="1"/>
    <col min="11" max="11" width="10.140625" style="3" customWidth="1"/>
    <col min="12" max="12" width="9.85546875" style="3" customWidth="1"/>
    <col min="13" max="13" width="10.4257812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60" t="s">
        <v>84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x14ac:dyDescent="0.2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x14ac:dyDescent="0.2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x14ac:dyDescent="0.2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x14ac:dyDescent="0.2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x14ac:dyDescent="0.2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x14ac:dyDescent="0.2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x14ac:dyDescent="0.2">
      <c r="A27" s="29">
        <v>2023</v>
      </c>
      <c r="B27" s="10">
        <v>331.1</v>
      </c>
      <c r="C27" s="10">
        <v>356</v>
      </c>
      <c r="D27" s="10">
        <v>384.9</v>
      </c>
      <c r="E27" s="10">
        <v>317.10000000000002</v>
      </c>
      <c r="F27" s="35">
        <v>336.5</v>
      </c>
      <c r="G27" s="35">
        <v>316.60000000000002</v>
      </c>
      <c r="H27" s="35">
        <v>304.2</v>
      </c>
      <c r="I27" s="35">
        <v>322.3</v>
      </c>
      <c r="J27" s="35">
        <v>346.2</v>
      </c>
      <c r="K27" s="35"/>
      <c r="L27" s="35"/>
      <c r="M27" s="36"/>
    </row>
    <row r="28" spans="1:21" x14ac:dyDescent="0.2">
      <c r="D28" s="6"/>
      <c r="E28" s="6"/>
    </row>
    <row r="31" spans="1:21" ht="15.75" x14ac:dyDescent="0.25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RowHeight="12" x14ac:dyDescent="0.2"/>
  <cols>
    <col min="1" max="1" width="24" style="3" customWidth="1"/>
    <col min="2" max="7" width="14" style="3" customWidth="1"/>
    <col min="8" max="16384" width="9.140625" style="3"/>
  </cols>
  <sheetData>
    <row r="2" spans="1:13" ht="12.75" x14ac:dyDescent="0.2">
      <c r="A2" s="166" t="s">
        <v>112</v>
      </c>
      <c r="B2" s="166"/>
      <c r="C2" s="166"/>
      <c r="D2" s="166"/>
      <c r="E2" s="166"/>
      <c r="F2" s="166"/>
      <c r="G2" s="166"/>
      <c r="H2" s="39"/>
      <c r="I2" s="39"/>
      <c r="J2" s="39"/>
      <c r="K2" s="39"/>
      <c r="L2" s="39"/>
      <c r="M2" s="39"/>
    </row>
    <row r="3" spans="1:13" ht="16.5" customHeight="1" x14ac:dyDescent="0.2">
      <c r="A3" s="4"/>
      <c r="B3" s="4"/>
      <c r="C3" s="4"/>
      <c r="D3" s="4"/>
      <c r="E3" s="4"/>
      <c r="F3" s="4"/>
      <c r="G3" s="4"/>
    </row>
    <row r="4" spans="1:13" ht="16.5" customHeight="1" x14ac:dyDescent="0.2">
      <c r="A4" s="4"/>
      <c r="B4" s="4"/>
      <c r="C4" s="4"/>
      <c r="D4" s="4"/>
      <c r="E4" s="4"/>
      <c r="F4" s="4"/>
      <c r="G4" s="4"/>
    </row>
    <row r="5" spans="1:13" ht="16.5" customHeight="1" x14ac:dyDescent="0.2">
      <c r="A5" s="4"/>
      <c r="B5" s="4"/>
      <c r="C5" s="4"/>
      <c r="D5" s="4"/>
      <c r="E5" s="4"/>
      <c r="F5" s="4"/>
      <c r="G5" s="4"/>
    </row>
    <row r="6" spans="1:13" ht="16.5" customHeight="1" x14ac:dyDescent="0.2">
      <c r="A6" s="4"/>
      <c r="B6" s="4"/>
      <c r="C6" s="4"/>
      <c r="D6" s="4"/>
      <c r="E6" s="4"/>
      <c r="F6" s="4"/>
      <c r="G6" s="4"/>
    </row>
    <row r="7" spans="1:13" ht="16.5" customHeight="1" x14ac:dyDescent="0.2">
      <c r="A7" s="4"/>
      <c r="B7" s="4"/>
      <c r="C7" s="4"/>
      <c r="D7" s="4"/>
      <c r="E7" s="4"/>
      <c r="F7" s="4"/>
      <c r="G7" s="4"/>
    </row>
    <row r="8" spans="1:13" ht="16.5" customHeight="1" x14ac:dyDescent="0.2">
      <c r="A8" s="4"/>
      <c r="B8" s="4"/>
      <c r="C8" s="4"/>
      <c r="D8" s="4"/>
      <c r="E8" s="4"/>
      <c r="F8" s="4"/>
      <c r="G8" s="4"/>
    </row>
    <row r="9" spans="1:13" ht="16.5" customHeight="1" x14ac:dyDescent="0.2">
      <c r="A9" s="4"/>
      <c r="B9" s="4"/>
      <c r="C9" s="4"/>
      <c r="D9" s="4"/>
      <c r="E9" s="4"/>
      <c r="F9" s="4"/>
      <c r="G9" s="4"/>
    </row>
    <row r="10" spans="1:13" ht="16.5" customHeight="1" x14ac:dyDescent="0.2">
      <c r="A10" s="4"/>
      <c r="B10" s="4"/>
      <c r="C10" s="4"/>
      <c r="D10" s="4"/>
      <c r="E10" s="4"/>
      <c r="F10" s="4"/>
      <c r="G10" s="4"/>
    </row>
    <row r="11" spans="1:13" ht="16.5" customHeight="1" x14ac:dyDescent="0.2">
      <c r="A11" s="4"/>
      <c r="B11" s="4"/>
      <c r="C11" s="4"/>
      <c r="D11" s="4"/>
      <c r="E11" s="4"/>
      <c r="F11" s="4"/>
      <c r="G11" s="4"/>
    </row>
    <row r="12" spans="1:13" ht="16.5" customHeight="1" x14ac:dyDescent="0.2">
      <c r="A12" s="4"/>
      <c r="B12" s="4"/>
      <c r="C12" s="4"/>
      <c r="D12" s="4"/>
      <c r="E12" s="4"/>
      <c r="F12" s="4"/>
      <c r="G12" s="4"/>
    </row>
    <row r="13" spans="1:13" ht="16.5" customHeight="1" x14ac:dyDescent="0.2">
      <c r="A13" s="4"/>
      <c r="B13" s="4"/>
      <c r="C13" s="4"/>
      <c r="D13" s="4"/>
      <c r="E13" s="4"/>
      <c r="F13" s="4"/>
      <c r="G13" s="4"/>
    </row>
    <row r="14" spans="1:13" ht="16.5" customHeight="1" x14ac:dyDescent="0.2">
      <c r="A14" s="4"/>
      <c r="B14" s="4"/>
      <c r="C14" s="4"/>
      <c r="D14" s="4"/>
      <c r="E14" s="4"/>
      <c r="F14" s="4"/>
      <c r="G14" s="4"/>
    </row>
    <row r="15" spans="1:13" ht="16.5" customHeight="1" x14ac:dyDescent="0.2">
      <c r="A15" s="4"/>
      <c r="B15" s="4"/>
      <c r="C15" s="4"/>
      <c r="D15" s="4"/>
      <c r="E15" s="4"/>
      <c r="F15" s="4"/>
      <c r="G15" s="4"/>
    </row>
    <row r="16" spans="1:13" ht="16.5" customHeight="1" x14ac:dyDescent="0.2">
      <c r="A16" s="4"/>
      <c r="B16" s="4"/>
      <c r="C16" s="4"/>
      <c r="D16" s="4"/>
      <c r="E16" s="4"/>
      <c r="F16" s="4"/>
      <c r="G16" s="4"/>
    </row>
    <row r="17" spans="1:7" ht="16.5" customHeight="1" x14ac:dyDescent="0.2">
      <c r="A17" s="4"/>
      <c r="B17" s="4"/>
      <c r="C17" s="4"/>
      <c r="D17" s="4"/>
      <c r="E17" s="4"/>
      <c r="F17" s="4"/>
      <c r="G17" s="4"/>
    </row>
    <row r="18" spans="1:7" ht="16.5" customHeight="1" x14ac:dyDescent="0.2">
      <c r="A18" s="4"/>
      <c r="B18" s="4"/>
      <c r="C18" s="4"/>
      <c r="D18" s="4"/>
      <c r="E18" s="4"/>
      <c r="F18" s="4"/>
      <c r="G18" s="4"/>
    </row>
    <row r="19" spans="1:7" ht="16.5" customHeight="1" x14ac:dyDescent="0.2">
      <c r="A19" s="4"/>
      <c r="B19" s="4"/>
      <c r="C19" s="4"/>
      <c r="D19" s="4"/>
      <c r="E19" s="4"/>
      <c r="F19" s="4"/>
      <c r="G19" s="4"/>
    </row>
    <row r="20" spans="1:7" ht="16.5" customHeight="1" x14ac:dyDescent="0.2">
      <c r="A20" s="4"/>
      <c r="B20" s="4"/>
      <c r="C20" s="4"/>
      <c r="D20" s="4"/>
      <c r="E20" s="4"/>
      <c r="F20" s="4"/>
      <c r="G20" s="4"/>
    </row>
    <row r="21" spans="1:7" ht="16.5" customHeight="1" x14ac:dyDescent="0.2">
      <c r="A21" s="2"/>
      <c r="B21" s="2"/>
      <c r="C21" s="2"/>
      <c r="D21" s="2"/>
      <c r="E21" s="2"/>
      <c r="F21" s="2"/>
      <c r="G21" s="2"/>
    </row>
    <row r="22" spans="1:7" ht="16.5" customHeight="1" x14ac:dyDescent="0.2">
      <c r="A22" s="2"/>
      <c r="B22" s="2"/>
      <c r="C22" s="2"/>
      <c r="D22" s="2"/>
      <c r="E22" s="2"/>
      <c r="F22" s="2"/>
      <c r="G22" s="2"/>
    </row>
    <row r="23" spans="1:7" ht="34.5" customHeight="1" x14ac:dyDescent="0.2">
      <c r="A23" s="38" t="s">
        <v>25</v>
      </c>
      <c r="B23" s="24" t="s">
        <v>99</v>
      </c>
      <c r="C23" s="24" t="s">
        <v>100</v>
      </c>
      <c r="D23" s="24" t="s">
        <v>101</v>
      </c>
      <c r="E23" s="24" t="s">
        <v>102</v>
      </c>
      <c r="F23" s="24" t="s">
        <v>103</v>
      </c>
      <c r="G23" s="24" t="s">
        <v>104</v>
      </c>
    </row>
    <row r="24" spans="1:7" x14ac:dyDescent="0.2">
      <c r="A24" s="30" t="s">
        <v>26</v>
      </c>
      <c r="B24" s="128">
        <v>8.1</v>
      </c>
      <c r="C24" s="118">
        <v>7.5</v>
      </c>
      <c r="D24" s="118">
        <v>3.2</v>
      </c>
      <c r="E24" s="118">
        <v>1.6</v>
      </c>
      <c r="F24" s="118">
        <v>2.2000000000000002</v>
      </c>
      <c r="G24" s="129">
        <v>3</v>
      </c>
    </row>
    <row r="25" spans="1:7" x14ac:dyDescent="0.2">
      <c r="A25" s="31" t="s">
        <v>27</v>
      </c>
      <c r="B25" s="130">
        <v>3.9</v>
      </c>
      <c r="C25" s="141">
        <v>4.8</v>
      </c>
      <c r="D25" s="141">
        <v>4.8</v>
      </c>
      <c r="E25" s="141">
        <v>5.0999999999999996</v>
      </c>
      <c r="F25" s="141">
        <v>4.9000000000000004</v>
      </c>
      <c r="G25" s="131">
        <v>5.8</v>
      </c>
    </row>
    <row r="26" spans="1:7" x14ac:dyDescent="0.2">
      <c r="A26" s="31" t="s">
        <v>28</v>
      </c>
      <c r="B26" s="130">
        <v>78.900000000000006</v>
      </c>
      <c r="C26" s="141">
        <v>76.2</v>
      </c>
      <c r="D26" s="141">
        <v>85.5</v>
      </c>
      <c r="E26" s="141">
        <v>87</v>
      </c>
      <c r="F26" s="141">
        <v>84.8</v>
      </c>
      <c r="G26" s="131">
        <v>83.3</v>
      </c>
    </row>
    <row r="27" spans="1:7" x14ac:dyDescent="0.2">
      <c r="A27" s="31" t="s">
        <v>29</v>
      </c>
      <c r="B27" s="130">
        <v>1.9</v>
      </c>
      <c r="C27" s="141">
        <v>1.7</v>
      </c>
      <c r="D27" s="141">
        <v>2.4</v>
      </c>
      <c r="E27" s="141">
        <v>2.2999999999999998</v>
      </c>
      <c r="F27" s="141">
        <v>2.6</v>
      </c>
      <c r="G27" s="131">
        <v>2.6</v>
      </c>
    </row>
    <row r="28" spans="1:7" x14ac:dyDescent="0.2">
      <c r="A28" s="31" t="s">
        <v>45</v>
      </c>
      <c r="B28" s="130">
        <v>0.1</v>
      </c>
      <c r="C28" s="141">
        <v>0.1</v>
      </c>
      <c r="D28" s="141">
        <v>0.2</v>
      </c>
      <c r="E28" s="141">
        <v>0.3</v>
      </c>
      <c r="F28" s="141">
        <v>0.2</v>
      </c>
      <c r="G28" s="131">
        <v>0.3</v>
      </c>
    </row>
    <row r="29" spans="1:7" x14ac:dyDescent="0.2">
      <c r="A29" s="31" t="s">
        <v>46</v>
      </c>
      <c r="B29" s="130">
        <v>6.4</v>
      </c>
      <c r="C29" s="141">
        <v>9.1</v>
      </c>
      <c r="D29" s="141">
        <v>3.3</v>
      </c>
      <c r="E29" s="141">
        <v>3.2</v>
      </c>
      <c r="F29" s="141">
        <v>4.5999999999999996</v>
      </c>
      <c r="G29" s="131">
        <v>4.4000000000000004</v>
      </c>
    </row>
    <row r="30" spans="1:7" x14ac:dyDescent="0.2">
      <c r="A30" s="32" t="s">
        <v>47</v>
      </c>
      <c r="B30" s="117">
        <v>0.7</v>
      </c>
      <c r="C30" s="120">
        <v>0.6</v>
      </c>
      <c r="D30" s="120">
        <v>0.6</v>
      </c>
      <c r="E30" s="120">
        <v>0.5</v>
      </c>
      <c r="F30" s="120">
        <v>0.7</v>
      </c>
      <c r="G30" s="132">
        <v>0.6</v>
      </c>
    </row>
    <row r="35" spans="2:7" ht="15" x14ac:dyDescent="0.2">
      <c r="B35" s="50"/>
      <c r="C35" s="50"/>
      <c r="D35" s="51"/>
      <c r="E35" s="51"/>
      <c r="F35" s="51"/>
      <c r="G35" s="51"/>
    </row>
    <row r="36" spans="2:7" ht="15" x14ac:dyDescent="0.2">
      <c r="B36" s="50"/>
      <c r="C36" s="50"/>
      <c r="D36" s="51"/>
      <c r="E36" s="51"/>
      <c r="F36" s="51"/>
      <c r="G36" s="51"/>
    </row>
    <row r="37" spans="2:7" ht="15" x14ac:dyDescent="0.2">
      <c r="B37" s="50"/>
      <c r="C37" s="50"/>
      <c r="D37" s="51"/>
      <c r="E37" s="51"/>
      <c r="F37" s="51"/>
      <c r="G37" s="51"/>
    </row>
    <row r="38" spans="2:7" ht="15" x14ac:dyDescent="0.2">
      <c r="B38" s="50"/>
      <c r="C38" s="50"/>
      <c r="D38" s="51"/>
      <c r="E38" s="51"/>
      <c r="F38" s="51"/>
      <c r="G38" s="51"/>
    </row>
    <row r="39" spans="2:7" ht="15" x14ac:dyDescent="0.2">
      <c r="B39" s="50"/>
      <c r="C39" s="50"/>
      <c r="D39" s="51"/>
      <c r="E39" s="51"/>
      <c r="F39" s="51"/>
      <c r="G39" s="51"/>
    </row>
    <row r="40" spans="2:7" ht="15" x14ac:dyDescent="0.2">
      <c r="B40" s="50"/>
      <c r="C40" s="50"/>
      <c r="D40" s="51"/>
      <c r="E40" s="51"/>
      <c r="F40" s="51"/>
      <c r="G40" s="51"/>
    </row>
    <row r="41" spans="2:7" ht="15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6.42578125" style="3" bestFit="1" customWidth="1"/>
    <col min="2" max="7" width="14.140625" style="3" customWidth="1"/>
    <col min="8" max="16384" width="9.140625" style="3"/>
  </cols>
  <sheetData>
    <row r="2" spans="1:13" ht="12.75" x14ac:dyDescent="0.2">
      <c r="A2" s="175" t="s">
        <v>113</v>
      </c>
      <c r="B2" s="175"/>
      <c r="C2" s="175"/>
      <c r="D2" s="175"/>
      <c r="E2" s="175"/>
      <c r="F2" s="175"/>
      <c r="G2" s="175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34.5" customHeight="1" x14ac:dyDescent="0.2">
      <c r="A22" s="20"/>
      <c r="B22" s="9" t="s">
        <v>104</v>
      </c>
      <c r="C22" s="9" t="s">
        <v>103</v>
      </c>
      <c r="D22" s="9" t="s">
        <v>102</v>
      </c>
      <c r="E22" s="9" t="s">
        <v>101</v>
      </c>
      <c r="F22" s="9" t="s">
        <v>100</v>
      </c>
      <c r="G22" s="9" t="s">
        <v>99</v>
      </c>
    </row>
    <row r="23" spans="1:7" ht="15" customHeight="1" x14ac:dyDescent="0.2">
      <c r="A23" s="16" t="s">
        <v>48</v>
      </c>
      <c r="B23" s="144">
        <v>49.4</v>
      </c>
      <c r="C23" s="145">
        <v>49</v>
      </c>
      <c r="D23" s="145">
        <v>45.7</v>
      </c>
      <c r="E23" s="146">
        <v>45.8</v>
      </c>
      <c r="F23" s="146">
        <v>45.7</v>
      </c>
      <c r="G23" s="147">
        <v>48.5</v>
      </c>
    </row>
    <row r="24" spans="1:7" ht="15" customHeight="1" x14ac:dyDescent="0.2">
      <c r="A24" s="17" t="s">
        <v>49</v>
      </c>
      <c r="B24" s="148">
        <v>24.3</v>
      </c>
      <c r="C24" s="149">
        <v>24.1</v>
      </c>
      <c r="D24" s="149">
        <v>25</v>
      </c>
      <c r="E24" s="150">
        <v>24.3</v>
      </c>
      <c r="F24" s="150">
        <v>25.5</v>
      </c>
      <c r="G24" s="151">
        <v>18.399999999999999</v>
      </c>
    </row>
    <row r="25" spans="1:7" ht="15.75" customHeight="1" x14ac:dyDescent="0.2">
      <c r="A25" s="18" t="s">
        <v>50</v>
      </c>
      <c r="B25" s="152">
        <v>26.3</v>
      </c>
      <c r="C25" s="153">
        <v>26.9</v>
      </c>
      <c r="D25" s="153">
        <v>29.3</v>
      </c>
      <c r="E25" s="154">
        <v>29.9</v>
      </c>
      <c r="F25" s="154">
        <v>28.8</v>
      </c>
      <c r="G25" s="155">
        <v>33.1</v>
      </c>
    </row>
    <row r="26" spans="1:7" x14ac:dyDescent="0.2">
      <c r="G26" s="6"/>
    </row>
    <row r="27" spans="1:7" x14ac:dyDescent="0.2">
      <c r="C27" s="133"/>
    </row>
    <row r="30" spans="1:7" ht="15.75" x14ac:dyDescent="0.2">
      <c r="B30" s="53"/>
      <c r="C30" s="53"/>
      <c r="D30" s="53"/>
      <c r="E30" s="53"/>
      <c r="F30" s="53"/>
      <c r="G30" s="53"/>
    </row>
    <row r="31" spans="1:7" ht="15.75" x14ac:dyDescent="0.2">
      <c r="B31" s="53"/>
      <c r="C31" s="53"/>
      <c r="D31" s="53"/>
      <c r="E31" s="53"/>
      <c r="F31" s="53"/>
      <c r="G31" s="53"/>
    </row>
    <row r="32" spans="1:7" ht="15.75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6"/>
  <sheetViews>
    <sheetView workbookViewId="0">
      <selection activeCell="A2" sqref="A2:G2"/>
    </sheetView>
  </sheetViews>
  <sheetFormatPr defaultRowHeight="12" x14ac:dyDescent="0.2"/>
  <cols>
    <col min="1" max="1" width="22.85546875" style="3" customWidth="1"/>
    <col min="2" max="7" width="14.140625" style="3" customWidth="1"/>
    <col min="8" max="16384" width="9.140625" style="3"/>
  </cols>
  <sheetData>
    <row r="2" spans="1:10" ht="13.5" customHeight="1" x14ac:dyDescent="0.2">
      <c r="A2" s="166" t="s">
        <v>114</v>
      </c>
      <c r="B2" s="166"/>
      <c r="C2" s="166"/>
      <c r="D2" s="166"/>
      <c r="E2" s="166"/>
      <c r="F2" s="166"/>
      <c r="G2" s="166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39.75" customHeight="1" x14ac:dyDescent="0.2">
      <c r="A24" s="37"/>
      <c r="B24" s="9" t="s">
        <v>104</v>
      </c>
      <c r="C24" s="9" t="s">
        <v>103</v>
      </c>
      <c r="D24" s="9" t="s">
        <v>102</v>
      </c>
      <c r="E24" s="9" t="s">
        <v>101</v>
      </c>
      <c r="F24" s="9" t="s">
        <v>100</v>
      </c>
      <c r="G24" s="9" t="s">
        <v>99</v>
      </c>
    </row>
    <row r="25" spans="1:7" x14ac:dyDescent="0.2">
      <c r="A25" s="157" t="s">
        <v>33</v>
      </c>
      <c r="B25" s="135">
        <f>IF(621271.5898="","-",621271.5898/4177554.78501*100)</f>
        <v>14.871656310271769</v>
      </c>
      <c r="C25" s="135">
        <f>IF(625180.76675="","-",625180.76675/4273352.38515*100)</f>
        <v>14.629749910691142</v>
      </c>
      <c r="D25" s="135">
        <f>IF(455838.18818="","-",455838.18818/3832218.99595*100)</f>
        <v>11.894888801024758</v>
      </c>
      <c r="E25" s="135">
        <f>IF(609858.09756="","-",609858.09756/5074244.25964*100)</f>
        <v>12.018698082998224</v>
      </c>
      <c r="F25" s="135">
        <f>IF(1134768.88777="","-",1134768.88777/6735746.11893*100)</f>
        <v>16.846966434510787</v>
      </c>
      <c r="G25" s="136">
        <f>IF(984700.44142="","-",984700.44142/6410995.1048*100)</f>
        <v>15.359556906894865</v>
      </c>
    </row>
    <row r="26" spans="1:7" x14ac:dyDescent="0.2">
      <c r="A26" s="158" t="s">
        <v>38</v>
      </c>
      <c r="B26" s="156">
        <f>IF(419405.89098="","-",419405.89098/4177554.78501*100)</f>
        <v>10.03950666272342</v>
      </c>
      <c r="C26" s="156">
        <f>IF(425148.55787="","-",425148.55787/4273352.38515*100)</f>
        <v>9.9488298542240798</v>
      </c>
      <c r="D26" s="156">
        <f>IF(381779.70404="","-",381779.70404/3832218.99595*100)</f>
        <v>9.9623665673458603</v>
      </c>
      <c r="E26" s="156">
        <f>IF(473962.52068="","-",473962.52068/5074244.25964*100)</f>
        <v>9.3405539116405496</v>
      </c>
      <c r="F26" s="156">
        <f>IF(661189.90468="","-",661189.90468/6735746.11893*100)</f>
        <v>9.8161345900761567</v>
      </c>
      <c r="G26" s="137">
        <f>IF(758244.07889="","-",758244.07889/6410995.1048*100)</f>
        <v>11.827244702188155</v>
      </c>
    </row>
    <row r="27" spans="1:7" x14ac:dyDescent="0.2">
      <c r="A27" s="158" t="s">
        <v>94</v>
      </c>
      <c r="B27" s="156">
        <f>IF(438064.24196="","-",438064.24196/4177554.78501*100)</f>
        <v>10.486139967137531</v>
      </c>
      <c r="C27" s="156">
        <f>IF(436811.81351="","-",436811.81351/4273352.38515*100)</f>
        <v>10.221759736639816</v>
      </c>
      <c r="D27" s="156">
        <f>IF(447982.60931="","-",447982.60931/3832218.99595*100)</f>
        <v>11.689901067330469</v>
      </c>
      <c r="E27" s="156">
        <f>IF(597081.26886="","-",597081.26886/5074244.25964*100)</f>
        <v>11.766900415281956</v>
      </c>
      <c r="F27" s="156">
        <f>IF(687306.65642="","-",687306.65642/6735746.11893*100)</f>
        <v>10.203868202342244</v>
      </c>
      <c r="G27" s="137">
        <f>IF(725779.48312="","-",725779.48312/6410995.1048*100)</f>
        <v>11.320855362634717</v>
      </c>
    </row>
    <row r="28" spans="1:7" x14ac:dyDescent="0.2">
      <c r="A28" s="158" t="s">
        <v>35</v>
      </c>
      <c r="B28" s="156">
        <f>IF(239051.49964="","-",239051.49964/4177554.78501*100)</f>
        <v>5.7222828171582609</v>
      </c>
      <c r="C28" s="156">
        <f>IF(281399.22188="","-",281399.22188/4273352.38515*100)</f>
        <v>6.5849758343793248</v>
      </c>
      <c r="D28" s="156">
        <f>IF(262413.94316="","-",262413.94316/3832218.99595*100)</f>
        <v>6.8475716924666017</v>
      </c>
      <c r="E28" s="156">
        <f>IF(379169.15553="","-",379169.15553/5074244.25964*100)</f>
        <v>7.4724261609925087</v>
      </c>
      <c r="F28" s="156">
        <f>IF(477318.72919="","-",477318.72919/6735746.11893*100)</f>
        <v>7.0863527330484359</v>
      </c>
      <c r="G28" s="137">
        <f>IF(564455.50142="","-",564455.50142/6410995.1048*100)</f>
        <v>8.8044912247302207</v>
      </c>
    </row>
    <row r="29" spans="1:7" x14ac:dyDescent="0.2">
      <c r="A29" s="158" t="s">
        <v>34</v>
      </c>
      <c r="B29" s="156">
        <f>IF(354267.53604="","-",354267.53604/4177554.78501*100)</f>
        <v>8.4802606852982763</v>
      </c>
      <c r="C29" s="156">
        <f>IF(358007.14578="","-",358007.14578/4273352.38515*100)</f>
        <v>8.3776649691722884</v>
      </c>
      <c r="D29" s="156">
        <f>IF(317639.1272="","-",317639.1272/3832218.99595*100)</f>
        <v>8.2886475834416089</v>
      </c>
      <c r="E29" s="156">
        <f>IF(404258.4586="","-",404258.4586/5074244.25964*100)</f>
        <v>7.9668702946649388</v>
      </c>
      <c r="F29" s="156">
        <f>IF(434294.20866="","-",434294.20866/6735746.11893*100)</f>
        <v>6.4476035912260503</v>
      </c>
      <c r="G29" s="137">
        <f>IF(453576.32502="","-",453576.32502/6410995.1048*100)</f>
        <v>7.0749753759818219</v>
      </c>
    </row>
    <row r="30" spans="1:7" x14ac:dyDescent="0.2">
      <c r="A30" s="158" t="s">
        <v>36</v>
      </c>
      <c r="B30" s="156">
        <f>IF(289529.62476="","-",289529.62476/4177554.78501*100)</f>
        <v>6.9306003071197759</v>
      </c>
      <c r="C30" s="156">
        <f>IF(294121.68144="","-",294121.68144/4273352.38515*100)</f>
        <v>6.8826919694729538</v>
      </c>
      <c r="D30" s="156">
        <f>IF(248522.58662="","-",248522.58662/3832218.99595*100)</f>
        <v>6.4850831041400783</v>
      </c>
      <c r="E30" s="156">
        <f>IF(328473.12919="","-",328473.12919/5074244.25964*100)</f>
        <v>6.4733409032482019</v>
      </c>
      <c r="F30" s="156">
        <f>IF(330288.27426="","-",330288.27426/6735746.11893*100)</f>
        <v>4.9035143015821916</v>
      </c>
      <c r="G30" s="137">
        <f>IF(354145.16015="","-",354145.16015/6410995.1048*100)</f>
        <v>5.5240279295307317</v>
      </c>
    </row>
    <row r="31" spans="1:7" x14ac:dyDescent="0.2">
      <c r="A31" s="158" t="s">
        <v>92</v>
      </c>
      <c r="B31" s="156">
        <f>IF(486189.7718="","-",486189.7718/4177554.78501*100)</f>
        <v>11.63814233016303</v>
      </c>
      <c r="C31" s="156">
        <f>IF(492959.29789="","-",492959.29789/4273352.38515*100)</f>
        <v>11.535657569524224</v>
      </c>
      <c r="D31" s="156">
        <f>IF(426915.36943="","-",426915.36943/3832218.99595*100)</f>
        <v>11.140161088945504</v>
      </c>
      <c r="E31" s="156">
        <f>IF(633433.13865="","-",633433.13865/5074244.25964*100)</f>
        <v>12.48330009826803</v>
      </c>
      <c r="F31" s="156">
        <f>IF(918913.49568="","-",918913.49568/6735746.11893*100)</f>
        <v>13.642341612275214</v>
      </c>
      <c r="G31" s="137">
        <f>IF(259358.81378="","-",259358.81378/6410995.1048*100)</f>
        <v>4.0455313027117201</v>
      </c>
    </row>
    <row r="32" spans="1:7" x14ac:dyDescent="0.2">
      <c r="A32" s="158" t="s">
        <v>37</v>
      </c>
      <c r="B32" s="156">
        <f>IF(146105.32497="","-",146105.32497/4177554.78501*100)</f>
        <v>3.4973886038373099</v>
      </c>
      <c r="C32" s="156">
        <f>IF(146482.88877="","-",146482.88877/4273352.38515*100)</f>
        <v>3.4278214284183881</v>
      </c>
      <c r="D32" s="156">
        <f>IF(152924.50092="","-",152924.50092/3832218.99595*100)</f>
        <v>3.990494830321937</v>
      </c>
      <c r="E32" s="156">
        <f>IF(191903.85096="","-",191903.85096/5074244.25964*100)</f>
        <v>3.7819198513241248</v>
      </c>
      <c r="F32" s="156">
        <f>IF(223109.42157="","-",223109.42157/6735746.11893*100)</f>
        <v>3.3123193426631379</v>
      </c>
      <c r="G32" s="137">
        <f>IF(234864.20377="","-",234864.20377/6410995.1048*100)</f>
        <v>3.6634594151250242</v>
      </c>
    </row>
    <row r="33" spans="1:7" x14ac:dyDescent="0.2">
      <c r="A33" s="158" t="s">
        <v>95</v>
      </c>
      <c r="B33" s="156">
        <f>IF(21984.89778="","-",21984.89778/4177554.78501*100)</f>
        <v>0.52626234511362302</v>
      </c>
      <c r="C33" s="156">
        <f>IF(26586.26154="","-",26586.26154/4273352.38515*100)</f>
        <v>0.62214063208051551</v>
      </c>
      <c r="D33" s="156">
        <f>IF(29280.03162="","-",29280.03162/3832218.99595*100)</f>
        <v>0.76404901836100669</v>
      </c>
      <c r="E33" s="156">
        <f>IF(33643.17494="","-",33643.17494/5074244.25964*100)</f>
        <v>0.6630184362151077</v>
      </c>
      <c r="F33" s="156">
        <f>IF(196037.12078="","-",196037.12078/6735746.11893*100)</f>
        <v>2.9103994912911189</v>
      </c>
      <c r="G33" s="137">
        <f>IF(170707.0146="","-",170707.0146/6410995.1048*100)</f>
        <v>2.6627225853313989</v>
      </c>
    </row>
    <row r="34" spans="1:7" x14ac:dyDescent="0.2">
      <c r="A34" s="158" t="s">
        <v>93</v>
      </c>
      <c r="B34" s="156">
        <f>IF(103340.54213="","-",103340.54213/4177554.78501*100)</f>
        <v>2.4737088428094096</v>
      </c>
      <c r="C34" s="156">
        <f>IF(106480.52326="","-",106480.52326/4273352.38515*100)</f>
        <v>2.4917328051396441</v>
      </c>
      <c r="D34" s="156">
        <f>IF(89701.16994="","-",89701.16994/3832218.99595*100)</f>
        <v>2.3407109571451632</v>
      </c>
      <c r="E34" s="156">
        <f>IF(128205.65705="","-",128205.65705/5074244.25964*100)</f>
        <v>2.5265960897809787</v>
      </c>
      <c r="F34" s="156">
        <f>IF(140349.28989="","-",140349.28989/6735746.11893*100)</f>
        <v>2.0836487511838557</v>
      </c>
      <c r="G34" s="137">
        <f>IF(158306.94264="","-",158306.94264/6410995.1048*100)</f>
        <v>2.4693037516355836</v>
      </c>
    </row>
    <row r="35" spans="1:7" x14ac:dyDescent="0.2">
      <c r="A35" s="158" t="s">
        <v>40</v>
      </c>
      <c r="B35" s="156">
        <f>IF(85999.50137="","-",85999.50137/4177554.78501*100)</f>
        <v>2.0586085831497751</v>
      </c>
      <c r="C35" s="156">
        <f>IF(84522.84282="","-",84522.84282/4273352.38515*100)</f>
        <v>1.977904820433692</v>
      </c>
      <c r="D35" s="156">
        <f>IF(74196.9715="","-",74196.9715/3832218.99595*100)</f>
        <v>1.9361359979274022</v>
      </c>
      <c r="E35" s="156">
        <f>IF(91812.5878="","-",91812.5878/5074244.25964*100)</f>
        <v>1.8093844738667306</v>
      </c>
      <c r="F35" s="156">
        <f>IF(135358.09662="","-",135358.09662/6735746.11893*100)</f>
        <v>2.0095486710758359</v>
      </c>
      <c r="G35" s="137">
        <f>IF(138467.92038="","-",138467.92038/6410995.1048*100)</f>
        <v>2.1598506646234554</v>
      </c>
    </row>
    <row r="36" spans="1:7" ht="13.5" customHeight="1" x14ac:dyDescent="0.2">
      <c r="A36" s="158" t="s">
        <v>58</v>
      </c>
      <c r="B36" s="156">
        <f>IF(61662.90068="","-",61662.90068/4177554.78501*100)</f>
        <v>1.476052472160515</v>
      </c>
      <c r="C36" s="156">
        <f>IF(82748.88366="","-",82748.88366/4273352.38515*100)</f>
        <v>1.9363927006711246</v>
      </c>
      <c r="D36" s="156">
        <f>IF(65075.35071="","-",65075.35071/3832218.99595*100)</f>
        <v>1.6981114800269377</v>
      </c>
      <c r="E36" s="156">
        <f>IF(85286.41408="","-",85286.41408/5074244.25964*100)</f>
        <v>1.6807707653799617</v>
      </c>
      <c r="F36" s="156">
        <f>IF(98870.39141="","-",98870.39141/6735746.11893*100)</f>
        <v>1.4678461697381484</v>
      </c>
      <c r="G36" s="137">
        <f>IF(114336.29491="","-",114336.29491/6410995.1048*100)</f>
        <v>1.7834406834033434</v>
      </c>
    </row>
    <row r="37" spans="1:7" ht="12" customHeight="1" x14ac:dyDescent="0.2">
      <c r="A37" s="158" t="s">
        <v>42</v>
      </c>
      <c r="B37" s="156">
        <f>IF(47865.94529="","-",47865.94529/4177554.78501*100)</f>
        <v>1.1457885713851967</v>
      </c>
      <c r="C37" s="156">
        <f>IF(43635.72121="","-",43635.72121/4273352.38515*100)</f>
        <v>1.0211121685549536</v>
      </c>
      <c r="D37" s="156">
        <f>IF(45164.07225="","-",45164.07225/3832218.99595*100)</f>
        <v>1.1785357856043901</v>
      </c>
      <c r="E37" s="156">
        <f>IF(62917.1332="","-",62917.1332/5074244.25964*100)</f>
        <v>1.2399311105386903</v>
      </c>
      <c r="F37" s="156">
        <f>IF(101159.526="","-",101159.526/6735746.11893*100)</f>
        <v>1.5018310401531225</v>
      </c>
      <c r="G37" s="137">
        <f>IF(107058.70365="","-",107058.70365/6410995.1048*100)</f>
        <v>1.6699233410713992</v>
      </c>
    </row>
    <row r="38" spans="1:7" ht="11.25" customHeight="1" x14ac:dyDescent="0.2">
      <c r="A38" s="158" t="s">
        <v>57</v>
      </c>
      <c r="B38" s="156">
        <f>IF(18021.62258="","-",18021.62258/4177554.78501*100)</f>
        <v>0.43139165151503478</v>
      </c>
      <c r="C38" s="156">
        <f>IF(16746.52123="","-",16746.52123/4273352.38515*100)</f>
        <v>0.39188252502167975</v>
      </c>
      <c r="D38" s="156">
        <f>IF(18001.30049="","-",18001.30049/3832218.99595*100)</f>
        <v>0.46973569383754682</v>
      </c>
      <c r="E38" s="156">
        <f>IF(29776.39329="","-",29776.39329/5074244.25964*100)</f>
        <v>0.5868143464601866</v>
      </c>
      <c r="F38" s="156">
        <f>IF(51042.74833="","-",51042.74833/6735746.11893*100)</f>
        <v>0.75778907679656349</v>
      </c>
      <c r="G38" s="137">
        <f>IF(95299.13522="","-",95299.13522/6410995.1048*100)</f>
        <v>1.4864952111513583</v>
      </c>
    </row>
    <row r="39" spans="1:7" x14ac:dyDescent="0.2">
      <c r="A39" s="158" t="s">
        <v>59</v>
      </c>
      <c r="B39" s="156">
        <f>IF(53965.88521="","-",53965.88521/4177554.78501*100)</f>
        <v>1.291805565390588</v>
      </c>
      <c r="C39" s="156">
        <f>IF(56242.12467="","-",56242.12467/4273352.38515*100)</f>
        <v>1.3161124943836295</v>
      </c>
      <c r="D39" s="156">
        <f>IF(48972.32437="","-",48972.32437/3832218.99595*100)</f>
        <v>1.277910380950446</v>
      </c>
      <c r="E39" s="156">
        <f>IF(78076.54947="","-",78076.54947/5074244.25964*100)</f>
        <v>1.5386833087837846</v>
      </c>
      <c r="F39" s="156">
        <f>IF(100357.27319="","-",100357.27319/6735746.11893*100)</f>
        <v>1.48992066235926</v>
      </c>
      <c r="G39" s="137">
        <f>IF(88096.53951="","-",88096.53951/6410995.1048*100)</f>
        <v>1.3741476645964199</v>
      </c>
    </row>
    <row r="40" spans="1:7" x14ac:dyDescent="0.2">
      <c r="A40" s="158" t="s">
        <v>41</v>
      </c>
      <c r="B40" s="156">
        <f>IF(56546.55645="","-",56546.55645/4177554.78501*100)</f>
        <v>1.3535802487354964</v>
      </c>
      <c r="C40" s="156">
        <f>IF(60964.36237="","-",60964.36237/4273352.38515*100)</f>
        <v>1.4266167840932704</v>
      </c>
      <c r="D40" s="156">
        <f>IF(55173.92854="","-",55173.92854/3832218.99595*100)</f>
        <v>1.4397384021714157</v>
      </c>
      <c r="E40" s="156">
        <f>IF(69336.75505="","-",69336.75505/5074244.25964*100)</f>
        <v>1.366444962090162</v>
      </c>
      <c r="F40" s="156">
        <f>IF(78690.3284="","-",78690.3284/6735746.11893*100)</f>
        <v>1.1682496194274654</v>
      </c>
      <c r="G40" s="137">
        <f>IF(87580.91686="","-",87580.91686/6410995.1048*100)</f>
        <v>1.3661048780777725</v>
      </c>
    </row>
    <row r="41" spans="1:7" x14ac:dyDescent="0.2">
      <c r="A41" s="158" t="s">
        <v>97</v>
      </c>
      <c r="B41" s="156">
        <f>IF(40478.58439="","-",40478.58439/4177554.78501*100)</f>
        <v>0.96895400475048721</v>
      </c>
      <c r="C41" s="156">
        <f>IF(36760.92603="","-",36760.92603/4273352.38515*100)</f>
        <v>0.86023624351095129</v>
      </c>
      <c r="D41" s="156">
        <f>IF(38765.00969="","-",38765.00969/3832218.99595*100)</f>
        <v>1.0115551781087664</v>
      </c>
      <c r="E41" s="156">
        <f>IF(48755.78834="","-",48755.78834/5074244.25964*100)</f>
        <v>0.96084827306793974</v>
      </c>
      <c r="F41" s="156">
        <f>IF(51659.85934="","-",51659.85934/6735746.11893*100)</f>
        <v>0.76695080883194533</v>
      </c>
      <c r="G41" s="137">
        <f>IF(71374.34338="","-",71374.34338/6410995.1048*100)</f>
        <v>1.1133114627799523</v>
      </c>
    </row>
    <row r="42" spans="1:7" x14ac:dyDescent="0.2">
      <c r="A42" s="158" t="s">
        <v>96</v>
      </c>
      <c r="B42" s="156">
        <f>IF(77101.23359="","-",77101.23359/4177554.78501*100)</f>
        <v>1.8456067617989464</v>
      </c>
      <c r="C42" s="156">
        <f>IF(71024.25736="","-",71024.25736/4273352.38515*100)</f>
        <v>1.6620266937688304</v>
      </c>
      <c r="D42" s="156">
        <f>IF(42361.17194="","-",42361.17194/3832218.99595*100)</f>
        <v>1.1053953854090415</v>
      </c>
      <c r="E42" s="156">
        <f>IF(75564.58393="","-",75564.58393/5074244.25964*100)</f>
        <v>1.4891790789622146</v>
      </c>
      <c r="F42" s="156">
        <f>IF(62071.16="","-",62071.16/6735746.11893*100)</f>
        <v>0.92151869895387706</v>
      </c>
      <c r="G42" s="137">
        <f>IF(65987.89775="","-",65987.89775/6410995.1048*100)</f>
        <v>1.0292925929797383</v>
      </c>
    </row>
    <row r="43" spans="1:7" x14ac:dyDescent="0.2">
      <c r="A43" s="158" t="s">
        <v>39</v>
      </c>
      <c r="B43" s="156">
        <f>IF(89227.6623="","-",89227.6623/4177554.78501*100)</f>
        <v>2.1358825172124321</v>
      </c>
      <c r="C43" s="156">
        <f>IF(97128.74777="","-",97128.74777/4273352.38515*100)</f>
        <v>2.2728934807137522</v>
      </c>
      <c r="D43" s="156">
        <f>IF(81123.46862="","-",81123.46862/3832218.99595*100)</f>
        <v>2.1168797687640928</v>
      </c>
      <c r="E43" s="156">
        <f>IF(97038.46709="","-",97038.46709/5074244.25964*100)</f>
        <v>1.9123728012432051</v>
      </c>
      <c r="F43" s="156">
        <f>IF(75917.27404="","-",75917.27404/6735746.11893*100)</f>
        <v>1.1270803961367202</v>
      </c>
      <c r="G43" s="137">
        <f>IF(65593.02054="","-",65593.02054/6410995.1048*100)</f>
        <v>1.0231332182875885</v>
      </c>
    </row>
    <row r="44" spans="1:7" ht="12" customHeight="1" x14ac:dyDescent="0.2">
      <c r="A44" s="158" t="s">
        <v>74</v>
      </c>
      <c r="B44" s="156">
        <f>IF(43828.77188="","-",43828.77188/4177554.78501*100)</f>
        <v>1.0491489432351055</v>
      </c>
      <c r="C44" s="156">
        <f>IF(43208.96261="","-",43208.96261/4273352.38515*100)</f>
        <v>1.0111256623758003</v>
      </c>
      <c r="D44" s="156">
        <f>IF(40498.95568="","-",40498.95568/3832218.99595*100)</f>
        <v>1.0568017047773226</v>
      </c>
      <c r="E44" s="156">
        <f>IF(54860.11858="","-",54860.11858/5074244.25964*100)</f>
        <v>1.0811485567683754</v>
      </c>
      <c r="F44" s="156">
        <f>IF(65277.7627="","-",65277.7627/6735746.11893*100)</f>
        <v>0.96912445254646318</v>
      </c>
      <c r="G44" s="137">
        <f>IF(61315.0463="","-",61315.0463/6410995.1048*100)</f>
        <v>0.95640450971632451</v>
      </c>
    </row>
    <row r="45" spans="1:7" x14ac:dyDescent="0.2">
      <c r="A45" s="158" t="s">
        <v>98</v>
      </c>
      <c r="B45" s="156">
        <f>IF(22415.52583="","-",22415.52583/4177554.78501*100)</f>
        <v>0.53657048162317134</v>
      </c>
      <c r="C45" s="156">
        <f>IF(24345.40551="","-",24345.40551/4273352.38515*100)</f>
        <v>0.56970273723741705</v>
      </c>
      <c r="D45" s="156">
        <f>IF(20965.84265="","-",20965.84265/3832218.99595*100)</f>
        <v>0.54709406409595351</v>
      </c>
      <c r="E45" s="156">
        <f>IF(28719.50669="","-",28719.50669/5074244.25964*100)</f>
        <v>0.56598589308031355</v>
      </c>
      <c r="F45" s="156">
        <f>IF(41568.23591="","-",41568.23591/6735746.11893*100)</f>
        <v>0.61712889969497964</v>
      </c>
      <c r="G45" s="137">
        <f>IF(60297.11468="","-",60297.11468/6410995.1048*100)</f>
        <v>0.9405266061559574</v>
      </c>
    </row>
    <row r="46" spans="1:7" x14ac:dyDescent="0.2">
      <c r="A46" s="159" t="s">
        <v>43</v>
      </c>
      <c r="B46" s="138">
        <f>IF(43492.41195="","-",43492.41195/4177554.78501*100)</f>
        <v>1.0410973449363365</v>
      </c>
      <c r="C46" s="138">
        <f>IF(42983.48613="","-",42983.48613/4273352.38515*100)</f>
        <v>1.0058493252128846</v>
      </c>
      <c r="D46" s="138">
        <f>IF(34464.10085="","-",34464.10085/3832218.99595*100)</f>
        <v>0.89932493123233981</v>
      </c>
      <c r="E46" s="138">
        <f>IF(46417.43615="","-",46417.43615/5074244.25964*100)</f>
        <v>0.91476550546057389</v>
      </c>
      <c r="F46" s="138">
        <f>IF(52797.19286="","-",52797.19286/6735746.11893*100)</f>
        <v>0.78383585022036206</v>
      </c>
      <c r="G46" s="121">
        <f>IF(56387.88437="","-",56387.88437/6410995.1048*100)</f>
        <v>0.87954964008288861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7"/>
  <sheetViews>
    <sheetView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ht="12.75" x14ac:dyDescent="0.2">
      <c r="A2" s="160" t="s">
        <v>83</v>
      </c>
      <c r="B2" s="160"/>
      <c r="C2" s="160"/>
      <c r="D2" s="160"/>
      <c r="E2" s="160"/>
      <c r="F2" s="160"/>
      <c r="G2" s="160"/>
    </row>
    <row r="3" spans="1:10" x14ac:dyDescent="0.2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5"/>
    </row>
    <row r="22" spans="1:6" x14ac:dyDescent="0.2">
      <c r="A22" s="5"/>
    </row>
    <row r="23" spans="1:6" ht="16.5" customHeight="1" x14ac:dyDescent="0.2">
      <c r="A23" s="5"/>
    </row>
    <row r="24" spans="1:6" ht="16.5" customHeight="1" x14ac:dyDescent="0.2">
      <c r="A24" s="5"/>
    </row>
    <row r="25" spans="1:6" ht="9.75" customHeight="1" x14ac:dyDescent="0.2">
      <c r="A25" s="5"/>
    </row>
    <row r="26" spans="1:6" x14ac:dyDescent="0.2">
      <c r="A26" s="5"/>
    </row>
    <row r="27" spans="1:6" x14ac:dyDescent="0.2">
      <c r="A27" s="97" t="s">
        <v>105</v>
      </c>
      <c r="B27" s="37" t="s">
        <v>44</v>
      </c>
    </row>
    <row r="28" spans="1:6" x14ac:dyDescent="0.2">
      <c r="A28" s="122" t="s">
        <v>77</v>
      </c>
      <c r="B28" s="113">
        <v>16.3</v>
      </c>
    </row>
    <row r="29" spans="1:6" ht="13.5" customHeight="1" x14ac:dyDescent="0.2">
      <c r="A29" s="123" t="s">
        <v>65</v>
      </c>
      <c r="B29" s="114">
        <v>6.3</v>
      </c>
    </row>
    <row r="30" spans="1:6" x14ac:dyDescent="0.2">
      <c r="A30" s="123" t="s">
        <v>75</v>
      </c>
      <c r="B30" s="114">
        <v>5.8</v>
      </c>
    </row>
    <row r="31" spans="1:6" x14ac:dyDescent="0.2">
      <c r="A31" s="123" t="s">
        <v>70</v>
      </c>
      <c r="B31" s="114">
        <v>9</v>
      </c>
    </row>
    <row r="32" spans="1:6" x14ac:dyDescent="0.2">
      <c r="A32" s="123" t="s">
        <v>78</v>
      </c>
      <c r="B32" s="114">
        <v>3.7</v>
      </c>
    </row>
    <row r="33" spans="1:5" x14ac:dyDescent="0.2">
      <c r="A33" s="123" t="s">
        <v>64</v>
      </c>
      <c r="B33" s="114">
        <v>3.1</v>
      </c>
    </row>
    <row r="34" spans="1:5" x14ac:dyDescent="0.2">
      <c r="A34" s="123" t="s">
        <v>73</v>
      </c>
      <c r="B34" s="114">
        <v>2.8</v>
      </c>
    </row>
    <row r="35" spans="1:5" x14ac:dyDescent="0.2">
      <c r="A35" s="123" t="s">
        <v>71</v>
      </c>
      <c r="B35" s="114">
        <v>3.6</v>
      </c>
    </row>
    <row r="36" spans="1:5" x14ac:dyDescent="0.2">
      <c r="A36" s="123" t="s">
        <v>61</v>
      </c>
      <c r="B36" s="114">
        <v>2</v>
      </c>
    </row>
    <row r="37" spans="1:5" x14ac:dyDescent="0.2">
      <c r="A37" s="123" t="s">
        <v>80</v>
      </c>
      <c r="B37" s="114">
        <v>2</v>
      </c>
    </row>
    <row r="38" spans="1:5" x14ac:dyDescent="0.2">
      <c r="A38" s="123" t="s">
        <v>67</v>
      </c>
      <c r="B38" s="114">
        <v>2.2000000000000002</v>
      </c>
    </row>
    <row r="39" spans="1:5" x14ac:dyDescent="0.2">
      <c r="A39" s="123" t="s">
        <v>91</v>
      </c>
      <c r="B39" s="114">
        <v>2.2999999999999998</v>
      </c>
    </row>
    <row r="40" spans="1:5" x14ac:dyDescent="0.2">
      <c r="A40" s="123" t="s">
        <v>76</v>
      </c>
      <c r="B40" s="114">
        <v>1.9</v>
      </c>
    </row>
    <row r="41" spans="1:5" x14ac:dyDescent="0.2">
      <c r="A41" s="124" t="s">
        <v>68</v>
      </c>
      <c r="B41" s="116">
        <v>39</v>
      </c>
    </row>
    <row r="42" spans="1:5" x14ac:dyDescent="0.2">
      <c r="A42" s="109"/>
      <c r="B42" s="33"/>
    </row>
    <row r="43" spans="1:5" ht="11.25" customHeight="1" x14ac:dyDescent="0.2">
      <c r="A43" s="97" t="s">
        <v>106</v>
      </c>
      <c r="B43" s="110" t="s">
        <v>44</v>
      </c>
    </row>
    <row r="44" spans="1:5" ht="12.75" customHeight="1" x14ac:dyDescent="0.2">
      <c r="A44" s="122" t="s">
        <v>77</v>
      </c>
      <c r="B44" s="125">
        <v>16.100000000000001</v>
      </c>
      <c r="E44" s="105"/>
    </row>
    <row r="45" spans="1:5" ht="12.75" customHeight="1" x14ac:dyDescent="0.2">
      <c r="A45" s="123" t="s">
        <v>65</v>
      </c>
      <c r="B45" s="126">
        <v>7.6</v>
      </c>
      <c r="E45" s="105"/>
    </row>
    <row r="46" spans="1:5" ht="12.75" customHeight="1" x14ac:dyDescent="0.2">
      <c r="A46" s="123" t="s">
        <v>75</v>
      </c>
      <c r="B46" s="126">
        <v>6.7</v>
      </c>
      <c r="E46" s="105"/>
    </row>
    <row r="47" spans="1:5" ht="12.75" customHeight="1" x14ac:dyDescent="0.2">
      <c r="A47" s="123" t="s">
        <v>70</v>
      </c>
      <c r="B47" s="126">
        <v>6.4</v>
      </c>
      <c r="E47" s="105"/>
    </row>
    <row r="48" spans="1:5" ht="12.75" customHeight="1" x14ac:dyDescent="0.2">
      <c r="A48" s="123" t="s">
        <v>78</v>
      </c>
      <c r="B48" s="126">
        <v>3.5</v>
      </c>
      <c r="E48" s="105"/>
    </row>
    <row r="49" spans="1:5" ht="12.75" customHeight="1" x14ac:dyDescent="0.2">
      <c r="A49" s="123" t="s">
        <v>64</v>
      </c>
      <c r="B49" s="126">
        <v>3.4</v>
      </c>
      <c r="E49" s="105"/>
    </row>
    <row r="50" spans="1:5" ht="12.75" customHeight="1" x14ac:dyDescent="0.2">
      <c r="A50" s="123" t="s">
        <v>73</v>
      </c>
      <c r="B50" s="126">
        <v>2.9</v>
      </c>
      <c r="E50" s="105"/>
    </row>
    <row r="51" spans="1:5" ht="12.75" customHeight="1" x14ac:dyDescent="0.2">
      <c r="A51" s="123" t="s">
        <v>71</v>
      </c>
      <c r="B51" s="126">
        <v>2.6</v>
      </c>
      <c r="E51" s="105"/>
    </row>
    <row r="52" spans="1:5" ht="12.75" customHeight="1" x14ac:dyDescent="0.2">
      <c r="A52" s="123" t="s">
        <v>61</v>
      </c>
      <c r="B52" s="126">
        <v>2.6</v>
      </c>
      <c r="E52" s="105"/>
    </row>
    <row r="53" spans="1:5" ht="12.75" customHeight="1" x14ac:dyDescent="0.2">
      <c r="A53" s="123" t="s">
        <v>80</v>
      </c>
      <c r="B53" s="126">
        <v>2.5</v>
      </c>
      <c r="E53" s="105"/>
    </row>
    <row r="54" spans="1:5" ht="12.75" customHeight="1" x14ac:dyDescent="0.2">
      <c r="A54" s="123" t="s">
        <v>67</v>
      </c>
      <c r="B54" s="126">
        <v>2.4</v>
      </c>
      <c r="E54" s="105"/>
    </row>
    <row r="55" spans="1:5" ht="12.75" customHeight="1" x14ac:dyDescent="0.2">
      <c r="A55" s="123" t="s">
        <v>91</v>
      </c>
      <c r="B55" s="126">
        <v>2.2000000000000002</v>
      </c>
      <c r="E55" s="105"/>
    </row>
    <row r="56" spans="1:5" ht="12.75" customHeight="1" x14ac:dyDescent="0.2">
      <c r="A56" s="123" t="s">
        <v>76</v>
      </c>
      <c r="B56" s="126">
        <v>2.1</v>
      </c>
      <c r="E56" s="105"/>
    </row>
    <row r="57" spans="1:5" ht="12.75" customHeight="1" x14ac:dyDescent="0.2">
      <c r="A57" s="124" t="s">
        <v>68</v>
      </c>
      <c r="B57" s="134">
        <v>39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RowHeight="12" x14ac:dyDescent="0.2"/>
  <cols>
    <col min="1" max="1" width="9.140625" style="3"/>
    <col min="2" max="2" width="9.85546875" style="3" customWidth="1"/>
    <col min="3" max="3" width="9.7109375" style="3" customWidth="1"/>
    <col min="4" max="4" width="10" style="3" customWidth="1"/>
    <col min="5" max="6" width="9.7109375" style="3" customWidth="1"/>
    <col min="7" max="7" width="9.5703125" style="3" customWidth="1"/>
    <col min="8" max="9" width="9.140625" style="3"/>
    <col min="10" max="10" width="10.7109375" style="3" customWidth="1"/>
    <col min="11" max="11" width="10.85546875" style="3" customWidth="1"/>
    <col min="12" max="12" width="10.42578125" style="3" customWidth="1"/>
    <col min="13" max="13" width="10.5703125" style="3" customWidth="1"/>
    <col min="14" max="16384" width="9.140625" style="3"/>
  </cols>
  <sheetData>
    <row r="2" spans="1:13" ht="12.75" x14ac:dyDescent="0.2">
      <c r="A2" s="166" t="s">
        <v>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x14ac:dyDescent="0.2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x14ac:dyDescent="0.2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x14ac:dyDescent="0.2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x14ac:dyDescent="0.2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x14ac:dyDescent="0.2">
      <c r="A28" s="29">
        <v>2023</v>
      </c>
      <c r="B28" s="10">
        <v>-402.2</v>
      </c>
      <c r="C28" s="10">
        <v>-396.5</v>
      </c>
      <c r="D28" s="35">
        <v>-436.2</v>
      </c>
      <c r="E28" s="35">
        <v>-373.3</v>
      </c>
      <c r="F28" s="35">
        <v>-372.7</v>
      </c>
      <c r="G28" s="35">
        <v>-349</v>
      </c>
      <c r="H28" s="35">
        <v>-335.3</v>
      </c>
      <c r="I28" s="35">
        <v>-376.3</v>
      </c>
      <c r="J28" s="35">
        <v>-354.6</v>
      </c>
      <c r="K28" s="35"/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A2" sqref="A2:F2"/>
    </sheetView>
  </sheetViews>
  <sheetFormatPr defaultRowHeight="12" x14ac:dyDescent="0.2"/>
  <cols>
    <col min="1" max="1" width="22.5703125" style="3" customWidth="1"/>
    <col min="2" max="2" width="21.5703125" style="3" customWidth="1"/>
    <col min="3" max="3" width="21.42578125" style="3" customWidth="1"/>
    <col min="4" max="4" width="22.140625" style="3" customWidth="1"/>
    <col min="5" max="16384" width="9.140625" style="3"/>
  </cols>
  <sheetData>
    <row r="2" spans="1:13" ht="12.75" x14ac:dyDescent="0.2">
      <c r="A2" s="170" t="s">
        <v>115</v>
      </c>
      <c r="B2" s="170"/>
      <c r="C2" s="170"/>
      <c r="D2" s="170"/>
      <c r="E2" s="170"/>
      <c r="F2" s="170"/>
      <c r="G2" s="39"/>
      <c r="H2" s="39"/>
      <c r="I2" s="39"/>
      <c r="J2" s="39"/>
      <c r="K2" s="39"/>
      <c r="L2" s="39"/>
      <c r="M2" s="39"/>
    </row>
    <row r="3" spans="1:13" x14ac:dyDescent="0.2">
      <c r="A3" s="73"/>
      <c r="B3" s="73"/>
      <c r="C3" s="73"/>
      <c r="D3" s="73"/>
      <c r="E3" s="73"/>
      <c r="F3" s="73"/>
      <c r="G3" s="39"/>
      <c r="H3" s="39"/>
      <c r="I3" s="39"/>
      <c r="J3" s="39"/>
      <c r="K3" s="39"/>
      <c r="L3" s="39"/>
      <c r="M3" s="39"/>
    </row>
    <row r="4" spans="1:13" ht="19.5" customHeight="1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7" spans="1:6" ht="15.75" customHeight="1" x14ac:dyDescent="0.2">
      <c r="A27" s="95" t="s">
        <v>51</v>
      </c>
      <c r="B27" s="21" t="s">
        <v>52</v>
      </c>
      <c r="C27" s="21" t="s">
        <v>53</v>
      </c>
      <c r="D27" s="22" t="s">
        <v>54</v>
      </c>
    </row>
    <row r="28" spans="1:6" ht="15.75" customHeight="1" x14ac:dyDescent="0.2">
      <c r="A28" s="93" t="s">
        <v>104</v>
      </c>
      <c r="B28" s="111">
        <v>1959.5</v>
      </c>
      <c r="C28" s="112">
        <v>4177.6000000000004</v>
      </c>
      <c r="D28" s="136">
        <v>-2218.1000000000004</v>
      </c>
    </row>
    <row r="29" spans="1:6" ht="15.75" customHeight="1" x14ac:dyDescent="0.2">
      <c r="A29" s="94" t="s">
        <v>103</v>
      </c>
      <c r="B29" s="102">
        <v>2026</v>
      </c>
      <c r="C29" s="142">
        <v>4273.3999999999996</v>
      </c>
      <c r="D29" s="137">
        <v>-2247.3999999999996</v>
      </c>
    </row>
    <row r="30" spans="1:6" ht="15.75" customHeight="1" x14ac:dyDescent="0.2">
      <c r="A30" s="94" t="s">
        <v>102</v>
      </c>
      <c r="B30" s="102">
        <v>1737.5</v>
      </c>
      <c r="C30" s="142">
        <v>3832.2</v>
      </c>
      <c r="D30" s="137">
        <v>-2094.6999999999998</v>
      </c>
    </row>
    <row r="31" spans="1:6" ht="15.75" customHeight="1" x14ac:dyDescent="0.2">
      <c r="A31" s="94" t="s">
        <v>101</v>
      </c>
      <c r="B31" s="102">
        <v>2103.4</v>
      </c>
      <c r="C31" s="142">
        <v>5074.2</v>
      </c>
      <c r="D31" s="137">
        <v>-2970.7999999999997</v>
      </c>
    </row>
    <row r="32" spans="1:6" ht="15.75" customHeight="1" x14ac:dyDescent="0.2">
      <c r="A32" s="94" t="s">
        <v>100</v>
      </c>
      <c r="B32" s="102">
        <v>3277.8</v>
      </c>
      <c r="C32" s="142">
        <v>6735.7</v>
      </c>
      <c r="D32" s="137">
        <v>-3457.8999999999996</v>
      </c>
    </row>
    <row r="33" spans="1:4" ht="15.75" customHeight="1" x14ac:dyDescent="0.2">
      <c r="A33" s="94" t="s">
        <v>99</v>
      </c>
      <c r="B33" s="119">
        <v>3014.9</v>
      </c>
      <c r="C33" s="115">
        <v>6411</v>
      </c>
      <c r="D33" s="121">
        <v>-3396.1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38"/>
  <sheetViews>
    <sheetView workbookViewId="0">
      <selection activeCell="A2" sqref="A2:S2"/>
    </sheetView>
  </sheetViews>
  <sheetFormatPr defaultRowHeight="12" x14ac:dyDescent="0.2"/>
  <cols>
    <col min="1" max="1" width="17.85546875" style="3" customWidth="1"/>
    <col min="2" max="2" width="5" style="3" customWidth="1"/>
    <col min="3" max="3" width="5.85546875" style="3" customWidth="1"/>
    <col min="4" max="4" width="5.7109375" style="3" customWidth="1"/>
    <col min="5" max="5" width="5.85546875" style="3" customWidth="1"/>
    <col min="6" max="6" width="6.140625" style="3" customWidth="1"/>
    <col min="7" max="8" width="5.5703125" style="3" customWidth="1"/>
    <col min="9" max="9" width="5.42578125" style="3" customWidth="1"/>
    <col min="10" max="10" width="5.7109375" style="3" customWidth="1"/>
    <col min="11" max="11" width="5.5703125" style="3" customWidth="1"/>
    <col min="12" max="12" width="6.140625" style="3" customWidth="1"/>
    <col min="13" max="13" width="6.5703125" style="3" customWidth="1"/>
    <col min="14" max="16" width="6" style="3" customWidth="1"/>
    <col min="17" max="17" width="5.85546875" style="3" customWidth="1"/>
    <col min="18" max="18" width="6.42578125" style="3" customWidth="1"/>
    <col min="19" max="19" width="5.85546875" style="3" customWidth="1"/>
    <col min="20" max="20" width="6.42578125" style="3" customWidth="1"/>
    <col min="21" max="21" width="6" style="3" customWidth="1"/>
    <col min="22" max="22" width="5.85546875" style="3" customWidth="1"/>
    <col min="23" max="23" width="6.85546875" style="3" customWidth="1"/>
    <col min="24" max="24" width="6.140625" style="3" customWidth="1"/>
    <col min="25" max="25" width="7.42578125" style="3" customWidth="1"/>
    <col min="26" max="33" width="5.7109375" style="3" customWidth="1"/>
    <col min="34" max="34" width="6.140625" style="3" customWidth="1"/>
    <col min="35" max="16384" width="9.140625" style="3"/>
  </cols>
  <sheetData>
    <row r="2" spans="1:19" ht="15.75" customHeight="1" x14ac:dyDescent="0.2">
      <c r="A2" s="166" t="s">
        <v>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">
      <c r="A4" s="4"/>
    </row>
    <row r="5" spans="1:19" ht="14.25" customHeight="1" x14ac:dyDescent="0.2">
      <c r="A5" s="4"/>
    </row>
    <row r="6" spans="1:19" ht="15" customHeight="1" x14ac:dyDescent="0.2">
      <c r="A6" s="4"/>
    </row>
    <row r="7" spans="1:19" ht="16.5" customHeight="1" x14ac:dyDescent="0.2">
      <c r="A7" s="4"/>
    </row>
    <row r="8" spans="1:19" ht="15" customHeight="1" x14ac:dyDescent="0.2">
      <c r="A8" s="4"/>
    </row>
    <row r="9" spans="1:19" ht="14.25" customHeight="1" x14ac:dyDescent="0.2">
      <c r="A9" s="4"/>
    </row>
    <row r="10" spans="1:19" ht="13.5" customHeight="1" x14ac:dyDescent="0.2">
      <c r="A10" s="4"/>
    </row>
    <row r="11" spans="1:19" ht="17.25" customHeight="1" x14ac:dyDescent="0.2">
      <c r="A11" s="4"/>
    </row>
    <row r="12" spans="1:19" ht="17.25" customHeight="1" x14ac:dyDescent="0.2">
      <c r="A12" s="4"/>
    </row>
    <row r="13" spans="1:19" ht="16.5" customHeight="1" x14ac:dyDescent="0.2">
      <c r="A13" s="4"/>
    </row>
    <row r="14" spans="1:19" ht="15" customHeight="1" x14ac:dyDescent="0.2">
      <c r="A14" s="4"/>
    </row>
    <row r="15" spans="1:19" ht="15" customHeight="1" x14ac:dyDescent="0.2">
      <c r="A15" s="4"/>
    </row>
    <row r="16" spans="1:19" ht="15.75" customHeight="1" x14ac:dyDescent="0.2">
      <c r="A16" s="4"/>
    </row>
    <row r="17" spans="1:35" ht="22.5" customHeight="1" x14ac:dyDescent="0.2">
      <c r="A17" s="4"/>
    </row>
    <row r="18" spans="1:35" x14ac:dyDescent="0.2">
      <c r="A18" s="4"/>
    </row>
    <row r="19" spans="1:35" x14ac:dyDescent="0.2">
      <c r="A19" s="5"/>
    </row>
    <row r="20" spans="1:35" x14ac:dyDescent="0.2">
      <c r="A20" s="5"/>
    </row>
    <row r="21" spans="1:35" x14ac:dyDescent="0.2">
      <c r="A21" s="5"/>
    </row>
    <row r="22" spans="1:35" ht="19.5" customHeight="1" x14ac:dyDescent="0.2">
      <c r="A22" s="5"/>
    </row>
    <row r="23" spans="1:35" ht="15" customHeight="1" x14ac:dyDescent="0.2">
      <c r="A23" s="161"/>
      <c r="B23" s="163">
        <v>2021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5"/>
      <c r="N23" s="163">
        <v>2022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5"/>
      <c r="Z23" s="167">
        <v>2023</v>
      </c>
      <c r="AA23" s="168"/>
      <c r="AB23" s="168"/>
      <c r="AC23" s="168"/>
      <c r="AD23" s="168"/>
      <c r="AE23" s="168"/>
      <c r="AF23" s="168"/>
      <c r="AG23" s="168"/>
      <c r="AH23" s="169"/>
    </row>
    <row r="24" spans="1:35" x14ac:dyDescent="0.2">
      <c r="A24" s="162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9" t="s">
        <v>13</v>
      </c>
      <c r="O24" s="89" t="s">
        <v>14</v>
      </c>
      <c r="P24" s="90" t="s">
        <v>15</v>
      </c>
      <c r="Q24" s="81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57" t="s">
        <v>13</v>
      </c>
      <c r="AA24" s="57" t="s">
        <v>14</v>
      </c>
      <c r="AB24" s="57" t="s">
        <v>15</v>
      </c>
      <c r="AC24" s="57" t="s">
        <v>16</v>
      </c>
      <c r="AD24" s="57" t="s">
        <v>17</v>
      </c>
      <c r="AE24" s="89" t="s">
        <v>22</v>
      </c>
      <c r="AF24" s="89" t="s">
        <v>18</v>
      </c>
      <c r="AG24" s="89" t="s">
        <v>23</v>
      </c>
      <c r="AH24" s="2" t="s">
        <v>19</v>
      </c>
      <c r="AI24" s="139"/>
    </row>
    <row r="25" spans="1:35" ht="28.5" customHeight="1" x14ac:dyDescent="0.2">
      <c r="A25" s="13" t="s">
        <v>55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79">
        <v>110.41268252711565</v>
      </c>
      <c r="X25" s="79">
        <v>101.07685140675132</v>
      </c>
      <c r="Y25" s="77">
        <v>98.231011775552389</v>
      </c>
      <c r="Z25" s="98">
        <v>95.423145055942825</v>
      </c>
      <c r="AA25" s="79">
        <v>107.53426155303467</v>
      </c>
      <c r="AB25" s="79">
        <v>108.10569775638508</v>
      </c>
      <c r="AC25" s="79">
        <v>82.362902414137324</v>
      </c>
      <c r="AD25" s="14">
        <v>106.13827282357234</v>
      </c>
      <c r="AE25" s="79">
        <v>94.10015168524933</v>
      </c>
      <c r="AF25" s="79">
        <v>96.070902646835719</v>
      </c>
      <c r="AG25" s="79">
        <v>105.97041738662007</v>
      </c>
      <c r="AH25" s="77">
        <v>107.39486603168993</v>
      </c>
    </row>
    <row r="26" spans="1:35" ht="40.5" customHeight="1" x14ac:dyDescent="0.2">
      <c r="A26" s="18" t="s">
        <v>56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78">
        <f>IF(227034.99772="","-",336464.33268/227034.99772*100)</f>
        <v>148.19932435921535</v>
      </c>
      <c r="P26" s="78">
        <f>IF(259287.13538="","-",395828.7569/259287.13538*100)</f>
        <v>152.66039185472528</v>
      </c>
      <c r="Q26" s="78">
        <f>IF(218235.12722="","-",396338.08224/218235.12722*100)</f>
        <v>181.61058088529293</v>
      </c>
      <c r="R26" s="78">
        <f>IF(201697.01673="","-",415966.01044/201697.01673*100)</f>
        <v>206.23310011413275</v>
      </c>
      <c r="S26" s="78">
        <f>IF(226810.79989="","-",416434.52243/226810.79989*100)</f>
        <v>183.60436215205132</v>
      </c>
      <c r="T26" s="78">
        <f>IF(240720.89459="","-",338224.33542/240720.89459*100)</f>
        <v>140.50476839414773</v>
      </c>
      <c r="U26" s="78">
        <f>IF(236300.67911="","-",329416.35614/236300.67911*100)</f>
        <v>139.40559010693906</v>
      </c>
      <c r="V26" s="78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99">
        <f>IF(330357.20487="","-",331097.88364/330357.20487*100)</f>
        <v>100.22420542342689</v>
      </c>
      <c r="AA26" s="78">
        <f>IF(336464.33268="","-",356043.66419/336464.33268*100)</f>
        <v>105.81914027975773</v>
      </c>
      <c r="AB26" s="78">
        <f>IF(395828.7569="","-",384903.48749/395828.7569*100)</f>
        <v>97.239900027586913</v>
      </c>
      <c r="AC26" s="78">
        <f>IF(396338.08224="","-",317017.68379/396338.08224*100)</f>
        <v>79.986682581269577</v>
      </c>
      <c r="AD26" s="78">
        <f>IF(415966.01044="","-",336477.09412/415966.01044*100)</f>
        <v>80.890526070647383</v>
      </c>
      <c r="AE26" s="78">
        <f>IF(416434.52243="","-",316625.45648/416434.52243*100)</f>
        <v>76.032470754924674</v>
      </c>
      <c r="AF26" s="78">
        <f>IF(338224.33542="","-",304184.93405/338224.33542*100)</f>
        <v>89.935850911576011</v>
      </c>
      <c r="AG26" s="78">
        <f>IF(329416.35614="","-",322346.04424/329416.35614*100)</f>
        <v>97.853685232012239</v>
      </c>
      <c r="AH26" s="140">
        <f>IF(318793.64634="","-",346183.10237/318793.64634*100)</f>
        <v>108.59159407486703</v>
      </c>
    </row>
    <row r="29" spans="1:35" ht="15.75" x14ac:dyDescent="0.25">
      <c r="N29" s="64"/>
      <c r="O29" s="84"/>
      <c r="P29" s="60"/>
      <c r="Q29" s="85"/>
      <c r="R29" s="60"/>
      <c r="S29" s="60"/>
      <c r="T29" s="60"/>
      <c r="U29" s="60"/>
      <c r="V29" s="60"/>
      <c r="W29" s="75"/>
      <c r="X29" s="75"/>
      <c r="Y29" s="75"/>
    </row>
    <row r="30" spans="1:35" ht="15.75" x14ac:dyDescent="0.25">
      <c r="N30" s="61"/>
      <c r="O30" s="86"/>
      <c r="P30" s="87"/>
      <c r="Q30" s="87"/>
      <c r="R30" s="87"/>
      <c r="S30" s="87"/>
      <c r="T30" s="87"/>
      <c r="U30" s="87"/>
      <c r="V30" s="87"/>
      <c r="W30" s="64"/>
      <c r="X30" s="64"/>
      <c r="Y30" s="83"/>
    </row>
    <row r="33" spans="14:21" ht="15.75" x14ac:dyDescent="0.25">
      <c r="N33" s="64"/>
      <c r="O33" s="65"/>
      <c r="P33" s="66"/>
      <c r="Q33" s="66"/>
      <c r="R33" s="66"/>
      <c r="S33" s="67"/>
      <c r="T33" s="46"/>
      <c r="U33" s="46"/>
    </row>
    <row r="34" spans="14:21" ht="15.75" x14ac:dyDescent="0.25">
      <c r="N34" s="66"/>
      <c r="O34" s="66"/>
      <c r="P34" s="66"/>
      <c r="Q34" s="66"/>
      <c r="R34" s="66"/>
      <c r="S34" s="67"/>
      <c r="T34" s="46"/>
      <c r="U34" s="46"/>
    </row>
    <row r="35" spans="14:21" ht="15.75" x14ac:dyDescent="0.25">
      <c r="N35" s="68"/>
      <c r="O35" s="68"/>
      <c r="P35" s="66"/>
      <c r="Q35" s="66"/>
      <c r="R35" s="68"/>
      <c r="S35" s="69"/>
      <c r="T35" s="69"/>
      <c r="U35" s="69"/>
    </row>
    <row r="36" spans="14:21" ht="15.75" x14ac:dyDescent="0.25">
      <c r="N36" s="68"/>
      <c r="O36" s="68"/>
      <c r="P36" s="66"/>
      <c r="Q36" s="66"/>
      <c r="R36" s="68"/>
      <c r="S36" s="69"/>
      <c r="T36" s="69"/>
      <c r="U36" s="69"/>
    </row>
    <row r="37" spans="14:21" ht="16.5" x14ac:dyDescent="0.25">
      <c r="N37" s="63"/>
      <c r="O37" s="65"/>
      <c r="P37" s="66"/>
      <c r="Q37" s="66"/>
      <c r="R37" s="66"/>
      <c r="S37" s="70"/>
      <c r="T37" s="46"/>
      <c r="U37" s="42"/>
    </row>
    <row r="38" spans="14:21" ht="15.75" x14ac:dyDescent="0.25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H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9"/>
  <sheetViews>
    <sheetView workbookViewId="0">
      <selection activeCell="A2" sqref="A2:G2"/>
    </sheetView>
  </sheetViews>
  <sheetFormatPr defaultRowHeight="12" x14ac:dyDescent="0.2"/>
  <cols>
    <col min="1" max="1" width="24.42578125" style="3" customWidth="1"/>
    <col min="2" max="7" width="14.28515625" style="3" customWidth="1"/>
    <col min="8" max="8" width="14.85546875" style="3" customWidth="1"/>
    <col min="9" max="16384" width="9.140625" style="3"/>
  </cols>
  <sheetData>
    <row r="2" spans="1:7" ht="12.75" x14ac:dyDescent="0.2">
      <c r="A2" s="170" t="s">
        <v>109</v>
      </c>
      <c r="B2" s="170"/>
      <c r="C2" s="170"/>
      <c r="D2" s="170"/>
      <c r="E2" s="170"/>
      <c r="F2" s="170"/>
      <c r="G2" s="170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">
      <c r="A5" s="4"/>
      <c r="B5" s="4"/>
      <c r="C5" s="4"/>
      <c r="D5" s="4"/>
      <c r="E5" s="4"/>
      <c r="F5" s="4"/>
      <c r="G5" s="4"/>
    </row>
    <row r="6" spans="1:7" ht="17.25" customHeight="1" x14ac:dyDescent="0.2">
      <c r="A6" s="4"/>
      <c r="B6" s="4"/>
      <c r="C6" s="4"/>
      <c r="D6" s="4"/>
      <c r="E6" s="4"/>
      <c r="F6" s="4"/>
      <c r="G6" s="4"/>
    </row>
    <row r="7" spans="1:7" ht="17.25" customHeight="1" x14ac:dyDescent="0.2">
      <c r="A7" s="4"/>
      <c r="B7" s="4"/>
      <c r="C7" s="4"/>
      <c r="D7" s="4"/>
      <c r="E7" s="4"/>
      <c r="F7" s="4"/>
      <c r="G7" s="4"/>
    </row>
    <row r="8" spans="1:7" ht="17.25" customHeight="1" x14ac:dyDescent="0.2">
      <c r="A8" s="4"/>
      <c r="B8" s="4"/>
      <c r="C8" s="4"/>
      <c r="D8" s="4"/>
      <c r="E8" s="4"/>
      <c r="F8" s="4"/>
      <c r="G8" s="4"/>
    </row>
    <row r="9" spans="1:7" ht="17.25" customHeight="1" x14ac:dyDescent="0.2">
      <c r="A9" s="4"/>
      <c r="B9" s="4"/>
      <c r="C9" s="4"/>
      <c r="D9" s="4"/>
      <c r="E9" s="4"/>
      <c r="F9" s="4"/>
      <c r="G9" s="4"/>
    </row>
    <row r="10" spans="1:7" ht="17.25" customHeight="1" x14ac:dyDescent="0.2">
      <c r="A10" s="4"/>
      <c r="B10" s="4"/>
      <c r="C10" s="4"/>
      <c r="D10" s="4"/>
      <c r="E10" s="4"/>
      <c r="F10" s="4"/>
      <c r="G10" s="4"/>
    </row>
    <row r="11" spans="1:7" ht="17.25" customHeight="1" x14ac:dyDescent="0.2">
      <c r="A11" s="4"/>
      <c r="B11" s="4"/>
      <c r="C11" s="4"/>
      <c r="D11" s="4"/>
      <c r="E11" s="4"/>
      <c r="F11" s="4"/>
      <c r="G11" s="4"/>
    </row>
    <row r="12" spans="1:7" ht="17.25" customHeight="1" x14ac:dyDescent="0.2">
      <c r="A12" s="4"/>
      <c r="B12" s="4"/>
      <c r="C12" s="4"/>
      <c r="D12" s="4"/>
      <c r="E12" s="4"/>
      <c r="F12" s="4"/>
      <c r="G12" s="4"/>
    </row>
    <row r="13" spans="1:7" ht="17.25" customHeight="1" x14ac:dyDescent="0.2">
      <c r="A13" s="4"/>
      <c r="B13" s="4"/>
      <c r="C13" s="4"/>
      <c r="D13" s="4"/>
      <c r="E13" s="4"/>
      <c r="F13" s="4"/>
      <c r="G13" s="4"/>
    </row>
    <row r="14" spans="1:7" ht="17.25" customHeight="1" x14ac:dyDescent="0.2">
      <c r="A14" s="4"/>
      <c r="B14" s="4"/>
      <c r="C14" s="4"/>
      <c r="D14" s="4"/>
      <c r="E14" s="4"/>
      <c r="F14" s="4"/>
      <c r="G14" s="4"/>
    </row>
    <row r="15" spans="1:7" ht="17.25" customHeight="1" x14ac:dyDescent="0.2">
      <c r="A15" s="4"/>
      <c r="B15" s="4"/>
      <c r="C15" s="4"/>
      <c r="D15" s="4"/>
      <c r="E15" s="4"/>
      <c r="F15" s="4"/>
      <c r="G15" s="4"/>
    </row>
    <row r="16" spans="1:7" ht="17.25" customHeight="1" x14ac:dyDescent="0.2">
      <c r="A16" s="4"/>
      <c r="B16" s="4"/>
      <c r="C16" s="4"/>
      <c r="D16" s="4"/>
      <c r="E16" s="4"/>
      <c r="F16" s="4"/>
      <c r="G16" s="4"/>
    </row>
    <row r="17" spans="1:7" ht="17.25" customHeight="1" x14ac:dyDescent="0.2">
      <c r="A17" s="4"/>
      <c r="B17" s="4"/>
      <c r="C17" s="4"/>
      <c r="D17" s="4"/>
      <c r="E17" s="4"/>
      <c r="F17" s="4"/>
      <c r="G17" s="4"/>
    </row>
    <row r="18" spans="1:7" ht="17.25" customHeight="1" x14ac:dyDescent="0.2">
      <c r="A18" s="4"/>
      <c r="B18" s="4"/>
      <c r="C18" s="4"/>
      <c r="D18" s="4"/>
      <c r="E18" s="4"/>
      <c r="F18" s="4"/>
      <c r="G18" s="4"/>
    </row>
    <row r="19" spans="1:7" ht="17.25" customHeight="1" x14ac:dyDescent="0.2">
      <c r="A19" s="4"/>
      <c r="B19" s="4"/>
      <c r="C19" s="4"/>
      <c r="D19" s="4"/>
      <c r="E19" s="4"/>
      <c r="F19" s="4"/>
      <c r="G19" s="4"/>
    </row>
    <row r="20" spans="1:7" ht="17.25" customHeight="1" x14ac:dyDescent="0.2">
      <c r="A20" s="4"/>
      <c r="B20" s="4"/>
      <c r="C20" s="4"/>
      <c r="D20" s="4"/>
      <c r="E20" s="4"/>
      <c r="F20" s="4"/>
      <c r="G20" s="4"/>
    </row>
    <row r="21" spans="1:7" ht="15" customHeight="1" x14ac:dyDescent="0.2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4.5" customHeight="1" x14ac:dyDescent="0.2">
      <c r="A23" s="38" t="s">
        <v>25</v>
      </c>
      <c r="B23" s="24" t="s">
        <v>99</v>
      </c>
      <c r="C23" s="24" t="s">
        <v>100</v>
      </c>
      <c r="D23" s="24" t="s">
        <v>101</v>
      </c>
      <c r="E23" s="24" t="s">
        <v>102</v>
      </c>
      <c r="F23" s="24" t="s">
        <v>103</v>
      </c>
      <c r="G23" s="24" t="s">
        <v>104</v>
      </c>
    </row>
    <row r="24" spans="1:7" x14ac:dyDescent="0.2">
      <c r="A24" s="100" t="s">
        <v>26</v>
      </c>
      <c r="B24" s="128">
        <v>13.4</v>
      </c>
      <c r="C24" s="118">
        <v>14.1</v>
      </c>
      <c r="D24" s="118">
        <v>7</v>
      </c>
      <c r="E24" s="118">
        <v>7.3</v>
      </c>
      <c r="F24" s="118">
        <v>6.6</v>
      </c>
      <c r="G24" s="129">
        <v>6.6</v>
      </c>
    </row>
    <row r="25" spans="1:7" x14ac:dyDescent="0.2">
      <c r="A25" s="101" t="s">
        <v>27</v>
      </c>
      <c r="B25" s="130">
        <v>3</v>
      </c>
      <c r="C25" s="141">
        <v>8.8000000000000007</v>
      </c>
      <c r="D25" s="141">
        <v>3.7</v>
      </c>
      <c r="E25" s="141">
        <v>3.1</v>
      </c>
      <c r="F25" s="141">
        <v>4.5</v>
      </c>
      <c r="G25" s="131">
        <v>3.9</v>
      </c>
    </row>
    <row r="26" spans="1:7" x14ac:dyDescent="0.2">
      <c r="A26" s="101" t="s">
        <v>28</v>
      </c>
      <c r="B26" s="130">
        <v>81.400000000000006</v>
      </c>
      <c r="C26" s="141">
        <v>75.8</v>
      </c>
      <c r="D26" s="141">
        <v>88.1</v>
      </c>
      <c r="E26" s="141">
        <v>88.4</v>
      </c>
      <c r="F26" s="141">
        <v>87.2</v>
      </c>
      <c r="G26" s="131">
        <v>87.5</v>
      </c>
    </row>
    <row r="27" spans="1:7" x14ac:dyDescent="0.2">
      <c r="A27" s="101" t="s">
        <v>29</v>
      </c>
      <c r="B27" s="130">
        <v>1.1000000000000001</v>
      </c>
      <c r="C27" s="141">
        <v>0.9</v>
      </c>
      <c r="D27" s="141">
        <v>1.2</v>
      </c>
      <c r="E27" s="141">
        <v>1.1000000000000001</v>
      </c>
      <c r="F27" s="141">
        <v>1.6</v>
      </c>
      <c r="G27" s="131">
        <v>1.9</v>
      </c>
    </row>
    <row r="28" spans="1:7" x14ac:dyDescent="0.2">
      <c r="A28" s="101" t="s">
        <v>45</v>
      </c>
      <c r="B28" s="130">
        <v>0</v>
      </c>
      <c r="C28" s="141">
        <v>0</v>
      </c>
      <c r="D28" s="141">
        <v>0</v>
      </c>
      <c r="E28" s="141">
        <v>0.1</v>
      </c>
      <c r="F28" s="141">
        <v>0.1</v>
      </c>
      <c r="G28" s="131">
        <v>0.1</v>
      </c>
    </row>
    <row r="29" spans="1:7" x14ac:dyDescent="0.2">
      <c r="A29" s="32" t="s">
        <v>46</v>
      </c>
      <c r="B29" s="117">
        <v>1.1000000000000001</v>
      </c>
      <c r="C29" s="120">
        <v>0.4</v>
      </c>
      <c r="D29" s="120">
        <v>0</v>
      </c>
      <c r="E29" s="120">
        <v>0</v>
      </c>
      <c r="F29" s="120">
        <v>0</v>
      </c>
      <c r="G29" s="132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RowHeight="12" x14ac:dyDescent="0.2"/>
  <cols>
    <col min="1" max="1" width="21.140625" style="3" bestFit="1" customWidth="1"/>
    <col min="2" max="7" width="14.28515625" style="3" customWidth="1"/>
    <col min="8" max="16384" width="9.140625" style="3"/>
  </cols>
  <sheetData>
    <row r="2" spans="1:13" ht="12.75" x14ac:dyDescent="0.2">
      <c r="A2" s="170" t="s">
        <v>110</v>
      </c>
      <c r="B2" s="170"/>
      <c r="C2" s="170"/>
      <c r="D2" s="170"/>
      <c r="E2" s="170"/>
      <c r="F2" s="170"/>
      <c r="G2" s="170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5"/>
    </row>
    <row r="20" spans="1:8" x14ac:dyDescent="0.2">
      <c r="A20" s="5"/>
    </row>
    <row r="21" spans="1:8" ht="36" customHeight="1" x14ac:dyDescent="0.2">
      <c r="A21" s="20"/>
      <c r="B21" s="9" t="s">
        <v>104</v>
      </c>
      <c r="C21" s="9" t="s">
        <v>103</v>
      </c>
      <c r="D21" s="9" t="s">
        <v>102</v>
      </c>
      <c r="E21" s="9" t="s">
        <v>101</v>
      </c>
      <c r="F21" s="9" t="s">
        <v>100</v>
      </c>
      <c r="G21" s="9" t="s">
        <v>99</v>
      </c>
    </row>
    <row r="22" spans="1:8" ht="15" customHeight="1" x14ac:dyDescent="0.2">
      <c r="A22" s="16" t="s">
        <v>30</v>
      </c>
      <c r="B22" s="128">
        <v>66.400000000000006</v>
      </c>
      <c r="C22" s="118">
        <v>63.6</v>
      </c>
      <c r="D22" s="118">
        <v>65.7</v>
      </c>
      <c r="E22" s="118">
        <v>61.3</v>
      </c>
      <c r="F22" s="118">
        <v>59.2</v>
      </c>
      <c r="G22" s="129">
        <v>63.9</v>
      </c>
      <c r="H22" s="6"/>
    </row>
    <row r="23" spans="1:8" ht="14.25" customHeight="1" x14ac:dyDescent="0.2">
      <c r="A23" s="17" t="s">
        <v>31</v>
      </c>
      <c r="B23" s="130">
        <v>15.6</v>
      </c>
      <c r="C23" s="141">
        <v>14.9</v>
      </c>
      <c r="D23" s="141">
        <v>15.8</v>
      </c>
      <c r="E23" s="141">
        <v>15.3</v>
      </c>
      <c r="F23" s="141">
        <v>22.2</v>
      </c>
      <c r="G23" s="131">
        <v>23.9</v>
      </c>
      <c r="H23" s="6"/>
    </row>
    <row r="24" spans="1:8" ht="15" customHeight="1" x14ac:dyDescent="0.2">
      <c r="A24" s="18" t="s">
        <v>32</v>
      </c>
      <c r="B24" s="117">
        <v>18</v>
      </c>
      <c r="C24" s="120">
        <v>21.5</v>
      </c>
      <c r="D24" s="120">
        <v>18.5</v>
      </c>
      <c r="E24" s="120">
        <v>23.4</v>
      </c>
      <c r="F24" s="120">
        <v>18.600000000000001</v>
      </c>
      <c r="G24" s="132">
        <v>12.2</v>
      </c>
      <c r="H24" s="6"/>
    </row>
    <row r="28" spans="1:8" x14ac:dyDescent="0.2">
      <c r="E28" s="3" t="s">
        <v>107</v>
      </c>
    </row>
    <row r="30" spans="1:8" ht="15.75" x14ac:dyDescent="0.2">
      <c r="B30" s="52"/>
      <c r="C30" s="52"/>
      <c r="D30" s="52"/>
      <c r="E30" s="53"/>
      <c r="F30" s="52"/>
      <c r="G30" s="52"/>
    </row>
    <row r="31" spans="1:8" ht="15.75" x14ac:dyDescent="0.2">
      <c r="B31" s="52"/>
      <c r="C31" s="52"/>
      <c r="D31" s="52"/>
      <c r="E31" s="53"/>
      <c r="F31" s="52"/>
      <c r="G31" s="52"/>
    </row>
    <row r="32" spans="1:8" ht="15.75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6"/>
  <sheetViews>
    <sheetView workbookViewId="0">
      <selection activeCell="A2" sqref="A2:G2"/>
    </sheetView>
  </sheetViews>
  <sheetFormatPr defaultRowHeight="12" x14ac:dyDescent="0.2"/>
  <cols>
    <col min="1" max="1" width="21" style="3" customWidth="1"/>
    <col min="2" max="7" width="14.28515625" style="3" customWidth="1"/>
    <col min="8" max="16384" width="9.140625" style="3"/>
  </cols>
  <sheetData>
    <row r="2" spans="1:7" ht="18" customHeight="1" x14ac:dyDescent="0.2">
      <c r="A2" s="170" t="s">
        <v>111</v>
      </c>
      <c r="B2" s="170"/>
      <c r="C2" s="170"/>
      <c r="D2" s="170"/>
      <c r="E2" s="170"/>
      <c r="F2" s="170"/>
      <c r="G2" s="170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">
      <c r="A4" s="4"/>
      <c r="B4" s="4"/>
      <c r="C4" s="4"/>
      <c r="D4" s="4"/>
      <c r="E4" s="4"/>
      <c r="F4" s="4"/>
      <c r="G4" s="4"/>
    </row>
    <row r="5" spans="1:7" ht="13.5" customHeight="1" x14ac:dyDescent="0.2">
      <c r="A5" s="4"/>
      <c r="B5" s="4"/>
      <c r="C5" s="4"/>
      <c r="D5" s="4"/>
      <c r="E5" s="4"/>
      <c r="F5" s="4"/>
      <c r="G5" s="4"/>
    </row>
    <row r="6" spans="1:7" ht="13.5" customHeight="1" x14ac:dyDescent="0.2">
      <c r="A6" s="4"/>
      <c r="B6" s="4"/>
      <c r="C6" s="4"/>
      <c r="D6" s="4"/>
      <c r="E6" s="4"/>
      <c r="F6" s="4"/>
      <c r="G6" s="4"/>
    </row>
    <row r="7" spans="1:7" ht="13.5" customHeight="1" x14ac:dyDescent="0.2">
      <c r="A7" s="4"/>
      <c r="B7" s="4"/>
      <c r="C7" s="4"/>
      <c r="D7" s="4"/>
      <c r="E7" s="4"/>
      <c r="F7" s="4"/>
      <c r="G7" s="4"/>
    </row>
    <row r="8" spans="1:7" ht="13.5" customHeight="1" x14ac:dyDescent="0.2">
      <c r="A8" s="4"/>
      <c r="B8" s="4"/>
      <c r="C8" s="4"/>
      <c r="D8" s="4"/>
      <c r="E8" s="4"/>
      <c r="F8" s="4"/>
      <c r="G8" s="4"/>
    </row>
    <row r="9" spans="1:7" ht="13.5" customHeight="1" x14ac:dyDescent="0.2">
      <c r="A9" s="4"/>
      <c r="B9" s="4"/>
      <c r="C9" s="4"/>
      <c r="D9" s="4"/>
      <c r="E9" s="4"/>
      <c r="F9" s="4"/>
      <c r="G9" s="4"/>
    </row>
    <row r="10" spans="1:7" ht="13.5" customHeight="1" x14ac:dyDescent="0.2">
      <c r="A10" s="4"/>
      <c r="B10" s="4"/>
      <c r="C10" s="4"/>
      <c r="D10" s="4"/>
      <c r="E10" s="4"/>
      <c r="F10" s="4"/>
      <c r="G10" s="4"/>
    </row>
    <row r="11" spans="1:7" ht="13.5" customHeight="1" x14ac:dyDescent="0.2">
      <c r="A11" s="4"/>
      <c r="B11" s="4"/>
      <c r="C11" s="4"/>
      <c r="D11" s="4"/>
      <c r="E11" s="4"/>
      <c r="F11" s="4"/>
      <c r="G11" s="4"/>
    </row>
    <row r="12" spans="1:7" ht="13.5" customHeight="1" x14ac:dyDescent="0.2">
      <c r="A12" s="4"/>
      <c r="B12" s="4"/>
      <c r="C12" s="4"/>
      <c r="D12" s="4"/>
      <c r="E12" s="4"/>
      <c r="F12" s="4"/>
      <c r="G12" s="4"/>
    </row>
    <row r="13" spans="1:7" ht="13.5" customHeight="1" x14ac:dyDescent="0.2">
      <c r="A13" s="4"/>
      <c r="B13" s="4"/>
      <c r="C13" s="4"/>
      <c r="D13" s="4"/>
      <c r="E13" s="4"/>
      <c r="F13" s="4"/>
      <c r="G13" s="4"/>
    </row>
    <row r="14" spans="1:7" ht="13.5" customHeight="1" x14ac:dyDescent="0.2">
      <c r="A14" s="4"/>
      <c r="B14" s="4"/>
      <c r="C14" s="4"/>
      <c r="D14" s="4"/>
      <c r="E14" s="4"/>
      <c r="F14" s="4"/>
      <c r="G14" s="4"/>
    </row>
    <row r="15" spans="1:7" ht="13.5" customHeight="1" x14ac:dyDescent="0.2">
      <c r="A15" s="4"/>
      <c r="B15" s="4"/>
      <c r="C15" s="4"/>
      <c r="D15" s="4"/>
      <c r="E15" s="4"/>
      <c r="F15" s="4"/>
      <c r="G15" s="4"/>
    </row>
    <row r="16" spans="1:7" ht="13.5" customHeight="1" x14ac:dyDescent="0.2">
      <c r="A16" s="4"/>
      <c r="B16" s="4"/>
      <c r="C16" s="4"/>
      <c r="D16" s="4"/>
      <c r="E16" s="4"/>
      <c r="F16" s="4"/>
      <c r="G16" s="4"/>
    </row>
    <row r="17" spans="1:7" ht="13.5" customHeight="1" x14ac:dyDescent="0.2">
      <c r="A17" s="4"/>
      <c r="B17" s="4"/>
      <c r="C17" s="4"/>
      <c r="D17" s="4"/>
      <c r="E17" s="4"/>
      <c r="F17" s="4"/>
      <c r="G17" s="4"/>
    </row>
    <row r="18" spans="1:7" ht="13.5" customHeight="1" x14ac:dyDescent="0.2">
      <c r="A18" s="4"/>
      <c r="B18" s="4"/>
      <c r="C18" s="4"/>
      <c r="D18" s="4"/>
      <c r="E18" s="4"/>
      <c r="F18" s="4"/>
      <c r="G18" s="4"/>
    </row>
    <row r="19" spans="1:7" ht="13.5" customHeight="1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ht="13.5" customHeight="1" x14ac:dyDescent="0.2">
      <c r="A21" s="4"/>
      <c r="B21" s="4"/>
      <c r="C21" s="4"/>
      <c r="D21" s="4"/>
      <c r="E21" s="4"/>
      <c r="F21" s="4"/>
      <c r="G21" s="4"/>
    </row>
    <row r="22" spans="1:7" ht="13.5" customHeight="1" x14ac:dyDescent="0.2">
      <c r="A22" s="5"/>
    </row>
    <row r="23" spans="1:7" ht="13.5" customHeight="1" x14ac:dyDescent="0.2">
      <c r="A23" s="5"/>
    </row>
    <row r="24" spans="1:7" ht="14.25" customHeight="1" x14ac:dyDescent="0.2">
      <c r="A24" s="5"/>
    </row>
    <row r="25" spans="1:7" ht="38.25" customHeight="1" x14ac:dyDescent="0.2">
      <c r="A25" s="37"/>
      <c r="B25" s="9" t="s">
        <v>104</v>
      </c>
      <c r="C25" s="9" t="s">
        <v>103</v>
      </c>
      <c r="D25" s="9" t="s">
        <v>102</v>
      </c>
      <c r="E25" s="9" t="s">
        <v>101</v>
      </c>
      <c r="F25" s="9" t="s">
        <v>100</v>
      </c>
      <c r="G25" s="9" t="s">
        <v>99</v>
      </c>
    </row>
    <row r="26" spans="1:7" x14ac:dyDescent="0.2">
      <c r="A26" s="157" t="s">
        <v>33</v>
      </c>
      <c r="B26" s="135">
        <f>IF(561862.01598="","-",561862.01598/1959536.20883*100)</f>
        <v>28.673214276324938</v>
      </c>
      <c r="C26" s="135">
        <f>IF(571993.18397="","-",571993.18397/2025977.54466*100)</f>
        <v>28.232947866457824</v>
      </c>
      <c r="D26" s="135">
        <f>IF(485645.87832="","-",485645.87832/1737475.58788*100)</f>
        <v>27.951234636485811</v>
      </c>
      <c r="E26" s="135">
        <f>IF(564959.40087="","-",564959.40087/2103421.20669*100)</f>
        <v>26.859071263193897</v>
      </c>
      <c r="F26" s="135">
        <f>IF(933681.9748="","-",933681.9748/3277823.24746*100)</f>
        <v>28.484817646086142</v>
      </c>
      <c r="G26" s="136">
        <f>IF(1031539.32464="","-",1031539.32464/3014879.35037*100)</f>
        <v>34.214945434330716</v>
      </c>
    </row>
    <row r="27" spans="1:7" x14ac:dyDescent="0.2">
      <c r="A27" s="158" t="s">
        <v>38</v>
      </c>
      <c r="B27" s="156">
        <f>IF(58527.38177="","-",58527.38177/1959536.20883*100)</f>
        <v>2.9867976670329321</v>
      </c>
      <c r="C27" s="156">
        <f>IF(53790.2203="","-",53790.2203/2025977.54466*100)</f>
        <v>2.6550254933367037</v>
      </c>
      <c r="D27" s="156">
        <f>IF(46029.36365="","-",46029.36365/1737475.58788*100)</f>
        <v>2.6492092303963379</v>
      </c>
      <c r="E27" s="156">
        <f>IF(63539.92793="","-",63539.92793/2103421.20669*100)</f>
        <v>3.0207895464735821</v>
      </c>
      <c r="F27" s="156">
        <f>IF(489731.78186="","-",489731.78186/3277823.24746*100)</f>
        <v>14.940762356222084</v>
      </c>
      <c r="G27" s="137">
        <f>IF(491153.9273="","-",491153.9273/3014879.35037*100)</f>
        <v>16.290997755506311</v>
      </c>
    </row>
    <row r="28" spans="1:7" x14ac:dyDescent="0.2">
      <c r="A28" s="158" t="s">
        <v>36</v>
      </c>
      <c r="B28" s="156">
        <f>IF(229710.15129="","-",229710.15129/1959536.20883*100)</f>
        <v>11.722679594022678</v>
      </c>
      <c r="C28" s="156">
        <f>IF(206768.43293="","-",206768.43293/2025977.54466*100)</f>
        <v>10.205860053828975</v>
      </c>
      <c r="D28" s="156">
        <f>IF(152786.40842="","-",152786.40842/1737475.58788*100)</f>
        <v>8.793585906229854</v>
      </c>
      <c r="E28" s="156">
        <f>IF(157643.80856="","-",157643.80856/2103421.20669*100)</f>
        <v>7.4946381665549771</v>
      </c>
      <c r="F28" s="156">
        <f>IF(259336.99139="","-",259336.99139/3277823.24746*100)</f>
        <v>7.9118662542576503</v>
      </c>
      <c r="G28" s="137">
        <f>IF(201962.57911="","-",201962.57911/3014879.35037*100)</f>
        <v>6.6988610700197402</v>
      </c>
    </row>
    <row r="29" spans="1:7" x14ac:dyDescent="0.2">
      <c r="A29" s="158" t="s">
        <v>34</v>
      </c>
      <c r="B29" s="156">
        <f>IF(163831.29019="","-",163831.29019/1959536.20883*100)</f>
        <v>8.3607176765475746</v>
      </c>
      <c r="C29" s="156">
        <f>IF(181909.45768="","-",181909.45768/2025977.54466*100)</f>
        <v>8.9788486629316555</v>
      </c>
      <c r="D29" s="156">
        <f>IF(162216.33362="","-",162216.33362/1737475.58788*100)</f>
        <v>9.3363230396767776</v>
      </c>
      <c r="E29" s="156">
        <f>IF(187902.20156="","-",187902.20156/2103421.20669*100)</f>
        <v>8.9331704445296491</v>
      </c>
      <c r="F29" s="156">
        <f>IF(178597.79205="","-",178597.79205/3277823.24746*100)</f>
        <v>5.4486706135968808</v>
      </c>
      <c r="G29" s="137">
        <f>IF(162793.23981="","-",162793.23981/3014879.35037*100)</f>
        <v>5.3996601817588905</v>
      </c>
    </row>
    <row r="30" spans="1:7" x14ac:dyDescent="0.2">
      <c r="A30" s="158" t="s">
        <v>58</v>
      </c>
      <c r="B30" s="156">
        <f>IF(30441.1731="","-",30441.1731/1959536.20883*100)</f>
        <v>1.5534886756788138</v>
      </c>
      <c r="C30" s="156">
        <f>IF(41936.67614="","-",41936.67614/2025977.54466*100)</f>
        <v>2.0699477272359315</v>
      </c>
      <c r="D30" s="156">
        <f>IF(57395.94823="","-",57395.94823/1737475.58788*100)</f>
        <v>3.3034103402875603</v>
      </c>
      <c r="E30" s="156">
        <f>IF(60180.03887="","-",60180.03887/2103421.20669*100)</f>
        <v>2.8610550601370481</v>
      </c>
      <c r="F30" s="156">
        <f>IF(75180.1271="","-",75180.1271/3277823.24746*100)</f>
        <v>2.2935991792192398</v>
      </c>
      <c r="G30" s="137">
        <f>IF(115275.68972="","-",115275.68972/3014879.35037*100)</f>
        <v>3.823558966160713</v>
      </c>
    </row>
    <row r="31" spans="1:7" x14ac:dyDescent="0.2">
      <c r="A31" s="158" t="s">
        <v>92</v>
      </c>
      <c r="B31" s="156">
        <f>IF(159507.50052="","-",159507.50052/1959536.20883*100)</f>
        <v>8.1400639498893845</v>
      </c>
      <c r="C31" s="156">
        <f>IF(171717.60674="","-",171717.60674/2025977.54466*100)</f>
        <v>8.4757902274192123</v>
      </c>
      <c r="D31" s="156">
        <f>IF(163144.20091="","-",163144.20091/1737475.58788*100)</f>
        <v>9.3897262239558845</v>
      </c>
      <c r="E31" s="156">
        <f>IF(194181.41431="","-",194181.41431/2103421.20669*100)</f>
        <v>9.231694236627435</v>
      </c>
      <c r="F31" s="156">
        <f>IF(156201.99935="","-",156201.99935/3277823.24746*100)</f>
        <v>4.7654186195378783</v>
      </c>
      <c r="G31" s="137">
        <f>IF(107585.25564="","-",107585.25564/3014879.35037*100)</f>
        <v>3.5684763181915269</v>
      </c>
    </row>
    <row r="32" spans="1:7" x14ac:dyDescent="0.2">
      <c r="A32" s="158" t="s">
        <v>35</v>
      </c>
      <c r="B32" s="156">
        <f>IF(60517.39957="","-",60517.39957/1959536.20883*100)</f>
        <v>3.0883532183431166</v>
      </c>
      <c r="C32" s="156">
        <f>IF(149842.38951="","-",149842.38951/2025977.54466*100)</f>
        <v>7.3960538163391449</v>
      </c>
      <c r="D32" s="156">
        <f>IF(115613.39395="","-",115613.39395/1737475.58788*100)</f>
        <v>6.6541017759603154</v>
      </c>
      <c r="E32" s="156">
        <f>IF(204589.79366="","-",204589.79366/2103421.20669*100)</f>
        <v>9.7265251966318242</v>
      </c>
      <c r="F32" s="156">
        <f>IF(263141.74077="","-",263141.74077/3277823.24746*100)</f>
        <v>8.0279417437749174</v>
      </c>
      <c r="G32" s="137">
        <f>IF(104614.92407="","-",104614.92407/3014879.35037*100)</f>
        <v>3.4699539156404771</v>
      </c>
    </row>
    <row r="33" spans="1:7" x14ac:dyDescent="0.2">
      <c r="A33" s="158" t="s">
        <v>37</v>
      </c>
      <c r="B33" s="156">
        <f>IF(69463.99575="","-",69463.99575/1959536.20883*100)</f>
        <v>3.5449202437282632</v>
      </c>
      <c r="C33" s="156">
        <f>IF(80428.17802="","-",80428.17802/2025977.54466*100)</f>
        <v>3.9698454818509594</v>
      </c>
      <c r="D33" s="156">
        <f>IF(73089.08248="","-",73089.08248/1737475.58788*100)</f>
        <v>4.2066250018039364</v>
      </c>
      <c r="E33" s="156">
        <f>IF(76744.80387="","-",76744.80387/2103421.20669*100)</f>
        <v>3.648570415944778</v>
      </c>
      <c r="F33" s="156">
        <f>IF(91956.27055="","-",91956.27055/3277823.24746*100)</f>
        <v>2.8054066253040739</v>
      </c>
      <c r="G33" s="137">
        <f>IF(89940.38025="","-",89940.38025/3014879.35037*100)</f>
        <v>2.9832165668242112</v>
      </c>
    </row>
    <row r="34" spans="1:7" x14ac:dyDescent="0.2">
      <c r="A34" s="158" t="s">
        <v>39</v>
      </c>
      <c r="B34" s="156">
        <f>IF(68156.47113="","-",68156.47113/1959536.20883*100)</f>
        <v>3.478194014628333</v>
      </c>
      <c r="C34" s="156">
        <f>IF(59903.40742="","-",59903.40742/2025977.54466*100)</f>
        <v>2.9567656155859816</v>
      </c>
      <c r="D34" s="156">
        <f>IF(48512.69635="","-",48512.69635/1737475.58788*100)</f>
        <v>2.7921368615712927</v>
      </c>
      <c r="E34" s="156">
        <f>IF(45755.92275="","-",45755.92275/2103421.20669*100)</f>
        <v>2.1753095673121385</v>
      </c>
      <c r="F34" s="156">
        <f>IF(53773.45813="","-",53773.45813/3277823.24746*100)</f>
        <v>1.6405234227217496</v>
      </c>
      <c r="G34" s="137">
        <f>IF(65014.4192="","-",65014.4192/3014879.35037*100)</f>
        <v>2.1564517728386421</v>
      </c>
    </row>
    <row r="35" spans="1:7" x14ac:dyDescent="0.2">
      <c r="A35" s="158" t="s">
        <v>42</v>
      </c>
      <c r="B35" s="156">
        <f>IF(37705.90926="","-",37705.90926/1959536.20883*100)</f>
        <v>1.92422620669579</v>
      </c>
      <c r="C35" s="156">
        <f>IF(35518.75181="","-",35518.75181/2025977.54466*100)</f>
        <v>1.7531661149759075</v>
      </c>
      <c r="D35" s="156">
        <f>IF(28849.81433="","-",28849.81433/1737475.58788*100)</f>
        <v>1.6604442981096166</v>
      </c>
      <c r="E35" s="156">
        <f>IF(39863.78328="","-",39863.78328/2103421.20669*100)</f>
        <v>1.8951878564888447</v>
      </c>
      <c r="F35" s="156">
        <f>IF(131205.90804="","-",131205.90804/3277823.24746*100)</f>
        <v>4.0028365819197864</v>
      </c>
      <c r="G35" s="137">
        <f>IF(54571.47754="","-",54571.47754/3014879.35037*100)</f>
        <v>1.8100716877211931</v>
      </c>
    </row>
    <row r="36" spans="1:7" x14ac:dyDescent="0.2">
      <c r="A36" s="158" t="s">
        <v>41</v>
      </c>
      <c r="B36" s="156">
        <f>IF(19890.72996="","-",19890.72996/1959536.20883*100)</f>
        <v>1.0150733561527991</v>
      </c>
      <c r="C36" s="156">
        <f>IF(23567.17997="","-",23567.17997/2025977.54466*100)</f>
        <v>1.1632498115350558</v>
      </c>
      <c r="D36" s="156">
        <f>IF(23538.44809="","-",23538.44809/1737475.58788*100)</f>
        <v>1.3547498597503</v>
      </c>
      <c r="E36" s="156">
        <f>IF(20909.85213="","-",20909.85213/2103421.20669*100)</f>
        <v>0.99408773019381624</v>
      </c>
      <c r="F36" s="156">
        <f>IF(25311.04479="","-",25311.04479/3277823.24746*100)</f>
        <v>0.77219065456362368</v>
      </c>
      <c r="G36" s="137">
        <f>IF(42926.1281="","-",42926.1281/3014879.35037*100)</f>
        <v>1.4238091515911542</v>
      </c>
    </row>
    <row r="37" spans="1:7" x14ac:dyDescent="0.2">
      <c r="A37" s="158" t="s">
        <v>59</v>
      </c>
      <c r="B37" s="156">
        <f>IF(16237.41663="","-",16237.41663/1959536.20883*100)</f>
        <v>0.82863570251120988</v>
      </c>
      <c r="C37" s="156">
        <f>IF(16327.32733="","-",16327.32733/2025977.54466*100)</f>
        <v>0.80589873135736345</v>
      </c>
      <c r="D37" s="156">
        <f>IF(19624.344="","-",19624.344/1737475.58788*100)</f>
        <v>1.129474516758239</v>
      </c>
      <c r="E37" s="156">
        <f>IF(18592.97177="","-",18592.97177/2103421.20669*100)</f>
        <v>0.88393954148909615</v>
      </c>
      <c r="F37" s="156">
        <f>IF(30039.26332="","-",30039.26332/3277823.24746*100)</f>
        <v>0.91643938834339389</v>
      </c>
      <c r="G37" s="137">
        <f>IF(37565.3867="","-",37565.3867/3014879.35037*100)</f>
        <v>1.2459996681256846</v>
      </c>
    </row>
    <row r="38" spans="1:7" x14ac:dyDescent="0.2">
      <c r="A38" s="158" t="s">
        <v>40</v>
      </c>
      <c r="B38" s="156">
        <f>IF(5911.65416="","-",5911.65416/1959536.20883*100)</f>
        <v>0.30168639565633398</v>
      </c>
      <c r="C38" s="156">
        <f>IF(6804.82704="","-",6804.82704/2025977.54466*100)</f>
        <v>0.33587870003475229</v>
      </c>
      <c r="D38" s="156">
        <f>IF(16961.98669="","-",16961.98669/1737475.58788*100)</f>
        <v>0.9762431661383143</v>
      </c>
      <c r="E38" s="156">
        <f>IF(29367.78577="","-",29367.78577/2103421.20669*100)</f>
        <v>1.3961913893705549</v>
      </c>
      <c r="F38" s="156">
        <f>IF(40546.66558="","-",40546.66558/3277823.24746*100)</f>
        <v>1.2369997562077149</v>
      </c>
      <c r="G38" s="137">
        <f>IF(36217.80271="","-",36217.80271/3014879.35037*100)</f>
        <v>1.2013018930775849</v>
      </c>
    </row>
    <row r="39" spans="1:7" x14ac:dyDescent="0.2">
      <c r="A39" s="158" t="s">
        <v>74</v>
      </c>
      <c r="B39" s="156">
        <f>IF(26982.89999="","-",26982.89999/1959536.20883*100)</f>
        <v>1.3770044089213822</v>
      </c>
      <c r="C39" s="156">
        <f>IF(25412.43392="","-",25412.43392/2025977.54466*100)</f>
        <v>1.2543294957528623</v>
      </c>
      <c r="D39" s="156">
        <f>IF(25874.58039="","-",25874.58039/1737475.58788*100)</f>
        <v>1.4892054064236466</v>
      </c>
      <c r="E39" s="156">
        <f>IF(26262.04216="","-",26262.04216/2103421.20669*100)</f>
        <v>1.2485393831949929</v>
      </c>
      <c r="F39" s="156">
        <f>IF(54037.20995="","-",54037.20995/3277823.24746*100)</f>
        <v>1.6485699767940103</v>
      </c>
      <c r="G39" s="137">
        <f>IF(33560.36203="","-",33560.36203/3014879.35037*100)</f>
        <v>1.1131577131231241</v>
      </c>
    </row>
    <row r="40" spans="1:7" x14ac:dyDescent="0.2">
      <c r="A40" s="158" t="s">
        <v>81</v>
      </c>
      <c r="B40" s="156">
        <f>IF(12511.87248="","-",12511.87248/1959536.20883*100)</f>
        <v>0.63851193071194079</v>
      </c>
      <c r="C40" s="156">
        <f>IF(6767.22455="","-",6767.22455/2025977.54466*100)</f>
        <v>0.33402268291851561</v>
      </c>
      <c r="D40" s="156">
        <f>IF(10910.73166="","-",10910.73166/1737475.58788*100)</f>
        <v>0.62796460198401116</v>
      </c>
      <c r="E40" s="156">
        <f>IF(9315.3628="","-",9315.3628/2103421.20669*100)</f>
        <v>0.44286720940019925</v>
      </c>
      <c r="F40" s="156">
        <f>IF(14299.86192="","-",14299.86192/3277823.24746*100)</f>
        <v>0.43626092197256289</v>
      </c>
      <c r="G40" s="137">
        <f>IF(33403.56041="","-",33403.56041/3014879.35037*100)</f>
        <v>1.1079567879192431</v>
      </c>
    </row>
    <row r="41" spans="1:7" x14ac:dyDescent="0.2">
      <c r="A41" s="158" t="s">
        <v>93</v>
      </c>
      <c r="B41" s="156">
        <f>IF(38251.61592="","-",38251.61592/1959536.20883*100)</f>
        <v>1.9520749730284022</v>
      </c>
      <c r="C41" s="156">
        <f>IF(24901.85569="","-",24901.85569/2025977.54466*100)</f>
        <v>1.2291279217598157</v>
      </c>
      <c r="D41" s="156">
        <f>IF(23108.66947="","-",23108.66947/1737475.58788*100)</f>
        <v>1.3300140520648291</v>
      </c>
      <c r="E41" s="156">
        <f>IF(23599.77411="","-",23599.77411/2103421.20669*100)</f>
        <v>1.1219709126702795</v>
      </c>
      <c r="F41" s="156">
        <f>IF(30581.03976="","-",30581.03976/3277823.24746*100)</f>
        <v>0.93296793180344251</v>
      </c>
      <c r="G41" s="137">
        <f>IF(31714.32397="","-",31714.32397/3014879.35037*100)</f>
        <v>1.0519268031773104</v>
      </c>
    </row>
    <row r="42" spans="1:7" x14ac:dyDescent="0.2">
      <c r="A42" s="158" t="s">
        <v>43</v>
      </c>
      <c r="B42" s="156">
        <f>IF(63041.94988="","-",63041.94988/1959536.20883*100)</f>
        <v>3.2171872913561059</v>
      </c>
      <c r="C42" s="156">
        <f>IF(38961.05259="","-",38961.05259/2025977.54466*100)</f>
        <v>1.9230742558175022</v>
      </c>
      <c r="D42" s="156">
        <f>IF(30311.90985="","-",30311.90985/1737475.58788*100)</f>
        <v>1.7445948628829606</v>
      </c>
      <c r="E42" s="156">
        <f>IF(45227.9916="","-",45227.9916/2103421.20669*100)</f>
        <v>2.1502108781708054</v>
      </c>
      <c r="F42" s="156">
        <f>IF(51163.94533="","-",51163.94533/3277823.24746*100)</f>
        <v>1.5609122721808497</v>
      </c>
      <c r="G42" s="137">
        <f>IF(30196.38552="","-",30196.38552/3014879.35037*100)</f>
        <v>1.0015785711721485</v>
      </c>
    </row>
    <row r="43" spans="1:7" ht="12" customHeight="1" x14ac:dyDescent="0.2">
      <c r="A43" s="158" t="s">
        <v>90</v>
      </c>
      <c r="B43" s="156">
        <f>IF(11641.77307="","-",11641.77307/1959536.20883*100)</f>
        <v>0.59410859659240856</v>
      </c>
      <c r="C43" s="156">
        <f>IF(9537.19106="","-",9537.19106/2025977.54466*100)</f>
        <v>0.47074515140297535</v>
      </c>
      <c r="D43" s="156">
        <f>IF(9946.45765="","-",9946.45765/1737475.58788*100)</f>
        <v>0.57246603747315261</v>
      </c>
      <c r="E43" s="156">
        <f>IF(20489.65165="","-",20489.65165/2103421.20669*100)</f>
        <v>0.97411072897962592</v>
      </c>
      <c r="F43" s="156">
        <f>IF(15675.34771="","-",15675.34771/3277823.24746*100)</f>
        <v>0.47822431310617181</v>
      </c>
      <c r="G43" s="137">
        <f>IF(26486.86745="","-",26486.86745/3014879.35037*100)</f>
        <v>0.87853822232552714</v>
      </c>
    </row>
    <row r="44" spans="1:7" x14ac:dyDescent="0.2">
      <c r="A44" s="158" t="s">
        <v>57</v>
      </c>
      <c r="B44" s="156">
        <f>IF(26566.96519="","-",26566.96519/1959536.20883*100)</f>
        <v>1.3557782229429998</v>
      </c>
      <c r="C44" s="156">
        <f>IF(22860.25702="","-",22860.25702/2025977.54466*100)</f>
        <v>1.1283568803738353</v>
      </c>
      <c r="D44" s="156">
        <f>IF(23648.08193="","-",23648.08193/1737475.58788*100)</f>
        <v>1.3610598097009505</v>
      </c>
      <c r="E44" s="156">
        <f>IF(20502.34283="","-",20502.34283/2103421.20669*100)</f>
        <v>0.97471408792455028</v>
      </c>
      <c r="F44" s="156">
        <f>IF(26600.11618="","-",26600.11618/3277823.24746*100)</f>
        <v>0.8115177107433279</v>
      </c>
      <c r="G44" s="137">
        <f>IF(25214.57742="","-",25214.57742/3014879.35037*100)</f>
        <v>0.8363378593211549</v>
      </c>
    </row>
    <row r="45" spans="1:7" x14ac:dyDescent="0.2">
      <c r="A45" s="158" t="s">
        <v>89</v>
      </c>
      <c r="B45" s="156">
        <f>IF(6058.84707="","-",6058.84707/1959536.20883*100)</f>
        <v>0.30919801546395598</v>
      </c>
      <c r="C45" s="156">
        <f>IF(8294.22635="","-",8294.22635/2025977.54466*100)</f>
        <v>0.40939379470723308</v>
      </c>
      <c r="D45" s="156">
        <f>IF(10063.699="","-",10063.699/1737475.58788*100)</f>
        <v>0.57921383587779407</v>
      </c>
      <c r="E45" s="156">
        <f>IF(4362.37265="","-",4362.37265/2103421.20669*100)</f>
        <v>0.20739415558449878</v>
      </c>
      <c r="F45" s="156">
        <f>IF(13747.24016="","-",13747.24016/3277823.24746*100)</f>
        <v>0.41940150893288086</v>
      </c>
      <c r="G45" s="137">
        <f>IF(24444.425="","-",24444.425/3014879.35037*100)</f>
        <v>0.81079280990133362</v>
      </c>
    </row>
    <row r="46" spans="1:7" x14ac:dyDescent="0.2">
      <c r="A46" s="159" t="s">
        <v>108</v>
      </c>
      <c r="B46" s="138">
        <f>IF(38920.40556="","-",38920.40556/1959536.20883*100)</f>
        <v>1.9862049695544333</v>
      </c>
      <c r="C46" s="138">
        <f>IF(60026.74529="","-",60026.74529/2025977.54466*100)</f>
        <v>2.9628534357755534</v>
      </c>
      <c r="D46" s="138">
        <f>IF(44392.71862="","-",44392.71862/1737475.58788*100)</f>
        <v>2.5550125095090555</v>
      </c>
      <c r="E46" s="138">
        <f>IF(61892.70369="","-",61892.70369/2103421.20669*100)</f>
        <v>2.9424778780944223</v>
      </c>
      <c r="F46" s="138">
        <f>IF(59580.15801="","-",59580.15801/3277823.24746*100)</f>
        <v>1.8176745209238763</v>
      </c>
      <c r="G46" s="121">
        <f>IF(23268.77929="","-",23268.77929/3014879.35037*100)</f>
        <v>0.77179802525578156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2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ht="15" customHeight="1" x14ac:dyDescent="0.2">
      <c r="A2" s="172" t="s">
        <v>82</v>
      </c>
      <c r="B2" s="172"/>
      <c r="C2" s="172"/>
      <c r="D2" s="172"/>
      <c r="E2" s="172"/>
      <c r="F2" s="172"/>
      <c r="G2" s="172"/>
    </row>
    <row r="3" spans="1:8" ht="15" customHeight="1" x14ac:dyDescent="0.2">
      <c r="A3" s="107"/>
      <c r="B3" s="107"/>
      <c r="C3" s="107"/>
      <c r="D3" s="107"/>
      <c r="E3" s="107"/>
      <c r="F3" s="107"/>
      <c r="G3" s="107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71"/>
      <c r="B6" s="171"/>
      <c r="C6" s="171"/>
      <c r="D6" s="171"/>
      <c r="E6" s="171"/>
      <c r="F6" s="171"/>
      <c r="G6" s="171"/>
      <c r="H6" s="171"/>
    </row>
    <row r="30" spans="1:6" x14ac:dyDescent="0.2">
      <c r="A30" s="96" t="s">
        <v>105</v>
      </c>
      <c r="B30" s="37" t="s">
        <v>44</v>
      </c>
    </row>
    <row r="31" spans="1:6" ht="15" x14ac:dyDescent="0.2">
      <c r="A31" s="122" t="s">
        <v>65</v>
      </c>
      <c r="B31" s="113">
        <v>12.3</v>
      </c>
      <c r="C31" s="102"/>
      <c r="D31" s="104"/>
      <c r="E31" s="105"/>
      <c r="F31" s="105"/>
    </row>
    <row r="32" spans="1:6" ht="15" x14ac:dyDescent="0.2">
      <c r="A32" s="123" t="s">
        <v>79</v>
      </c>
      <c r="B32" s="114">
        <v>11.7</v>
      </c>
      <c r="C32" s="102"/>
      <c r="D32" s="104"/>
      <c r="E32" s="105"/>
      <c r="F32" s="105"/>
    </row>
    <row r="33" spans="1:6" ht="15" x14ac:dyDescent="0.2">
      <c r="A33" s="123" t="s">
        <v>60</v>
      </c>
      <c r="B33" s="114">
        <v>12.1</v>
      </c>
      <c r="C33" s="102"/>
      <c r="D33" s="104"/>
      <c r="E33" s="105"/>
      <c r="F33" s="105"/>
    </row>
    <row r="34" spans="1:6" ht="15" x14ac:dyDescent="0.2">
      <c r="A34" s="123" t="s">
        <v>61</v>
      </c>
      <c r="B34" s="114">
        <v>7.9</v>
      </c>
      <c r="C34" s="102"/>
      <c r="D34" s="104"/>
      <c r="E34" s="105"/>
      <c r="F34" s="105"/>
    </row>
    <row r="35" spans="1:6" ht="15" x14ac:dyDescent="0.2">
      <c r="A35" s="123" t="s">
        <v>67</v>
      </c>
      <c r="B35" s="114">
        <v>6.7</v>
      </c>
      <c r="C35" s="102"/>
      <c r="D35" s="104"/>
      <c r="E35" s="105"/>
      <c r="F35" s="105"/>
    </row>
    <row r="36" spans="1:6" ht="15" x14ac:dyDescent="0.2">
      <c r="A36" s="123" t="s">
        <v>62</v>
      </c>
      <c r="B36" s="114">
        <v>9.9</v>
      </c>
      <c r="C36" s="102"/>
      <c r="D36" s="104"/>
      <c r="E36" s="105"/>
      <c r="F36" s="105"/>
    </row>
    <row r="37" spans="1:6" ht="15" x14ac:dyDescent="0.2">
      <c r="A37" s="123" t="s">
        <v>63</v>
      </c>
      <c r="B37" s="114">
        <v>8.6</v>
      </c>
      <c r="C37" s="102"/>
      <c r="D37" s="104"/>
      <c r="E37" s="105"/>
      <c r="F37" s="105"/>
    </row>
    <row r="38" spans="1:6" ht="15" x14ac:dyDescent="0.2">
      <c r="A38" s="123" t="s">
        <v>69</v>
      </c>
      <c r="B38" s="114">
        <v>3.9</v>
      </c>
      <c r="C38" s="102"/>
      <c r="D38" s="104"/>
      <c r="E38" s="105"/>
      <c r="F38" s="105"/>
    </row>
    <row r="39" spans="1:6" ht="15" x14ac:dyDescent="0.2">
      <c r="A39" s="123" t="s">
        <v>66</v>
      </c>
      <c r="B39" s="114">
        <v>3.3</v>
      </c>
      <c r="C39" s="102"/>
      <c r="D39" s="104"/>
      <c r="E39" s="105"/>
      <c r="F39" s="105"/>
    </row>
    <row r="40" spans="1:6" ht="15" x14ac:dyDescent="0.2">
      <c r="A40" s="123" t="s">
        <v>76</v>
      </c>
      <c r="B40" s="114">
        <v>2.1</v>
      </c>
      <c r="C40" s="102"/>
      <c r="D40" s="104"/>
      <c r="E40" s="105"/>
      <c r="F40" s="105"/>
    </row>
    <row r="41" spans="1:6" ht="15" x14ac:dyDescent="0.2">
      <c r="A41" s="123" t="s">
        <v>78</v>
      </c>
      <c r="B41" s="114">
        <v>2.1</v>
      </c>
      <c r="C41" s="102"/>
      <c r="D41" s="104"/>
      <c r="E41" s="105"/>
      <c r="F41" s="105"/>
    </row>
    <row r="42" spans="1:6" ht="15" x14ac:dyDescent="0.2">
      <c r="A42" s="123" t="s">
        <v>72</v>
      </c>
      <c r="B42" s="114">
        <v>2.1</v>
      </c>
      <c r="C42" s="102"/>
      <c r="D42" s="104"/>
      <c r="E42" s="105"/>
      <c r="F42" s="105"/>
    </row>
    <row r="43" spans="1:6" ht="15" x14ac:dyDescent="0.2">
      <c r="A43" s="124" t="s">
        <v>68</v>
      </c>
      <c r="B43" s="121">
        <v>17.3</v>
      </c>
      <c r="C43" s="103"/>
      <c r="D43" s="104"/>
      <c r="E43" s="106"/>
      <c r="F43" s="106"/>
    </row>
    <row r="44" spans="1:6" x14ac:dyDescent="0.2">
      <c r="A44" s="59"/>
      <c r="B44" s="80"/>
    </row>
    <row r="45" spans="1:6" x14ac:dyDescent="0.2">
      <c r="A45" s="96" t="s">
        <v>106</v>
      </c>
      <c r="B45" s="27" t="s">
        <v>44</v>
      </c>
    </row>
    <row r="46" spans="1:6" ht="15" x14ac:dyDescent="0.2">
      <c r="A46" s="122" t="s">
        <v>65</v>
      </c>
      <c r="B46" s="125">
        <v>15.4</v>
      </c>
      <c r="D46" s="105"/>
    </row>
    <row r="47" spans="1:6" ht="15" x14ac:dyDescent="0.2">
      <c r="A47" s="123" t="s">
        <v>79</v>
      </c>
      <c r="B47" s="126">
        <v>11.6</v>
      </c>
      <c r="D47" s="105"/>
    </row>
    <row r="48" spans="1:6" ht="15" x14ac:dyDescent="0.2">
      <c r="A48" s="123" t="s">
        <v>60</v>
      </c>
      <c r="B48" s="126">
        <v>9.9</v>
      </c>
      <c r="D48" s="105"/>
    </row>
    <row r="49" spans="1:4" ht="15" x14ac:dyDescent="0.2">
      <c r="A49" s="123" t="s">
        <v>61</v>
      </c>
      <c r="B49" s="126">
        <v>8.1</v>
      </c>
      <c r="D49" s="105"/>
    </row>
    <row r="50" spans="1:4" ht="15" x14ac:dyDescent="0.2">
      <c r="A50" s="123" t="s">
        <v>67</v>
      </c>
      <c r="B50" s="126">
        <v>7.3</v>
      </c>
      <c r="D50" s="105"/>
    </row>
    <row r="51" spans="1:4" ht="15" x14ac:dyDescent="0.2">
      <c r="A51" s="123" t="s">
        <v>62</v>
      </c>
      <c r="B51" s="126">
        <v>6.5</v>
      </c>
      <c r="D51" s="105"/>
    </row>
    <row r="52" spans="1:4" ht="15" x14ac:dyDescent="0.2">
      <c r="A52" s="123" t="s">
        <v>63</v>
      </c>
      <c r="B52" s="126">
        <v>6.4</v>
      </c>
      <c r="D52" s="105"/>
    </row>
    <row r="53" spans="1:4" ht="15" x14ac:dyDescent="0.2">
      <c r="A53" s="123" t="s">
        <v>69</v>
      </c>
      <c r="B53" s="126">
        <v>5</v>
      </c>
      <c r="D53" s="105"/>
    </row>
    <row r="54" spans="1:4" ht="15" x14ac:dyDescent="0.2">
      <c r="A54" s="123" t="s">
        <v>66</v>
      </c>
      <c r="B54" s="126">
        <v>3.6</v>
      </c>
      <c r="D54" s="105"/>
    </row>
    <row r="55" spans="1:4" ht="15" x14ac:dyDescent="0.2">
      <c r="A55" s="123" t="s">
        <v>76</v>
      </c>
      <c r="B55" s="126">
        <v>2.8</v>
      </c>
      <c r="D55" s="105"/>
    </row>
    <row r="56" spans="1:4" ht="15" x14ac:dyDescent="0.2">
      <c r="A56" s="123" t="s">
        <v>78</v>
      </c>
      <c r="B56" s="126">
        <v>2.1</v>
      </c>
      <c r="D56" s="105"/>
    </row>
    <row r="57" spans="1:4" ht="15" x14ac:dyDescent="0.2">
      <c r="A57" s="123" t="s">
        <v>72</v>
      </c>
      <c r="B57" s="126">
        <v>1.8</v>
      </c>
      <c r="D57" s="105"/>
    </row>
    <row r="58" spans="1:4" ht="15" x14ac:dyDescent="0.2">
      <c r="A58" s="124" t="s">
        <v>68</v>
      </c>
      <c r="B58" s="127">
        <v>19.5</v>
      </c>
      <c r="D58" s="106"/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workbookViewId="0">
      <selection activeCell="A2" sqref="A2:M2"/>
    </sheetView>
  </sheetViews>
  <sheetFormatPr defaultRowHeight="12" x14ac:dyDescent="0.2"/>
  <cols>
    <col min="1" max="1" width="8.5703125" style="3" customWidth="1"/>
    <col min="2" max="2" width="9.7109375" style="3" customWidth="1"/>
    <col min="3" max="3" width="10" style="3" customWidth="1"/>
    <col min="4" max="4" width="9.5703125" style="3" customWidth="1"/>
    <col min="5" max="5" width="9.28515625" style="3" bestFit="1" customWidth="1"/>
    <col min="6" max="6" width="10.28515625" style="3" customWidth="1"/>
    <col min="7" max="7" width="9.28515625" style="3" bestFit="1" customWidth="1"/>
    <col min="8" max="8" width="10" style="3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ht="12.75" x14ac:dyDescent="0.2">
      <c r="A2" s="170" t="s">
        <v>86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x14ac:dyDescent="0.2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x14ac:dyDescent="0.2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x14ac:dyDescent="0.2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x14ac:dyDescent="0.2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x14ac:dyDescent="0.2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x14ac:dyDescent="0.2">
      <c r="A28" s="29">
        <v>2023</v>
      </c>
      <c r="B28" s="10">
        <v>733.3</v>
      </c>
      <c r="C28" s="10">
        <v>752.5</v>
      </c>
      <c r="D28" s="10">
        <v>821.1</v>
      </c>
      <c r="E28" s="10">
        <v>690.4</v>
      </c>
      <c r="F28" s="10">
        <v>709.2</v>
      </c>
      <c r="G28" s="35">
        <v>665.6</v>
      </c>
      <c r="H28" s="35">
        <v>639.5</v>
      </c>
      <c r="I28" s="35">
        <v>698.6</v>
      </c>
      <c r="J28" s="35">
        <v>700.8</v>
      </c>
      <c r="K28" s="35"/>
      <c r="L28" s="35"/>
      <c r="M28" s="36"/>
    </row>
    <row r="29" spans="1:13" x14ac:dyDescent="0.2">
      <c r="E29" s="108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H32"/>
  <sheetViews>
    <sheetView workbookViewId="0">
      <selection activeCell="A2" sqref="A2:T2"/>
    </sheetView>
  </sheetViews>
  <sheetFormatPr defaultRowHeight="12" x14ac:dyDescent="0.2"/>
  <cols>
    <col min="1" max="1" width="19.140625" style="3" customWidth="1"/>
    <col min="2" max="2" width="6.7109375" style="3" customWidth="1"/>
    <col min="3" max="4" width="5.42578125" style="3" customWidth="1"/>
    <col min="5" max="5" width="5.5703125" style="3" customWidth="1"/>
    <col min="6" max="6" width="5.42578125" style="3" customWidth="1"/>
    <col min="7" max="7" width="6" style="3" customWidth="1"/>
    <col min="8" max="8" width="5.28515625" style="3" customWidth="1"/>
    <col min="9" max="11" width="5.7109375" style="3" customWidth="1"/>
    <col min="12" max="12" width="5.42578125" style="3" customWidth="1"/>
    <col min="13" max="14" width="5.5703125" style="3" customWidth="1"/>
    <col min="15" max="16" width="5.85546875" style="3" customWidth="1"/>
    <col min="17" max="17" width="5.5703125" style="3" customWidth="1"/>
    <col min="18" max="18" width="5.42578125" style="3" customWidth="1"/>
    <col min="19" max="19" width="6" style="3" customWidth="1"/>
    <col min="20" max="20" width="0.140625" style="3" customWidth="1"/>
    <col min="21" max="24" width="6" style="3" customWidth="1"/>
    <col min="25" max="25" width="6.42578125" style="3" customWidth="1"/>
    <col min="26" max="28" width="6.28515625" style="3" customWidth="1"/>
    <col min="29" max="30" width="6.7109375" style="3" customWidth="1"/>
    <col min="31" max="31" width="6.5703125" style="3" customWidth="1"/>
    <col min="32" max="32" width="6.140625" style="3" customWidth="1"/>
    <col min="33" max="34" width="5.85546875" style="3" customWidth="1"/>
    <col min="35" max="16384" width="9.140625" style="3"/>
  </cols>
  <sheetData>
    <row r="2" spans="1:20" ht="12.75" x14ac:dyDescent="0.2">
      <c r="A2" s="166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x14ac:dyDescent="0.2">
      <c r="A3" s="4"/>
    </row>
    <row r="4" spans="1:20" x14ac:dyDescent="0.2">
      <c r="A4" s="4"/>
    </row>
    <row r="5" spans="1:20" x14ac:dyDescent="0.2">
      <c r="A5" s="4"/>
    </row>
    <row r="6" spans="1:20" x14ac:dyDescent="0.2">
      <c r="A6" s="4"/>
    </row>
    <row r="7" spans="1:20" x14ac:dyDescent="0.2">
      <c r="A7" s="4"/>
    </row>
    <row r="8" spans="1:20" x14ac:dyDescent="0.2">
      <c r="A8" s="4"/>
    </row>
    <row r="9" spans="1:20" x14ac:dyDescent="0.2">
      <c r="A9" s="4"/>
    </row>
    <row r="10" spans="1:20" x14ac:dyDescent="0.2">
      <c r="A10" s="4"/>
    </row>
    <row r="11" spans="1:20" x14ac:dyDescent="0.2">
      <c r="A11" s="4"/>
    </row>
    <row r="12" spans="1:20" x14ac:dyDescent="0.2">
      <c r="A12" s="4"/>
    </row>
    <row r="13" spans="1:20" x14ac:dyDescent="0.2">
      <c r="A13" s="4"/>
    </row>
    <row r="14" spans="1:20" x14ac:dyDescent="0.2">
      <c r="A14" s="4"/>
    </row>
    <row r="15" spans="1:20" x14ac:dyDescent="0.2">
      <c r="A15" s="4"/>
    </row>
    <row r="16" spans="1:20" x14ac:dyDescent="0.2">
      <c r="A16" s="4"/>
    </row>
    <row r="17" spans="1:34" x14ac:dyDescent="0.2">
      <c r="A17" s="4"/>
    </row>
    <row r="18" spans="1:34" x14ac:dyDescent="0.2">
      <c r="A18" s="4"/>
    </row>
    <row r="19" spans="1:34" x14ac:dyDescent="0.2">
      <c r="A19" s="4"/>
    </row>
    <row r="20" spans="1:34" x14ac:dyDescent="0.2">
      <c r="A20" s="4"/>
    </row>
    <row r="21" spans="1:34" ht="15" customHeight="1" x14ac:dyDescent="0.2">
      <c r="A21" s="4"/>
    </row>
    <row r="22" spans="1:34" x14ac:dyDescent="0.2">
      <c r="A22" s="4"/>
    </row>
    <row r="23" spans="1:34" x14ac:dyDescent="0.2">
      <c r="A23" s="173"/>
      <c r="B23" s="163">
        <v>2021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5"/>
      <c r="N23" s="163">
        <v>2022</v>
      </c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5"/>
      <c r="Z23" s="167">
        <v>2023</v>
      </c>
      <c r="AA23" s="168"/>
      <c r="AB23" s="168"/>
      <c r="AC23" s="168"/>
      <c r="AD23" s="168"/>
      <c r="AE23" s="168"/>
      <c r="AF23" s="168"/>
      <c r="AG23" s="168"/>
      <c r="AH23" s="169"/>
    </row>
    <row r="24" spans="1:34" x14ac:dyDescent="0.2">
      <c r="A24" s="174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91" t="s">
        <v>20</v>
      </c>
      <c r="Y24" s="91" t="s">
        <v>21</v>
      </c>
      <c r="Z24" s="57" t="s">
        <v>13</v>
      </c>
      <c r="AA24" s="57" t="s">
        <v>14</v>
      </c>
      <c r="AB24" s="57" t="s">
        <v>15</v>
      </c>
      <c r="AC24" s="57" t="s">
        <v>16</v>
      </c>
      <c r="AD24" s="57" t="s">
        <v>17</v>
      </c>
      <c r="AE24" s="89" t="s">
        <v>22</v>
      </c>
      <c r="AF24" s="89" t="s">
        <v>18</v>
      </c>
      <c r="AG24" s="89" t="s">
        <v>23</v>
      </c>
      <c r="AH24" s="143" t="s">
        <v>19</v>
      </c>
    </row>
    <row r="25" spans="1:34" ht="27.75" customHeight="1" x14ac:dyDescent="0.2">
      <c r="A25" s="16" t="s">
        <v>55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2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88">
        <v>88.988673647198652</v>
      </c>
      <c r="X25" s="88">
        <v>114.26056736134905</v>
      </c>
      <c r="Y25" s="82">
        <v>101.80484196839581</v>
      </c>
      <c r="Z25" s="98">
        <v>83.926621848561766</v>
      </c>
      <c r="AA25" s="79">
        <v>102.61098940878497</v>
      </c>
      <c r="AB25" s="79">
        <v>109.12124896586097</v>
      </c>
      <c r="AC25" s="79">
        <v>84.077689172306663</v>
      </c>
      <c r="AD25" s="79">
        <v>102.7218186786998</v>
      </c>
      <c r="AE25" s="79">
        <v>93.852966657563073</v>
      </c>
      <c r="AF25" s="79">
        <v>96.089832364595196</v>
      </c>
      <c r="AG25" s="79">
        <v>109.23682989386666</v>
      </c>
      <c r="AH25" s="77">
        <v>100.31669475748831</v>
      </c>
    </row>
    <row r="26" spans="1:34" ht="42" customHeight="1" x14ac:dyDescent="0.2">
      <c r="A26" s="18" t="s">
        <v>56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99">
        <f>IF(621670.20413="","-",733326.83984/621670.20413*100)</f>
        <v>117.96075072735046</v>
      </c>
      <c r="AA26" s="78">
        <f>IF(669093.24933="","-",752473.92596/669093.24933*100)</f>
        <v>112.46174232268726</v>
      </c>
      <c r="AB26" s="78">
        <f>IF(748290.45998="","-",821108.94615/748290.45998*100)</f>
        <v>109.73131291449928</v>
      </c>
      <c r="AC26" s="78">
        <f>IF(770435.79939="","-",690369.42751/770435.79939*100)</f>
        <v>89.607651676701252</v>
      </c>
      <c r="AD26" s="78">
        <f>IF(772669.2169="","-",709160.03154/772669.2169*100)</f>
        <v>91.780546711204167</v>
      </c>
      <c r="AE26" s="78">
        <f>IF(768415.61486="","-",665567.72795/768415.61486*100)</f>
        <v>86.615591234603144</v>
      </c>
      <c r="AF26" s="78">
        <f>IF(761060.1229="","-",639542.91406/761060.1229*100)</f>
        <v>84.03316568775648</v>
      </c>
      <c r="AG26" s="78">
        <f>IF(779967.62088="","-",698616.40513/779967.62088*100)</f>
        <v>89.56992398502193</v>
      </c>
      <c r="AH26" s="140">
        <f>IF(844143.83056="","-",700828.88666/844143.83056*100)</f>
        <v>83.022449645230978</v>
      </c>
    </row>
    <row r="27" spans="1:34" x14ac:dyDescent="0.2">
      <c r="A27" s="7"/>
      <c r="B27" s="8"/>
      <c r="C27" s="8"/>
      <c r="D27" s="8"/>
      <c r="E27" s="8"/>
      <c r="F27" s="8"/>
      <c r="G27" s="8"/>
      <c r="H27" s="8"/>
    </row>
    <row r="28" spans="1:34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8"/>
      <c r="X28" s="88"/>
      <c r="Y28" s="88"/>
    </row>
    <row r="29" spans="1:34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4" ht="15.75" x14ac:dyDescent="0.25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4" ht="15.75" x14ac:dyDescent="0.25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4" ht="15.75" x14ac:dyDescent="0.2">
      <c r="L32" s="45"/>
    </row>
  </sheetData>
  <mergeCells count="5">
    <mergeCell ref="A23:A24"/>
    <mergeCell ref="B23:M23"/>
    <mergeCell ref="N23:Y23"/>
    <mergeCell ref="A2:T2"/>
    <mergeCell ref="Z23:AH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2023-11-15T16:00:27Z</cp:lastPrinted>
  <dcterms:created xsi:type="dcterms:W3CDTF">2017-02-13T11:50:10Z</dcterms:created>
  <dcterms:modified xsi:type="dcterms:W3CDTF">2023-11-17T05:41:17Z</dcterms:modified>
</cp:coreProperties>
</file>