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CorinaVicol\Desktop\Com_Ext\"/>
    </mc:Choice>
  </mc:AlternateContent>
  <xr:revisionPtr revIDLastSave="0" documentId="13_ncr:1_{9CABE23A-0BCB-4D89-8FC1-0C8544756961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Figura 1" sheetId="1" r:id="rId1"/>
    <sheet name="Figura 2" sheetId="2" r:id="rId2"/>
    <sheet name="Sheet1" sheetId="18" state="hidden" r:id="rId3"/>
    <sheet name="Figura 3" sheetId="3" r:id="rId4"/>
    <sheet name="Figura 4" sheetId="4" r:id="rId5"/>
    <sheet name="Figura 5" sheetId="5" r:id="rId6"/>
    <sheet name="Figura 6" sheetId="17" r:id="rId7"/>
    <sheet name="Figura 7" sheetId="7" r:id="rId8"/>
    <sheet name="Figura 8" sheetId="8" r:id="rId9"/>
    <sheet name="Figura 9" sheetId="9" r:id="rId10"/>
    <sheet name="Figura 10" sheetId="10" r:id="rId11"/>
    <sheet name="Figura 11" sheetId="16" r:id="rId12"/>
    <sheet name="Figura 12" sheetId="12" r:id="rId13"/>
    <sheet name="Figura 13" sheetId="13" r:id="rId14"/>
    <sheet name="Figura 14" sheetId="1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" i="8" l="1"/>
  <c r="X26" i="8"/>
  <c r="W26" i="8"/>
  <c r="V26" i="8"/>
  <c r="U26" i="8"/>
  <c r="T26" i="8"/>
  <c r="S26" i="8"/>
  <c r="R26" i="8"/>
  <c r="Q26" i="8"/>
  <c r="P26" i="8"/>
  <c r="O26" i="8"/>
  <c r="N26" i="8"/>
  <c r="Y26" i="2"/>
  <c r="X26" i="2"/>
  <c r="W26" i="2"/>
  <c r="V26" i="2"/>
  <c r="U26" i="2"/>
  <c r="T26" i="2"/>
  <c r="S26" i="2"/>
  <c r="R26" i="2"/>
  <c r="Q26" i="2"/>
  <c r="P26" i="2"/>
  <c r="O26" i="2"/>
  <c r="N26" i="2"/>
  <c r="G46" i="16" l="1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AJ26" i="8" l="1"/>
  <c r="G47" i="5" l="1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AJ26" i="2" l="1"/>
  <c r="AE26" i="8" l="1"/>
  <c r="AI26" i="8"/>
  <c r="AH26" i="8"/>
  <c r="AG26" i="8"/>
  <c r="AF26" i="8"/>
  <c r="AD26" i="8"/>
  <c r="AC26" i="8"/>
  <c r="AI26" i="2" l="1"/>
  <c r="AH26" i="2"/>
  <c r="AG26" i="2"/>
  <c r="AF26" i="2"/>
  <c r="AE26" i="2"/>
  <c r="AD26" i="2"/>
  <c r="AC26" i="2"/>
  <c r="AB26" i="8" l="1"/>
  <c r="AA26" i="8"/>
  <c r="Z26" i="8"/>
  <c r="AB26" i="2" l="1"/>
  <c r="AA26" i="2"/>
  <c r="Z26" i="2"/>
  <c r="L26" i="8" l="1"/>
  <c r="M26" i="8" l="1"/>
  <c r="K26" i="8"/>
  <c r="J26" i="8"/>
  <c r="I26" i="8"/>
  <c r="H26" i="8"/>
  <c r="G26" i="8"/>
  <c r="F26" i="8"/>
  <c r="E26" i="8"/>
  <c r="D26" i="8"/>
  <c r="C26" i="8"/>
  <c r="B26" i="8"/>
  <c r="M26" i="2" l="1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<sst xmlns="http://schemas.openxmlformats.org/spreadsheetml/2006/main" count="303" uniqueCount="117">
  <si>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</si>
  <si>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</si>
  <si>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</si>
  <si>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</si>
  <si>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</si>
  <si>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</si>
  <si>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</si>
  <si>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</si>
  <si>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</si>
  <si>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</si>
  <si>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</si>
  <si>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</si>
  <si>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</si>
  <si>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</si>
  <si>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</si>
  <si>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</si>
  <si>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</si>
  <si>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</si>
  <si>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>VII</t>
  </si>
  <si>
    <t>IX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</si>
  <si>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</si>
  <si>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</si>
  <si>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</si>
  <si>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</si>
  <si>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</si>
  <si>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</si>
  <si>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</si>
  <si>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</si>
  <si>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</si>
  <si>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</si>
  <si>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</si>
  <si>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</si>
  <si>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</si>
  <si>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</si>
  <si>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</si>
  <si>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</si>
  <si>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</si>
  <si>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</si>
  <si>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</si>
  <si>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</si>
  <si>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</si>
  <si>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</si>
  <si>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</si>
  <si>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</si>
  <si>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</si>
  <si>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</si>
  <si>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</si>
  <si>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</si>
  <si>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</si>
  <si>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</si>
  <si>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</si>
  <si>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</si>
  <si>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</si>
  <si>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</si>
  <si>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</si>
  <si>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</si>
  <si>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</si>
  <si>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</si>
  <si>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Cehia</t>
  </si>
  <si>
    <t>S.U.A.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</si>
  <si>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</si>
  <si>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</si>
  <si>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</si>
  <si>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</si>
  <si>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</si>
  <si>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</si>
  <si>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</si>
  <si>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</si>
  <si>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</si>
  <si>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</si>
  <si>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t>Gaz şi produse industriale obţinute din gaz</t>
  </si>
  <si>
    <t xml:space="preserve">Maşini şi aparate specializate </t>
  </si>
  <si>
    <t xml:space="preserve">Vehicule rutiere </t>
  </si>
  <si>
    <t xml:space="preserve">Maşini şi aparate industriale </t>
  </si>
  <si>
    <t>Netherlands</t>
  </si>
  <si>
    <t>Vehicule rutiere</t>
  </si>
  <si>
    <t>Articole din minerale nemetalice</t>
  </si>
  <si>
    <t xml:space="preserve">Petrol, produse petroliere </t>
  </si>
  <si>
    <t xml:space="preserve">Fire, tesături, articole textile </t>
  </si>
  <si>
    <t>Petrol, produse petroliere</t>
  </si>
  <si>
    <t xml:space="preserve">Aparate şi echipamente de telecomunicaţii </t>
  </si>
  <si>
    <t>Kazahstan</t>
  </si>
  <si>
    <r>
      <rPr>
        <b/>
        <sz val="10"/>
        <color theme="1"/>
        <rFont val="Arial"/>
        <family val="2"/>
        <charset val="204"/>
      </rPr>
      <t xml:space="preserve">Figura 6. </t>
    </r>
    <r>
      <rPr>
        <b/>
        <i/>
        <sz val="10"/>
        <color theme="1"/>
        <rFont val="Arial"/>
        <family val="2"/>
        <charset val="204"/>
      </rPr>
      <t>Structura exporturilor, pe grupe de mărfuri (%)</t>
    </r>
  </si>
  <si>
    <r>
      <t xml:space="preserve">Figura 12. </t>
    </r>
    <r>
      <rPr>
        <b/>
        <i/>
        <sz val="10"/>
        <color theme="1"/>
        <rFont val="Arial"/>
        <family val="2"/>
        <charset val="204"/>
      </rPr>
      <t>Structura importurilor, pe grupe de mărfuri (%)</t>
    </r>
  </si>
  <si>
    <r>
      <t xml:space="preserve">Figura 1. </t>
    </r>
    <r>
      <rPr>
        <b/>
        <i/>
        <sz val="10"/>
        <color theme="1"/>
        <rFont val="Arial"/>
        <family val="2"/>
        <charset val="204"/>
      </rPr>
      <t>Evoluţia lunară a exporturilor de mărfuri, în anii 2018-2023 (milioane dolari SUA)</t>
    </r>
  </si>
  <si>
    <r>
      <t xml:space="preserve">Figura 2. </t>
    </r>
    <r>
      <rPr>
        <b/>
        <i/>
        <sz val="10"/>
        <color indexed="8"/>
        <rFont val="Arial"/>
        <family val="2"/>
        <charset val="204"/>
      </rPr>
      <t>Evoluţia lunară a indicilor valorici ai exporturilor de mărfuri, în anii 2021-2023 (%)</t>
    </r>
  </si>
  <si>
    <r>
      <rPr>
        <b/>
        <sz val="10"/>
        <color indexed="8"/>
        <rFont val="Arial"/>
        <family val="2"/>
        <charset val="204"/>
      </rPr>
      <t>Figura 7.</t>
    </r>
    <r>
      <rPr>
        <b/>
        <i/>
        <sz val="10"/>
        <color indexed="8"/>
        <rFont val="Arial"/>
        <family val="2"/>
        <charset val="204"/>
      </rPr>
      <t xml:space="preserve"> Evoluţia lunară a importurilor de mărfuri, în anii 2018-2023 (milioane dolari SUA)</t>
    </r>
  </si>
  <si>
    <r>
      <t xml:space="preserve">Figura 8. </t>
    </r>
    <r>
      <rPr>
        <b/>
        <i/>
        <sz val="10"/>
        <color indexed="8"/>
        <rFont val="Arial"/>
        <family val="2"/>
        <charset val="204"/>
      </rPr>
      <t>Evoluţia lunară a indicilor valorici ai importurilor de mărfuri, în anii 2021-2023 (%)</t>
    </r>
  </si>
  <si>
    <r>
      <t xml:space="preserve">Figura 13. </t>
    </r>
    <r>
      <rPr>
        <b/>
        <i/>
        <sz val="10"/>
        <color indexed="8"/>
        <rFont val="Arial"/>
        <family val="2"/>
        <charset val="204"/>
      </rPr>
      <t>Evoluţia lunară a balanţei comerciale, în anii 2018-2023 (milioane dolari SUA)</t>
    </r>
  </si>
  <si>
    <t>Cipru</t>
  </si>
  <si>
    <t>Liban</t>
  </si>
  <si>
    <t>Articole prelucrate din metal</t>
  </si>
  <si>
    <t>Federația Rusă</t>
  </si>
  <si>
    <t>Franța</t>
  </si>
  <si>
    <t>China</t>
  </si>
  <si>
    <t>India</t>
  </si>
  <si>
    <t>Austria</t>
  </si>
  <si>
    <t>Japonia</t>
  </si>
  <si>
    <t>Slovacia</t>
  </si>
  <si>
    <t xml:space="preserve">          </t>
  </si>
  <si>
    <t>Ianuarie-noiembrie 2023</t>
  </si>
  <si>
    <t>Ianuarie-noiembrie 2022</t>
  </si>
  <si>
    <t>Ianuarie-noiembrie 2021</t>
  </si>
  <si>
    <t>Ianuarie-noiembrie 2020</t>
  </si>
  <si>
    <t>Ianuarie-noiembrie 2019</t>
  </si>
  <si>
    <t>Ianuarie-noiembrie 2018</t>
  </si>
  <si>
    <t xml:space="preserve">   Ianuarie-noiembrie 2022</t>
  </si>
  <si>
    <t xml:space="preserve">   Ianuarie-noiembrie 2023</t>
  </si>
  <si>
    <r>
      <t xml:space="preserve">Figura 11. </t>
    </r>
    <r>
      <rPr>
        <b/>
        <i/>
        <sz val="10"/>
        <color rgb="FF000000"/>
        <rFont val="Arial"/>
        <family val="2"/>
        <charset val="204"/>
      </rPr>
      <t>Structura importurilor, în ianuarie-noiembrie 2018-2023, pe principalele ţări de origine a mărfurilor (%)</t>
    </r>
  </si>
  <si>
    <r>
      <t xml:space="preserve">Figura 9. </t>
    </r>
    <r>
      <rPr>
        <b/>
        <i/>
        <sz val="10"/>
        <color rgb="FF000000"/>
        <rFont val="Arial"/>
        <family val="2"/>
        <charset val="204"/>
      </rPr>
      <t>Structura importurilor de mărfuri, în ianuarie-noiembrie 2018-2023, după modul de transport (%)</t>
    </r>
  </si>
  <si>
    <t>Elveția</t>
  </si>
  <si>
    <t xml:space="preserve">Hrană destinată animalelor </t>
  </si>
  <si>
    <r>
      <rPr>
        <b/>
        <sz val="10"/>
        <color theme="1"/>
        <rFont val="Arial"/>
        <family val="2"/>
        <charset val="204"/>
      </rPr>
      <t xml:space="preserve">    Figura 10</t>
    </r>
    <r>
      <rPr>
        <b/>
        <i/>
        <sz val="10"/>
        <color theme="1"/>
        <rFont val="Arial"/>
        <family val="2"/>
        <charset val="204"/>
      </rPr>
      <t>. Structura importurilor de mărfuri, în ianuarie-noiembrie 2018-2023, pe grupe de ţări (%)</t>
    </r>
  </si>
  <si>
    <r>
      <rPr>
        <b/>
        <sz val="10"/>
        <color rgb="FF000000"/>
        <rFont val="Arial"/>
        <family val="2"/>
        <charset val="204"/>
      </rPr>
      <t>Figura 3.</t>
    </r>
    <r>
      <rPr>
        <b/>
        <i/>
        <sz val="10"/>
        <color indexed="8"/>
        <rFont val="Arial"/>
        <family val="2"/>
        <charset val="204"/>
      </rPr>
      <t xml:space="preserve"> Structura exporturilor de mărfuri, în ianuarie-noiembrie 2018-2023, după modul de transport (%)</t>
    </r>
  </si>
  <si>
    <r>
      <rPr>
        <b/>
        <sz val="10"/>
        <color rgb="FF000000"/>
        <rFont val="Arial"/>
        <family val="2"/>
        <charset val="204"/>
      </rPr>
      <t>Figura 4.</t>
    </r>
    <r>
      <rPr>
        <b/>
        <i/>
        <sz val="10"/>
        <color indexed="8"/>
        <rFont val="Arial"/>
        <family val="2"/>
        <charset val="204"/>
      </rPr>
      <t xml:space="preserve"> Structura exporturilor de mărfuri, în ianuarie-noiembrie 2018-2023, pe grupe de ţări (%)</t>
    </r>
  </si>
  <si>
    <r>
      <rPr>
        <b/>
        <sz val="10"/>
        <color rgb="FF000000"/>
        <rFont val="Arial"/>
        <family val="2"/>
        <charset val="204"/>
      </rPr>
      <t xml:space="preserve">Figura 5. </t>
    </r>
    <r>
      <rPr>
        <b/>
        <i/>
        <sz val="10"/>
        <color indexed="8"/>
        <rFont val="Arial"/>
        <family val="2"/>
        <charset val="204"/>
      </rPr>
      <t>Structura exporturilor, în ianuarie-noiembrie 2018-2023, pe principalele ţări de destinaţie a mărfurilor (%)</t>
    </r>
  </si>
  <si>
    <r>
      <rPr>
        <b/>
        <sz val="10"/>
        <color rgb="FF000000"/>
        <rFont val="Arial"/>
        <family val="2"/>
        <charset val="204"/>
      </rPr>
      <t>Figura 14.</t>
    </r>
    <r>
      <rPr>
        <b/>
        <i/>
        <sz val="10"/>
        <color indexed="8"/>
        <rFont val="Arial"/>
        <family val="2"/>
        <charset val="204"/>
      </rPr>
      <t xml:space="preserve"> Tendinţele comerţului internaţional cu mărfuri, în ianuarie-noiembrie 2018-2023 (milioane dolari SUA)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</si>
</sst>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3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1"/>
      <color rgb="FF0000FF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32" fillId="0" borderId="0"/>
    <xf numFmtId="0" fontId="32" fillId="0" borderId="0"/>
  </cellStyleXfs>
  <cellXfs count="1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13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66" fontId="15" fillId="0" borderId="0" xfId="0" applyNumberFormat="1" applyFont="1" applyAlignment="1">
      <alignment horizontal="center" vertical="top"/>
    </xf>
    <xf numFmtId="166" fontId="15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wrapText="1"/>
    </xf>
    <xf numFmtId="38" fontId="4" fillId="0" borderId="0" xfId="0" applyNumberFormat="1" applyFont="1" applyAlignment="1">
      <alignment horizontal="left" vertical="top" wrapText="1" indent="1"/>
    </xf>
    <xf numFmtId="165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wrapText="1"/>
    </xf>
    <xf numFmtId="165" fontId="11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4" fillId="0" borderId="0" xfId="0" applyFont="1"/>
    <xf numFmtId="164" fontId="2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165" fontId="29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top" wrapText="1"/>
    </xf>
    <xf numFmtId="164" fontId="30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38" fontId="15" fillId="0" borderId="0" xfId="0" applyNumberFormat="1" applyFont="1" applyAlignment="1">
      <alignment horizontal="left" vertical="top" wrapText="1"/>
    </xf>
    <xf numFmtId="164" fontId="31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/>
    </xf>
    <xf numFmtId="0" fontId="33" fillId="0" borderId="0" xfId="0" applyFont="1"/>
    <xf numFmtId="38" fontId="4" fillId="0" borderId="0" xfId="0" applyNumberFormat="1" applyFont="1" applyAlignment="1">
      <alignment horizontal="left" wrapText="1" indent="1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165" fontId="4" fillId="0" borderId="10" xfId="0" applyNumberFormat="1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center"/>
    </xf>
    <xf numFmtId="165" fontId="34" fillId="0" borderId="12" xfId="0" applyNumberFormat="1" applyFont="1" applyBorder="1" applyAlignment="1">
      <alignment horizontal="center"/>
    </xf>
    <xf numFmtId="165" fontId="34" fillId="0" borderId="13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38" fontId="4" fillId="0" borderId="4" xfId="0" applyNumberFormat="1" applyFont="1" applyBorder="1" applyAlignment="1">
      <alignment horizontal="left" wrapText="1" indent="1"/>
    </xf>
    <xf numFmtId="38" fontId="4" fillId="0" borderId="5" xfId="0" applyNumberFormat="1" applyFont="1" applyBorder="1" applyAlignment="1">
      <alignment horizontal="left" wrapText="1" indent="1"/>
    </xf>
    <xf numFmtId="38" fontId="4" fillId="0" borderId="6" xfId="0" applyNumberFormat="1" applyFont="1" applyBorder="1" applyAlignment="1">
      <alignment horizontal="left" wrapText="1" indent="1"/>
    </xf>
    <xf numFmtId="38" fontId="4" fillId="0" borderId="12" xfId="0" applyNumberFormat="1" applyFont="1" applyBorder="1" applyAlignment="1">
      <alignment horizontal="left" wrapText="1" indent="1"/>
    </xf>
    <xf numFmtId="38" fontId="4" fillId="0" borderId="13" xfId="0" applyNumberFormat="1" applyFont="1" applyBorder="1" applyAlignment="1">
      <alignment horizontal="left" wrapText="1" indent="1"/>
    </xf>
    <xf numFmtId="38" fontId="4" fillId="0" borderId="8" xfId="0" applyNumberFormat="1" applyFont="1" applyBorder="1" applyAlignment="1">
      <alignment horizontal="left" wrapText="1" indent="1"/>
    </xf>
    <xf numFmtId="38" fontId="6" fillId="0" borderId="4" xfId="0" applyNumberFormat="1" applyFont="1" applyBorder="1" applyAlignment="1">
      <alignment horizontal="left" wrapText="1" indent="1"/>
    </xf>
    <xf numFmtId="38" fontId="6" fillId="0" borderId="5" xfId="0" applyNumberFormat="1" applyFont="1" applyBorder="1" applyAlignment="1">
      <alignment horizontal="left" wrapText="1" indent="1"/>
    </xf>
    <xf numFmtId="38" fontId="6" fillId="0" borderId="6" xfId="0" applyNumberFormat="1" applyFont="1" applyBorder="1" applyAlignment="1">
      <alignment horizontal="left" wrapText="1" indent="1"/>
    </xf>
    <xf numFmtId="165" fontId="4" fillId="0" borderId="5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165" fontId="4" fillId="0" borderId="13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165" fontId="34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34" fillId="0" borderId="11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165" fontId="34" fillId="0" borderId="5" xfId="0" applyNumberFormat="1" applyFont="1" applyBorder="1" applyAlignment="1">
      <alignment horizontal="center"/>
    </xf>
    <xf numFmtId="165" fontId="34" fillId="0" borderId="9" xfId="0" applyNumberFormat="1" applyFont="1" applyBorder="1" applyAlignment="1">
      <alignment horizontal="center"/>
    </xf>
    <xf numFmtId="165" fontId="34" fillId="0" borderId="3" xfId="0" applyNumberFormat="1" applyFont="1" applyBorder="1" applyAlignment="1">
      <alignment horizontal="center"/>
    </xf>
    <xf numFmtId="165" fontId="34" fillId="0" borderId="6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5">
    <cellStyle name="Normal" xfId="0" builtinId="0"/>
    <cellStyle name="Normal 2" xfId="1" xr:uid="{00000000-0005-0000-0000-000000000000}"/>
    <cellStyle name="Normal 3" xfId="2" xr:uid="{00000000-0005-0000-0000-000001000000}"/>
    <cellStyle name="Normal 5" xfId="3" xr:uid="{00000000-0005-0000-0000-000002000000}"/>
    <cellStyle name="Normal 6" xfId="4" xr:uid="{00000000-0005-0000-0000-000003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000"/>
      <color rgb="FF7CAFDD"/>
      <color rgb="FF43682B"/>
      <color rgb="FF264478"/>
      <color rgb="FF997300"/>
      <color rgb="FF636363"/>
      <color rgb="FF9E480E"/>
      <color rgb="FF255E91"/>
      <color rgb="FF70AD47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1'!$B$22:$B$27</c:f>
              <c:numCache>
                <c:formatCode>#,##0.0</c:formatCode>
                <c:ptCount val="6"/>
                <c:pt idx="0">
                  <c:v>220.3</c:v>
                </c:pt>
                <c:pt idx="1">
                  <c:v>234.3</c:v>
                </c:pt>
                <c:pt idx="2">
                  <c:v>219.5</c:v>
                </c:pt>
                <c:pt idx="3">
                  <c:v>198.4</c:v>
                </c:pt>
                <c:pt idx="4">
                  <c:v>330.4</c:v>
                </c:pt>
                <c:pt idx="5">
                  <c:v>331.1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1'!$C$22:$C$27</c:f>
              <c:numCache>
                <c:formatCode>#,##0.0</c:formatCode>
                <c:ptCount val="6"/>
                <c:pt idx="0">
                  <c:v>215.5</c:v>
                </c:pt>
                <c:pt idx="1">
                  <c:v>241.4</c:v>
                </c:pt>
                <c:pt idx="2">
                  <c:v>245.3</c:v>
                </c:pt>
                <c:pt idx="3">
                  <c:v>227</c:v>
                </c:pt>
                <c:pt idx="4">
                  <c:v>336.5</c:v>
                </c:pt>
                <c:pt idx="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1'!$D$22:$D$27</c:f>
              <c:numCache>
                <c:formatCode>#,##0.0</c:formatCode>
                <c:ptCount val="6"/>
                <c:pt idx="0">
                  <c:v>242.1</c:v>
                </c:pt>
                <c:pt idx="1">
                  <c:v>257.2</c:v>
                </c:pt>
                <c:pt idx="2">
                  <c:v>210.2</c:v>
                </c:pt>
                <c:pt idx="3">
                  <c:v>259.3</c:v>
                </c:pt>
                <c:pt idx="4">
                  <c:v>395.8</c:v>
                </c:pt>
                <c:pt idx="5">
                  <c:v>384.9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1'!$E$22:$E$27</c:f>
              <c:numCache>
                <c:formatCode>#,##0.0</c:formatCode>
                <c:ptCount val="6"/>
                <c:pt idx="0">
                  <c:v>199.7</c:v>
                </c:pt>
                <c:pt idx="1">
                  <c:v>215.6</c:v>
                </c:pt>
                <c:pt idx="2">
                  <c:v>149.80000000000001</c:v>
                </c:pt>
                <c:pt idx="3">
                  <c:v>218.2</c:v>
                </c:pt>
                <c:pt idx="4">
                  <c:v>396.3</c:v>
                </c:pt>
                <c:pt idx="5">
                  <c:v>317.39999999999998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1'!$F$22:$F$27</c:f>
              <c:numCache>
                <c:formatCode>#,##0.0</c:formatCode>
                <c:ptCount val="6"/>
                <c:pt idx="0">
                  <c:v>223</c:v>
                </c:pt>
                <c:pt idx="1">
                  <c:v>210.5</c:v>
                </c:pt>
                <c:pt idx="2">
                  <c:v>155.69999999999999</c:v>
                </c:pt>
                <c:pt idx="3">
                  <c:v>201.7</c:v>
                </c:pt>
                <c:pt idx="4">
                  <c:v>416</c:v>
                </c:pt>
                <c:pt idx="5">
                  <c:v>336.5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rgbClr val="255E9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1'!$G$22:$G$27</c:f>
              <c:numCache>
                <c:formatCode>#,##0.0</c:formatCode>
                <c:ptCount val="6"/>
                <c:pt idx="0">
                  <c:v>214.1</c:v>
                </c:pt>
                <c:pt idx="1">
                  <c:v>202.2</c:v>
                </c:pt>
                <c:pt idx="2">
                  <c:v>189.6</c:v>
                </c:pt>
                <c:pt idx="3">
                  <c:v>226.8</c:v>
                </c:pt>
                <c:pt idx="4">
                  <c:v>416.4</c:v>
                </c:pt>
                <c:pt idx="5">
                  <c:v>316.7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rgbClr val="9E480E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1'!$H$22:$H$27</c:f>
              <c:numCache>
                <c:formatCode>#,##0.0</c:formatCode>
                <c:ptCount val="6"/>
                <c:pt idx="0">
                  <c:v>218.8</c:v>
                </c:pt>
                <c:pt idx="1">
                  <c:v>220.2</c:v>
                </c:pt>
                <c:pt idx="2">
                  <c:v>191.1</c:v>
                </c:pt>
                <c:pt idx="3">
                  <c:v>240.7</c:v>
                </c:pt>
                <c:pt idx="4">
                  <c:v>338.2</c:v>
                </c:pt>
                <c:pt idx="5">
                  <c:v>304.2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1'!$I$22:$I$27</c:f>
              <c:numCache>
                <c:formatCode>#,##0.0</c:formatCode>
                <c:ptCount val="6"/>
                <c:pt idx="0">
                  <c:v>218.6</c:v>
                </c:pt>
                <c:pt idx="1">
                  <c:v>205.8</c:v>
                </c:pt>
                <c:pt idx="2">
                  <c:v>163.9</c:v>
                </c:pt>
                <c:pt idx="3">
                  <c:v>236.3</c:v>
                </c:pt>
                <c:pt idx="4">
                  <c:v>329.4</c:v>
                </c:pt>
                <c:pt idx="5">
                  <c:v>321.60000000000002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rgbClr val="9973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1'!$J$22:$J$27</c:f>
              <c:numCache>
                <c:formatCode>#,##0.0</c:formatCode>
                <c:ptCount val="6"/>
                <c:pt idx="0">
                  <c:v>207.3</c:v>
                </c:pt>
                <c:pt idx="1">
                  <c:v>238.8</c:v>
                </c:pt>
                <c:pt idx="2">
                  <c:v>212.3</c:v>
                </c:pt>
                <c:pt idx="3">
                  <c:v>294.89999999999998</c:v>
                </c:pt>
                <c:pt idx="4">
                  <c:v>318.8</c:v>
                </c:pt>
                <c:pt idx="5">
                  <c:v>348.1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1'!$K$22:$K$27</c:f>
              <c:numCache>
                <c:formatCode>#,##0.0</c:formatCode>
                <c:ptCount val="6"/>
                <c:pt idx="0">
                  <c:v>259</c:v>
                </c:pt>
                <c:pt idx="1">
                  <c:v>268.3</c:v>
                </c:pt>
                <c:pt idx="2">
                  <c:v>249.4</c:v>
                </c:pt>
                <c:pt idx="3">
                  <c:v>352.2</c:v>
                </c:pt>
                <c:pt idx="4">
                  <c:v>351.9</c:v>
                </c:pt>
                <c:pt idx="5">
                  <c:v>341.8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rgbClr val="43682B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1'!$L$22:$L$27</c:f>
              <c:numCache>
                <c:formatCode>#,##0.0</c:formatCode>
                <c:ptCount val="6"/>
                <c:pt idx="0">
                  <c:v>268.89999999999998</c:v>
                </c:pt>
                <c:pt idx="1">
                  <c:v>266.60000000000002</c:v>
                </c:pt>
                <c:pt idx="2">
                  <c:v>262</c:v>
                </c:pt>
                <c:pt idx="3">
                  <c:v>363.9</c:v>
                </c:pt>
                <c:pt idx="4">
                  <c:v>355.4</c:v>
                </c:pt>
                <c:pt idx="5">
                  <c:v>379.1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rgbClr val="7CAFDD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1'!$M$22:$M$27</c:f>
              <c:numCache>
                <c:formatCode>#,##0.0</c:formatCode>
                <c:ptCount val="6"/>
                <c:pt idx="0">
                  <c:v>218.8</c:v>
                </c:pt>
                <c:pt idx="1">
                  <c:v>218.3</c:v>
                </c:pt>
                <c:pt idx="2">
                  <c:v>218.3</c:v>
                </c:pt>
                <c:pt idx="3">
                  <c:v>325</c:v>
                </c:pt>
                <c:pt idx="4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61216"/>
        <c:axId val="93828160"/>
      </c:barChart>
      <c:catAx>
        <c:axId val="939612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828160"/>
        <c:crosses val="autoZero"/>
        <c:auto val="0"/>
        <c:lblAlgn val="ctr"/>
        <c:lblOffset val="100"/>
        <c:tickLblSkip val="1"/>
        <c:noMultiLvlLbl val="0"/>
      </c:catAx>
      <c:valAx>
        <c:axId val="938281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9612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2.0914980564138343E-2"/>
          <c:w val="0.76089631576667616"/>
          <c:h val="0.774795840393368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9'!$B$23</c:f>
              <c:strCache>
                <c:ptCount val="1"/>
                <c:pt idx="0">
                  <c:v>Ianuarie-noiembrie 2023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9'!$B$24:$B$30</c:f>
              <c:numCache>
                <c:formatCode>#,##0.0</c:formatCode>
                <c:ptCount val="7"/>
                <c:pt idx="0">
                  <c:v>7.5</c:v>
                </c:pt>
                <c:pt idx="1">
                  <c:v>3.9</c:v>
                </c:pt>
                <c:pt idx="2">
                  <c:v>79.5</c:v>
                </c:pt>
                <c:pt idx="3">
                  <c:v>2</c:v>
                </c:pt>
                <c:pt idx="4">
                  <c:v>0.1</c:v>
                </c:pt>
                <c:pt idx="5">
                  <c:v>6.3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9'!$C$23</c:f>
              <c:strCache>
                <c:ptCount val="1"/>
                <c:pt idx="0">
                  <c:v>Ianuarie-noiembrie 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9'!$C$24:$C$30</c:f>
              <c:numCache>
                <c:formatCode>#,##0.0</c:formatCode>
                <c:ptCount val="7"/>
                <c:pt idx="0">
                  <c:v>7.3</c:v>
                </c:pt>
                <c:pt idx="1">
                  <c:v>4.9000000000000004</c:v>
                </c:pt>
                <c:pt idx="2">
                  <c:v>75.599999999999994</c:v>
                </c:pt>
                <c:pt idx="3">
                  <c:v>1.6</c:v>
                </c:pt>
                <c:pt idx="4">
                  <c:v>0.1</c:v>
                </c:pt>
                <c:pt idx="5">
                  <c:v>9.9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9'!$D$23</c:f>
              <c:strCache>
                <c:ptCount val="1"/>
                <c:pt idx="0">
                  <c:v>Ianuarie-noiembrie 2021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9'!$D$24:$D$30</c:f>
              <c:numCache>
                <c:formatCode>#,##0.0</c:formatCode>
                <c:ptCount val="7"/>
                <c:pt idx="0">
                  <c:v>3.3</c:v>
                </c:pt>
                <c:pt idx="1">
                  <c:v>4.5999999999999996</c:v>
                </c:pt>
                <c:pt idx="2">
                  <c:v>84.3</c:v>
                </c:pt>
                <c:pt idx="3">
                  <c:v>2.4</c:v>
                </c:pt>
                <c:pt idx="4">
                  <c:v>0.2</c:v>
                </c:pt>
                <c:pt idx="5">
                  <c:v>4.5999999999999996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9'!$E$23</c:f>
              <c:strCache>
                <c:ptCount val="1"/>
                <c:pt idx="0">
                  <c:v>Ianuarie-noiembrie 2020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9'!$E$24:$E$30</c:f>
              <c:numCache>
                <c:formatCode>#,##0.0</c:formatCode>
                <c:ptCount val="7"/>
                <c:pt idx="0">
                  <c:v>1.5</c:v>
                </c:pt>
                <c:pt idx="1">
                  <c:v>4.5999999999999996</c:v>
                </c:pt>
                <c:pt idx="2">
                  <c:v>87.7</c:v>
                </c:pt>
                <c:pt idx="3">
                  <c:v>2.2999999999999998</c:v>
                </c:pt>
                <c:pt idx="4">
                  <c:v>0.2</c:v>
                </c:pt>
                <c:pt idx="5">
                  <c:v>3.1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9'!$F$23</c:f>
              <c:strCache>
                <c:ptCount val="1"/>
                <c:pt idx="0">
                  <c:v>Ianuarie-noiembrie 2019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9'!$F$24:$F$30</c:f>
              <c:numCache>
                <c:formatCode>#,##0.0</c:formatCode>
                <c:ptCount val="7"/>
                <c:pt idx="0">
                  <c:v>2.1</c:v>
                </c:pt>
                <c:pt idx="1">
                  <c:v>4.7</c:v>
                </c:pt>
                <c:pt idx="2">
                  <c:v>84.9</c:v>
                </c:pt>
                <c:pt idx="3">
                  <c:v>2.7</c:v>
                </c:pt>
                <c:pt idx="4">
                  <c:v>0.2</c:v>
                </c:pt>
                <c:pt idx="5">
                  <c:v>4.7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9'!$G$23</c:f>
              <c:strCache>
                <c:ptCount val="1"/>
                <c:pt idx="0">
                  <c:v>Ianuarie-noiembrie 2018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9'!$G$24:$G$30</c:f>
              <c:numCache>
                <c:formatCode>#,##0.0</c:formatCode>
                <c:ptCount val="7"/>
                <c:pt idx="0">
                  <c:v>2.9</c:v>
                </c:pt>
                <c:pt idx="1">
                  <c:v>5.9</c:v>
                </c:pt>
                <c:pt idx="2">
                  <c:v>83.1</c:v>
                </c:pt>
                <c:pt idx="3">
                  <c:v>2.6</c:v>
                </c:pt>
                <c:pt idx="4">
                  <c:v>0.2</c:v>
                </c:pt>
                <c:pt idx="5">
                  <c:v>4.7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382464"/>
        <c:axId val="128386752"/>
      </c:barChart>
      <c:catAx>
        <c:axId val="12838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6752"/>
        <c:crossesAt val="0"/>
        <c:auto val="1"/>
        <c:lblAlgn val="ctr"/>
        <c:lblOffset val="100"/>
        <c:noMultiLvlLbl val="0"/>
      </c:catAx>
      <c:valAx>
        <c:axId val="1283867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246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026759118227319"/>
          <c:y val="0.91909764444001463"/>
          <c:w val="0.79917419617867314"/>
          <c:h val="6.8948164425183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Ianuarie-noiembrie 2018</c:v>
                </c:pt>
                <c:pt idx="1">
                  <c:v>Ianuarie-noiembrie 2019</c:v>
                </c:pt>
                <c:pt idx="2">
                  <c:v>Ianuarie-noiembrie 2020</c:v>
                </c:pt>
                <c:pt idx="3">
                  <c:v>Ianuarie-noiembrie 2021</c:v>
                </c:pt>
                <c:pt idx="4">
                  <c:v>Ianuarie-noiembrie 2022</c:v>
                </c:pt>
                <c:pt idx="5">
                  <c:v>Ianuarie-noiembrie 2023</c:v>
                </c:pt>
              </c:strCache>
            </c:strRef>
          </c:cat>
          <c:val>
            <c:numRef>
              <c:f>'Figura 10'!$B$23:$G$23</c:f>
              <c:numCache>
                <c:formatCode>#,##0.0</c:formatCode>
                <c:ptCount val="6"/>
                <c:pt idx="0">
                  <c:v>48.8</c:v>
                </c:pt>
                <c:pt idx="1">
                  <c:v>48.8</c:v>
                </c:pt>
                <c:pt idx="2">
                  <c:v>45.8</c:v>
                </c:pt>
                <c:pt idx="3">
                  <c:v>44.5</c:v>
                </c:pt>
                <c:pt idx="4">
                  <c:v>46.6</c:v>
                </c:pt>
                <c:pt idx="5">
                  <c:v>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Ianuarie-noiembrie 2018</c:v>
                </c:pt>
                <c:pt idx="1">
                  <c:v>Ianuarie-noiembrie 2019</c:v>
                </c:pt>
                <c:pt idx="2">
                  <c:v>Ianuarie-noiembrie 2020</c:v>
                </c:pt>
                <c:pt idx="3">
                  <c:v>Ianuarie-noiembrie 2021</c:v>
                </c:pt>
                <c:pt idx="4">
                  <c:v>Ianuarie-noiembrie 2022</c:v>
                </c:pt>
                <c:pt idx="5">
                  <c:v>Ianuarie-noiembrie 2023</c:v>
                </c:pt>
              </c:strCache>
            </c:strRef>
          </c:cat>
          <c:val>
            <c:numRef>
              <c:f>'Figura 10'!$B$24:$G$24</c:f>
              <c:numCache>
                <c:formatCode>#,##0.0</c:formatCode>
                <c:ptCount val="6"/>
                <c:pt idx="0">
                  <c:v>24.8</c:v>
                </c:pt>
                <c:pt idx="1">
                  <c:v>24.1</c:v>
                </c:pt>
                <c:pt idx="2">
                  <c:v>24.4</c:v>
                </c:pt>
                <c:pt idx="3">
                  <c:v>26</c:v>
                </c:pt>
                <c:pt idx="4">
                  <c:v>24.7</c:v>
                </c:pt>
                <c:pt idx="5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Ianuarie-noiembrie 2018</c:v>
                </c:pt>
                <c:pt idx="1">
                  <c:v>Ianuarie-noiembrie 2019</c:v>
                </c:pt>
                <c:pt idx="2">
                  <c:v>Ianuarie-noiembrie 2020</c:v>
                </c:pt>
                <c:pt idx="3">
                  <c:v>Ianuarie-noiembrie 2021</c:v>
                </c:pt>
                <c:pt idx="4">
                  <c:v>Ianuarie-noiembrie 2022</c:v>
                </c:pt>
                <c:pt idx="5">
                  <c:v>Ianuarie-noiembrie 2023</c:v>
                </c:pt>
              </c:strCache>
            </c:strRef>
          </c:cat>
          <c:val>
            <c:numRef>
              <c:f>'Figura 10'!$B$25:$G$25</c:f>
              <c:numCache>
                <c:formatCode>#,##0.0</c:formatCode>
                <c:ptCount val="6"/>
                <c:pt idx="0">
                  <c:v>26.4</c:v>
                </c:pt>
                <c:pt idx="1">
                  <c:v>27.1</c:v>
                </c:pt>
                <c:pt idx="2">
                  <c:v>29.8</c:v>
                </c:pt>
                <c:pt idx="3">
                  <c:v>29.5</c:v>
                </c:pt>
                <c:pt idx="4">
                  <c:v>28.7</c:v>
                </c:pt>
                <c:pt idx="5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21920"/>
        <c:axId val="128389056"/>
      </c:barChart>
      <c:catAx>
        <c:axId val="1287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9056"/>
        <c:crosses val="autoZero"/>
        <c:auto val="0"/>
        <c:lblAlgn val="ctr"/>
        <c:lblOffset val="100"/>
        <c:noMultiLvlLbl val="0"/>
      </c:catAx>
      <c:valAx>
        <c:axId val="128389056"/>
        <c:scaling>
          <c:orientation val="minMax"/>
          <c:max val="10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72192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88875314479330003"/>
          <c:w val="0.93105796047794498"/>
          <c:h val="8.1371100132598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6130067074949E-2"/>
          <c:y val="1.687438654655703E-2"/>
          <c:w val="0.93291119860017502"/>
          <c:h val="0.67551676195514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Ianuarie-noiembrie 2018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 </c:v>
                </c:pt>
              </c:strCache>
            </c:strRef>
          </c:cat>
          <c:val>
            <c:numRef>
              <c:f>'Figura 11'!$B$25:$B$46</c:f>
              <c:numCache>
                <c:formatCode>#,##0.0</c:formatCode>
                <c:ptCount val="22"/>
                <c:pt idx="0">
                  <c:v>14.77052787544975</c:v>
                </c:pt>
                <c:pt idx="1">
                  <c:v>10.069931387149964</c:v>
                </c:pt>
                <c:pt idx="2">
                  <c:v>10.485093598769458</c:v>
                </c:pt>
                <c:pt idx="3">
                  <c:v>5.8748778694152231</c:v>
                </c:pt>
                <c:pt idx="4">
                  <c:v>8.378478240856154</c:v>
                </c:pt>
                <c:pt idx="5">
                  <c:v>6.8224692906021245</c:v>
                </c:pt>
                <c:pt idx="6">
                  <c:v>12.06053964819972</c:v>
                </c:pt>
                <c:pt idx="7">
                  <c:v>3.502114511052806</c:v>
                </c:pt>
                <c:pt idx="8">
                  <c:v>0.52105379539305863</c:v>
                </c:pt>
                <c:pt idx="9">
                  <c:v>2.3298229031400055</c:v>
                </c:pt>
                <c:pt idx="10">
                  <c:v>1.9634020128497787</c:v>
                </c:pt>
                <c:pt idx="11">
                  <c:v>1.508863567286757</c:v>
                </c:pt>
                <c:pt idx="12">
                  <c:v>1.1578086157968097</c:v>
                </c:pt>
                <c:pt idx="13">
                  <c:v>0.40396401001459842</c:v>
                </c:pt>
                <c:pt idx="14">
                  <c:v>1.257653832446159</c:v>
                </c:pt>
                <c:pt idx="15">
                  <c:v>1.3199998063809304</c:v>
                </c:pt>
                <c:pt idx="16">
                  <c:v>0.94521518042381703</c:v>
                </c:pt>
                <c:pt idx="17">
                  <c:v>1.8655290113864309</c:v>
                </c:pt>
                <c:pt idx="18">
                  <c:v>2.2454553366142957</c:v>
                </c:pt>
                <c:pt idx="19">
                  <c:v>0.57627223561118401</c:v>
                </c:pt>
                <c:pt idx="20">
                  <c:v>1.0289588795177531</c:v>
                </c:pt>
                <c:pt idx="21">
                  <c:v>1.0431038247162521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Ianuarie-noiembrie 2019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 </c:v>
                </c:pt>
              </c:strCache>
            </c:strRef>
          </c:cat>
          <c:val>
            <c:numRef>
              <c:f>'Figura 11'!$C$25:$C$46</c:f>
              <c:numCache>
                <c:formatCode>#,##0.0</c:formatCode>
                <c:ptCount val="22"/>
                <c:pt idx="0">
                  <c:v>14.519956707701734</c:v>
                </c:pt>
                <c:pt idx="1">
                  <c:v>9.8589442390065418</c:v>
                </c:pt>
                <c:pt idx="2">
                  <c:v>10.233532554847438</c:v>
                </c:pt>
                <c:pt idx="3">
                  <c:v>6.7462742108259048</c:v>
                </c:pt>
                <c:pt idx="4">
                  <c:v>8.289354331800137</c:v>
                </c:pt>
                <c:pt idx="5">
                  <c:v>7.0527577544395967</c:v>
                </c:pt>
                <c:pt idx="6">
                  <c:v>11.58700488244232</c:v>
                </c:pt>
                <c:pt idx="7">
                  <c:v>3.4329453291618321</c:v>
                </c:pt>
                <c:pt idx="8">
                  <c:v>0.61901357318611339</c:v>
                </c:pt>
                <c:pt idx="9">
                  <c:v>2.5477940311297385</c:v>
                </c:pt>
                <c:pt idx="10">
                  <c:v>1.9251309093405031</c:v>
                </c:pt>
                <c:pt idx="11">
                  <c:v>1.9680466002349517</c:v>
                </c:pt>
                <c:pt idx="12">
                  <c:v>0.99347144150541844</c:v>
                </c:pt>
                <c:pt idx="13">
                  <c:v>0.37298972963540272</c:v>
                </c:pt>
                <c:pt idx="14">
                  <c:v>1.2933389921487397</c:v>
                </c:pt>
                <c:pt idx="15">
                  <c:v>1.3744838393959449</c:v>
                </c:pt>
                <c:pt idx="16">
                  <c:v>0.86730333649620761</c:v>
                </c:pt>
                <c:pt idx="17">
                  <c:v>1.6099219359384773</c:v>
                </c:pt>
                <c:pt idx="18">
                  <c:v>2.2547007673233548</c:v>
                </c:pt>
                <c:pt idx="19">
                  <c:v>0.58180560493455413</c:v>
                </c:pt>
                <c:pt idx="20">
                  <c:v>0.97039959435946554</c:v>
                </c:pt>
                <c:pt idx="21">
                  <c:v>0.98897645769837517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Ianuarie-noiembrie 2020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 </c:v>
                </c:pt>
              </c:strCache>
            </c:strRef>
          </c:cat>
          <c:val>
            <c:numRef>
              <c:f>'Figura 11'!$D$25:$D$46</c:f>
              <c:numCache>
                <c:formatCode>#,##0.0</c:formatCode>
                <c:ptCount val="22"/>
                <c:pt idx="0">
                  <c:v>11.72834814427657</c:v>
                </c:pt>
                <c:pt idx="1">
                  <c:v>9.8570369177389878</c:v>
                </c:pt>
                <c:pt idx="2">
                  <c:v>11.84465964201477</c:v>
                </c:pt>
                <c:pt idx="3">
                  <c:v>7.0171127898644201</c:v>
                </c:pt>
                <c:pt idx="4">
                  <c:v>8.4466523570325283</c:v>
                </c:pt>
                <c:pt idx="5">
                  <c:v>6.4374901937737263</c:v>
                </c:pt>
                <c:pt idx="6">
                  <c:v>10.945344105761583</c:v>
                </c:pt>
                <c:pt idx="7">
                  <c:v>4.0412259334699483</c:v>
                </c:pt>
                <c:pt idx="8">
                  <c:v>0.75383819256925477</c:v>
                </c:pt>
                <c:pt idx="9">
                  <c:v>2.2294223140707636</c:v>
                </c:pt>
                <c:pt idx="10">
                  <c:v>1.9021419408022242</c:v>
                </c:pt>
                <c:pt idx="11">
                  <c:v>1.7742926206543017</c:v>
                </c:pt>
                <c:pt idx="12">
                  <c:v>1.1989534164461177</c:v>
                </c:pt>
                <c:pt idx="13">
                  <c:v>0.4473399727288484</c:v>
                </c:pt>
                <c:pt idx="14">
                  <c:v>1.2373455751271938</c:v>
                </c:pt>
                <c:pt idx="15">
                  <c:v>1.4604197991766039</c:v>
                </c:pt>
                <c:pt idx="16">
                  <c:v>1.0144876073918234</c:v>
                </c:pt>
                <c:pt idx="17">
                  <c:v>1.1841019964096784</c:v>
                </c:pt>
                <c:pt idx="18">
                  <c:v>2.1297786484202912</c:v>
                </c:pt>
                <c:pt idx="19">
                  <c:v>0.56873698355521352</c:v>
                </c:pt>
                <c:pt idx="20">
                  <c:v>1.0863363974503839</c:v>
                </c:pt>
                <c:pt idx="21">
                  <c:v>0.91350219538654953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Ianuarie-noiembrie 2021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 </c:v>
                </c:pt>
              </c:strCache>
            </c:strRef>
          </c:cat>
          <c:val>
            <c:numRef>
              <c:f>'Figura 11'!$E$25:$E$46</c:f>
              <c:numCache>
                <c:formatCode>#,##0.0</c:formatCode>
                <c:ptCount val="22"/>
                <c:pt idx="0">
                  <c:v>11.77238187449341</c:v>
                </c:pt>
                <c:pt idx="1">
                  <c:v>9.4257009517335728</c:v>
                </c:pt>
                <c:pt idx="2">
                  <c:v>11.57509507842394</c:v>
                </c:pt>
                <c:pt idx="3">
                  <c:v>7.5362534063455628</c:v>
                </c:pt>
                <c:pt idx="4">
                  <c:v>7.682557431659605</c:v>
                </c:pt>
                <c:pt idx="5">
                  <c:v>6.3311006169280466</c:v>
                </c:pt>
                <c:pt idx="6">
                  <c:v>14.032372120084371</c:v>
                </c:pt>
                <c:pt idx="7">
                  <c:v>3.6885231947053994</c:v>
                </c:pt>
                <c:pt idx="8">
                  <c:v>0.62105134481490964</c:v>
                </c:pt>
                <c:pt idx="9">
                  <c:v>2.3958924466244289</c:v>
                </c:pt>
                <c:pt idx="10">
                  <c:v>1.7421141506945699</c:v>
                </c:pt>
                <c:pt idx="11">
                  <c:v>1.6347409104012853</c:v>
                </c:pt>
                <c:pt idx="12">
                  <c:v>1.1279226973694487</c:v>
                </c:pt>
                <c:pt idx="13">
                  <c:v>0.61123746404714485</c:v>
                </c:pt>
                <c:pt idx="14">
                  <c:v>1.4946049761043487</c:v>
                </c:pt>
                <c:pt idx="15">
                  <c:v>1.3069346184811566</c:v>
                </c:pt>
                <c:pt idx="16">
                  <c:v>0.93782394084876242</c:v>
                </c:pt>
                <c:pt idx="17">
                  <c:v>1.4185818856011956</c:v>
                </c:pt>
                <c:pt idx="18">
                  <c:v>2.0308434544638421</c:v>
                </c:pt>
                <c:pt idx="19">
                  <c:v>0.5579898402857606</c:v>
                </c:pt>
                <c:pt idx="20">
                  <c:v>1.0409537092450138</c:v>
                </c:pt>
                <c:pt idx="21">
                  <c:v>0.9040892403793912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Ianuarie-noiembrie 2022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 </c:v>
                </c:pt>
              </c:strCache>
            </c:strRef>
          </c:cat>
          <c:val>
            <c:numRef>
              <c:f>'Figura 11'!$F$25:$F$46</c:f>
              <c:numCache>
                <c:formatCode>#,##0.0</c:formatCode>
                <c:ptCount val="22"/>
                <c:pt idx="0">
                  <c:v>17.977150881158597</c:v>
                </c:pt>
                <c:pt idx="1">
                  <c:v>9.4930061003600343</c:v>
                </c:pt>
                <c:pt idx="2">
                  <c:v>10.247281012874851</c:v>
                </c:pt>
                <c:pt idx="3">
                  <c:v>7.1233823129940586</c:v>
                </c:pt>
                <c:pt idx="4">
                  <c:v>6.3196562500232005</c:v>
                </c:pt>
                <c:pt idx="5">
                  <c:v>4.7676377687927998</c:v>
                </c:pt>
                <c:pt idx="6">
                  <c:v>13.22765358817942</c:v>
                </c:pt>
                <c:pt idx="7">
                  <c:v>3.3285159057122939</c:v>
                </c:pt>
                <c:pt idx="8">
                  <c:v>2.7885182388180629</c:v>
                </c:pt>
                <c:pt idx="9">
                  <c:v>1.9680079045629895</c:v>
                </c:pt>
                <c:pt idx="10">
                  <c:v>1.971852621018066</c:v>
                </c:pt>
                <c:pt idx="11">
                  <c:v>1.5216121162939116</c:v>
                </c:pt>
                <c:pt idx="12">
                  <c:v>1.5907458763258764</c:v>
                </c:pt>
                <c:pt idx="13">
                  <c:v>0.74165356655578074</c:v>
                </c:pt>
                <c:pt idx="14">
                  <c:v>1.4718354687126667</c:v>
                </c:pt>
                <c:pt idx="15">
                  <c:v>1.1559097118040549</c:v>
                </c:pt>
                <c:pt idx="16">
                  <c:v>0.77440260498041535</c:v>
                </c:pt>
                <c:pt idx="17">
                  <c:v>0.90751213864317426</c:v>
                </c:pt>
                <c:pt idx="18">
                  <c:v>1.0578190607072573</c:v>
                </c:pt>
                <c:pt idx="19">
                  <c:v>0.68101401788013827</c:v>
                </c:pt>
                <c:pt idx="20">
                  <c:v>0.95844816988022496</c:v>
                </c:pt>
                <c:pt idx="21">
                  <c:v>0.76196655256006418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Ianuarie-noiembrie 2023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 </c:v>
                </c:pt>
              </c:strCache>
            </c:strRef>
          </c:cat>
          <c:val>
            <c:numRef>
              <c:f>'Figura 11'!$G$25:$G$46</c:f>
              <c:numCache>
                <c:formatCode>#,##0.0</c:formatCode>
                <c:ptCount val="22"/>
                <c:pt idx="0">
                  <c:v>15.07167098134923</c:v>
                </c:pt>
                <c:pt idx="1">
                  <c:v>11.850305303633419</c:v>
                </c:pt>
                <c:pt idx="2">
                  <c:v>11.675758120608565</c:v>
                </c:pt>
                <c:pt idx="3">
                  <c:v>8.6840352721570362</c:v>
                </c:pt>
                <c:pt idx="4">
                  <c:v>7.1561578791825955</c:v>
                </c:pt>
                <c:pt idx="5">
                  <c:v>5.4821144927218839</c:v>
                </c:pt>
                <c:pt idx="6">
                  <c:v>3.8214907972520029</c:v>
                </c:pt>
                <c:pt idx="7">
                  <c:v>3.6587308730547412</c:v>
                </c:pt>
                <c:pt idx="8">
                  <c:v>2.4996614507997714</c:v>
                </c:pt>
                <c:pt idx="9">
                  <c:v>2.3997809969383921</c:v>
                </c:pt>
                <c:pt idx="10">
                  <c:v>2.1297676381234765</c:v>
                </c:pt>
                <c:pt idx="11">
                  <c:v>1.8939612283271159</c:v>
                </c:pt>
                <c:pt idx="12">
                  <c:v>1.7389631951870568</c:v>
                </c:pt>
                <c:pt idx="13">
                  <c:v>1.6609176118876683</c:v>
                </c:pt>
                <c:pt idx="14">
                  <c:v>1.4047484142743438</c:v>
                </c:pt>
                <c:pt idx="15">
                  <c:v>1.3789936652767043</c:v>
                </c:pt>
                <c:pt idx="16">
                  <c:v>1.1549225923554018</c:v>
                </c:pt>
                <c:pt idx="17">
                  <c:v>1.0153208518966348</c:v>
                </c:pt>
                <c:pt idx="18">
                  <c:v>1.0130911192194361</c:v>
                </c:pt>
                <c:pt idx="19">
                  <c:v>0.97732907425013904</c:v>
                </c:pt>
                <c:pt idx="20">
                  <c:v>0.95434172685591512</c:v>
                </c:pt>
                <c:pt idx="21">
                  <c:v>0.8751406266685926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567872"/>
        <c:axId val="128391360"/>
      </c:barChart>
      <c:catAx>
        <c:axId val="1275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91360"/>
        <c:crosses val="autoZero"/>
        <c:auto val="1"/>
        <c:lblAlgn val="ctr"/>
        <c:lblOffset val="100"/>
        <c:noMultiLvlLbl val="0"/>
      </c:catAx>
      <c:valAx>
        <c:axId val="1283913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7567872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6.1508615770854723E-2"/>
          <c:y val="0.90304502634845052"/>
          <c:w val="0.91624066754501532"/>
          <c:h val="6.9392527484452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noiembrie 202</a:t>
            </a: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endParaRPr lang="en-US" sz="9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920473041556303"/>
          <c:y val="1.203567497505426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342054211186989"/>
          <c:y val="0.12491082658988956"/>
          <c:w val="0.52192988462254575"/>
          <c:h val="0.63180986033255537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D-4C13-890E-399C32D1EBE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D-4C13-890E-399C32D1EBE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D-4C13-890E-399C32D1EBE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027-44E0-9897-C542FAFF950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028B-4A15-95E9-C59FB398DFD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B53-4333-94CE-1214A088B112}"/>
              </c:ext>
            </c:extLst>
          </c:dPt>
          <c:dLbls>
            <c:dLbl>
              <c:idx val="0"/>
              <c:layout>
                <c:manualLayout>
                  <c:x val="-3.9664378337147213E-2"/>
                  <c:y val="1.5641901708733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3.2036613272311214E-2"/>
                  <c:y val="-6.88361680789834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4744469870327"/>
                      <c:h val="0.16958805873556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-7.6278851871206003E-3"/>
                  <c:y val="-0.1311302242101528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94801107527461"/>
                      <c:h val="0.16840444708811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4.2715724607650475E-2"/>
                  <c:y val="-0.1759498805128524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01983218916857"/>
                      <c:h val="0.158213455630475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6.6509066229421446E-2"/>
                  <c:y val="-0.113947510562514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4.7894917025531988E-2"/>
                  <c:y val="-3.2317895764065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7.3521564953122329E-2"/>
                  <c:y val="1.009466319425819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74358697153701"/>
                      <c:h val="0.16997261417995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-0.17298978359970449"/>
                  <c:y val="-2.4762280671309419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20354120494665"/>
                      <c:h val="0.187663522127137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0.23033327927830535"/>
                  <c:y val="-7.590539015974359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13031466032421"/>
                      <c:h val="0.155196972988411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8FCD-4C13-890E-399C32D1EBED}"/>
                </c:ext>
              </c:extLst>
            </c:dLbl>
            <c:dLbl>
              <c:idx val="9"/>
              <c:layout>
                <c:manualLayout>
                  <c:x val="-0.22573151468194622"/>
                  <c:y val="-0.2101310070223619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62776506483598"/>
                      <c:h val="0.15874852164953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FCD-4C13-890E-399C32D1EBED}"/>
                </c:ext>
              </c:extLst>
            </c:dLbl>
            <c:dLbl>
              <c:idx val="10"/>
              <c:layout>
                <c:manualLayout>
                  <c:x val="-0.17873451173294413"/>
                  <c:y val="-0.3189284221643998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29595728451563"/>
                      <c:h val="0.13441000926739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FCD-4C13-890E-399C32D1EBED}"/>
                </c:ext>
              </c:extLst>
            </c:dLbl>
            <c:dLbl>
              <c:idx val="11"/>
              <c:layout>
                <c:manualLayout>
                  <c:x val="-0.13689159564436595"/>
                  <c:y val="-0.446367610793457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027-44E0-9897-C542FAFF950C}"/>
                </c:ext>
              </c:extLst>
            </c:dLbl>
            <c:dLbl>
              <c:idx val="12"/>
              <c:layout>
                <c:manualLayout>
                  <c:x val="-5.0305771275158111E-2"/>
                  <c:y val="-0.57243938798944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8B-4A15-95E9-C59FB398DFD6}"/>
                </c:ext>
              </c:extLst>
            </c:dLbl>
            <c:dLbl>
              <c:idx val="13"/>
              <c:layout>
                <c:manualLayout>
                  <c:x val="0.19832189168573608"/>
                  <c:y val="-0.211520365080819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B53-4333-94CE-1214A088B1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12'!$A$44:$A$57</c:f>
              <c:strCache>
                <c:ptCount val="14"/>
                <c:pt idx="0">
                  <c:v>Petrol, produse petroliere </c:v>
                </c:pt>
                <c:pt idx="1">
                  <c:v>Maşini şi aparate electrice </c:v>
                </c:pt>
                <c:pt idx="2">
                  <c:v>Vehicule rutiere</c:v>
                </c:pt>
                <c:pt idx="3">
                  <c:v>Gaz şi produse industriale obţinute din gaz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Maşini şi aparate industriale </c:v>
                </c:pt>
                <c:pt idx="7">
                  <c:v>Aparate şi echipamente de telecomunicaţii </c:v>
                </c:pt>
                <c:pt idx="8">
                  <c:v>Maşini şi aparate specializate </c:v>
                </c:pt>
                <c:pt idx="9">
                  <c:v>Legume şi fructe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Articole din minerale nemetalice</c:v>
                </c:pt>
                <c:pt idx="13">
                  <c:v>Alte mărfuri</c:v>
                </c:pt>
              </c:strCache>
            </c:strRef>
          </c:cat>
          <c:val>
            <c:numRef>
              <c:f>'Figura 12'!$B$44:$B$57</c:f>
              <c:numCache>
                <c:formatCode>#,##0.0</c:formatCode>
                <c:ptCount val="14"/>
                <c:pt idx="0">
                  <c:v>15.5</c:v>
                </c:pt>
                <c:pt idx="1">
                  <c:v>7.7</c:v>
                </c:pt>
                <c:pt idx="2">
                  <c:v>7.1</c:v>
                </c:pt>
                <c:pt idx="3">
                  <c:v>6.3</c:v>
                </c:pt>
                <c:pt idx="4">
                  <c:v>3.5</c:v>
                </c:pt>
                <c:pt idx="5">
                  <c:v>3.5</c:v>
                </c:pt>
                <c:pt idx="6">
                  <c:v>2.9</c:v>
                </c:pt>
                <c:pt idx="7">
                  <c:v>2.6</c:v>
                </c:pt>
                <c:pt idx="8">
                  <c:v>2.6</c:v>
                </c:pt>
                <c:pt idx="9">
                  <c:v>2.5</c:v>
                </c:pt>
                <c:pt idx="10">
                  <c:v>2.4</c:v>
                </c:pt>
                <c:pt idx="11">
                  <c:v>2.2999999999999998</c:v>
                </c:pt>
                <c:pt idx="12">
                  <c:v>2.1</c:v>
                </c:pt>
                <c:pt idx="1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noiembrie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112606069872329"/>
          <c:y val="8.603011675135611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78201881303409"/>
          <c:y val="0.11184088515881624"/>
          <c:w val="0.53981480000639726"/>
          <c:h val="0.65779810457824517"/>
        </c:manualLayout>
      </c:layout>
      <c:pieChart>
        <c:varyColors val="1"/>
        <c:ser>
          <c:idx val="0"/>
          <c:order val="0"/>
          <c:tx>
            <c:strRef>
              <c:f>'Figura 12'!$B$27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D9-44C7-A51E-FDC47C6964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D9-44C7-A51E-FDC47C6964E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9-44C7-A51E-FDC47C6964E7}"/>
              </c:ext>
            </c:extLst>
          </c:dPt>
          <c:dPt>
            <c:idx val="3"/>
            <c:bubble3D val="0"/>
            <c:explosion val="1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D9-44C7-A51E-FDC47C6964E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D9-44C7-A51E-FDC47C6964E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D9-44C7-A51E-FDC47C6964E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D9-44C7-A51E-FDC47C6964E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D9-44C7-A51E-FDC47C6964E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D9-44C7-A51E-FDC47C6964E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D9-44C7-A51E-FDC47C6964E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3D9-44C7-A51E-FDC47C6964E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3D9-44C7-A51E-FDC47C6964E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3D9-44C7-A51E-FDC47C6964E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9F0-4C23-A26D-005511921D52}"/>
              </c:ext>
            </c:extLst>
          </c:dPt>
          <c:dLbls>
            <c:dLbl>
              <c:idx val="0"/>
              <c:layout>
                <c:manualLayout>
                  <c:x val="-6.8636954361287361E-2"/>
                  <c:y val="7.14826178062892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9-44C7-A51E-FDC47C6964E7}"/>
                </c:ext>
              </c:extLst>
            </c:dLbl>
            <c:dLbl>
              <c:idx val="1"/>
              <c:layout>
                <c:manualLayout>
                  <c:x val="-5.2376347374053972E-2"/>
                  <c:y val="-6.615060038476117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61008225091921"/>
                      <c:h val="0.17267625527374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D9-44C7-A51E-FDC47C6964E7}"/>
                </c:ext>
              </c:extLst>
            </c:dLbl>
            <c:dLbl>
              <c:idx val="2"/>
              <c:layout>
                <c:manualLayout>
                  <c:x val="-6.4724919093851136E-3"/>
                  <c:y val="-0.1091475895213371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14476467140637"/>
                      <c:h val="0.130852267444771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3D9-44C7-A51E-FDC47C6964E7}"/>
                </c:ext>
              </c:extLst>
            </c:dLbl>
            <c:dLbl>
              <c:idx val="3"/>
              <c:layout>
                <c:manualLayout>
                  <c:x val="2.1324694850036949E-2"/>
                  <c:y val="-0.1676717807613118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1798027673725"/>
                      <c:h val="0.200158278853507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3D9-44C7-A51E-FDC47C6964E7}"/>
                </c:ext>
              </c:extLst>
            </c:dLbl>
            <c:dLbl>
              <c:idx val="4"/>
              <c:layout>
                <c:manualLayout>
                  <c:x val="6.2124710139387918E-2"/>
                  <c:y val="-8.59118768192123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D9-44C7-A51E-FDC47C6964E7}"/>
                </c:ext>
              </c:extLst>
            </c:dLbl>
            <c:dLbl>
              <c:idx val="5"/>
              <c:layout>
                <c:manualLayout>
                  <c:x val="1.1272807566486116E-2"/>
                  <c:y val="-2.472219872749966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3314119268217"/>
                      <c:h val="0.17215664401512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3D9-44C7-A51E-FDC47C6964E7}"/>
                </c:ext>
              </c:extLst>
            </c:dLbl>
            <c:dLbl>
              <c:idx val="6"/>
              <c:layout>
                <c:manualLayout>
                  <c:x val="-7.2151466503580369E-2"/>
                  <c:y val="1.9569467985439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6616785419666"/>
                      <c:h val="0.15994385714209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3D9-44C7-A51E-FDC47C6964E7}"/>
                </c:ext>
              </c:extLst>
            </c:dLbl>
            <c:dLbl>
              <c:idx val="7"/>
              <c:layout>
                <c:manualLayout>
                  <c:x val="-0.1570095303621028"/>
                  <c:y val="3.6836948514949283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5259281910149"/>
                      <c:h val="0.178473113204173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3D9-44C7-A51E-FDC47C6964E7}"/>
                </c:ext>
              </c:extLst>
            </c:dLbl>
            <c:dLbl>
              <c:idx val="8"/>
              <c:layout>
                <c:manualLayout>
                  <c:x val="-0.21510180159518899"/>
                  <c:y val="-9.254578872463829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33992798981809"/>
                      <c:h val="0.17545826045861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3D9-44C7-A51E-FDC47C6964E7}"/>
                </c:ext>
              </c:extLst>
            </c:dLbl>
            <c:dLbl>
              <c:idx val="9"/>
              <c:layout>
                <c:manualLayout>
                  <c:x val="-0.19050913538720282"/>
                  <c:y val="-0.2053857981648752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00789949799965"/>
                      <c:h val="0.1664448211003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3D9-44C7-A51E-FDC47C6964E7}"/>
                </c:ext>
              </c:extLst>
            </c:dLbl>
            <c:dLbl>
              <c:idx val="10"/>
              <c:layout>
                <c:manualLayout>
                  <c:x val="-0.17035221429503744"/>
                  <c:y val="-0.3083534977201575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5465547437225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3D9-44C7-A51E-FDC47C6964E7}"/>
                </c:ext>
              </c:extLst>
            </c:dLbl>
            <c:dLbl>
              <c:idx val="11"/>
              <c:layout>
                <c:manualLayout>
                  <c:x val="-0.13115944244833475"/>
                  <c:y val="-0.431823324536748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3D9-44C7-A51E-FDC47C6964E7}"/>
                </c:ext>
              </c:extLst>
            </c:dLbl>
            <c:dLbl>
              <c:idx val="12"/>
              <c:layout>
                <c:manualLayout>
                  <c:x val="-4.6022984990953829E-2"/>
                  <c:y val="-0.553747416450327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3D9-44C7-A51E-FDC47C6964E7}"/>
                </c:ext>
              </c:extLst>
            </c:dLbl>
            <c:dLbl>
              <c:idx val="13"/>
              <c:layout>
                <c:manualLayout>
                  <c:x val="0.20307239507682898"/>
                  <c:y val="-0.204779048395517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66110227478502"/>
                      <c:h val="8.40939215833563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79F0-4C23-A26D-005511921D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12'!$A$28:$A$41</c:f>
              <c:strCache>
                <c:ptCount val="14"/>
                <c:pt idx="0">
                  <c:v>Petrol, produse petroliere </c:v>
                </c:pt>
                <c:pt idx="1">
                  <c:v>Maşini şi aparate electrice </c:v>
                </c:pt>
                <c:pt idx="2">
                  <c:v>Vehicule rutiere</c:v>
                </c:pt>
                <c:pt idx="3">
                  <c:v>Gaz şi produse industriale obţinute din gaz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Maşini şi aparate industriale </c:v>
                </c:pt>
                <c:pt idx="7">
                  <c:v>Aparate şi echipamente de telecomunicaţii </c:v>
                </c:pt>
                <c:pt idx="8">
                  <c:v>Maşini şi aparate specializate </c:v>
                </c:pt>
                <c:pt idx="9">
                  <c:v>Legume şi fructe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Articole din minerale nemetalice</c:v>
                </c:pt>
                <c:pt idx="13">
                  <c:v>Alte mărfuri</c:v>
                </c:pt>
              </c:strCache>
            </c:strRef>
          </c:cat>
          <c:val>
            <c:numRef>
              <c:f>'Figura 12'!$B$28:$B$41</c:f>
              <c:numCache>
                <c:formatCode>#,##0.0</c:formatCode>
                <c:ptCount val="14"/>
                <c:pt idx="0">
                  <c:v>16.600000000000001</c:v>
                </c:pt>
                <c:pt idx="1">
                  <c:v>6.3</c:v>
                </c:pt>
                <c:pt idx="2">
                  <c:v>5.9</c:v>
                </c:pt>
                <c:pt idx="3">
                  <c:v>8.9</c:v>
                </c:pt>
                <c:pt idx="4">
                  <c:v>3.6</c:v>
                </c:pt>
                <c:pt idx="5">
                  <c:v>3</c:v>
                </c:pt>
                <c:pt idx="6">
                  <c:v>2.7</c:v>
                </c:pt>
                <c:pt idx="7">
                  <c:v>2.1</c:v>
                </c:pt>
                <c:pt idx="8">
                  <c:v>3.3</c:v>
                </c:pt>
                <c:pt idx="9">
                  <c:v>2</c:v>
                </c:pt>
                <c:pt idx="10">
                  <c:v>2.2000000000000002</c:v>
                </c:pt>
                <c:pt idx="11">
                  <c:v>2.2999999999999998</c:v>
                </c:pt>
                <c:pt idx="12">
                  <c:v>1.9</c:v>
                </c:pt>
                <c:pt idx="13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3D9-44C7-A51E-FDC47C696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13'!$B$23:$B$28</c:f>
              <c:numCache>
                <c:formatCode>#,##0.0</c:formatCode>
                <c:ptCount val="6"/>
                <c:pt idx="0">
                  <c:v>-154</c:v>
                </c:pt>
                <c:pt idx="1">
                  <c:v>-138.30000000000001</c:v>
                </c:pt>
                <c:pt idx="2">
                  <c:v>-160.30000000000001</c:v>
                </c:pt>
                <c:pt idx="3">
                  <c:v>-201</c:v>
                </c:pt>
                <c:pt idx="4">
                  <c:v>-291.3</c:v>
                </c:pt>
                <c:pt idx="5">
                  <c:v>-402.2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13'!$C$23:$C$28</c:f>
              <c:numCache>
                <c:formatCode>#,##0.0</c:formatCode>
                <c:ptCount val="6"/>
                <c:pt idx="0">
                  <c:v>-212.1</c:v>
                </c:pt>
                <c:pt idx="1">
                  <c:v>-217.9</c:v>
                </c:pt>
                <c:pt idx="2">
                  <c:v>-239.5</c:v>
                </c:pt>
                <c:pt idx="3">
                  <c:v>-294.39999999999998</c:v>
                </c:pt>
                <c:pt idx="4">
                  <c:v>-332.6</c:v>
                </c:pt>
                <c:pt idx="5">
                  <c:v>-396.5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13'!$D$23:$D$28</c:f>
              <c:numCache>
                <c:formatCode>#,##0.0</c:formatCode>
                <c:ptCount val="6"/>
                <c:pt idx="0">
                  <c:v>-282</c:v>
                </c:pt>
                <c:pt idx="1">
                  <c:v>-276.60000000000002</c:v>
                </c:pt>
                <c:pt idx="2">
                  <c:v>-290.3</c:v>
                </c:pt>
                <c:pt idx="3">
                  <c:v>-370.8</c:v>
                </c:pt>
                <c:pt idx="4">
                  <c:v>-352.5</c:v>
                </c:pt>
                <c:pt idx="5">
                  <c:v>-436.2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13'!$E$23:$E$28</c:f>
              <c:numCache>
                <c:formatCode>#,##0.0</c:formatCode>
                <c:ptCount val="6"/>
                <c:pt idx="0">
                  <c:v>-244.9</c:v>
                </c:pt>
                <c:pt idx="1">
                  <c:v>-300</c:v>
                </c:pt>
                <c:pt idx="2">
                  <c:v>-135.80000000000001</c:v>
                </c:pt>
                <c:pt idx="3">
                  <c:v>-344</c:v>
                </c:pt>
                <c:pt idx="4">
                  <c:v>-374.1</c:v>
                </c:pt>
                <c:pt idx="5">
                  <c:v>-373.32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13'!$F$23:$F$28</c:f>
              <c:numCache>
                <c:formatCode>#,##0.0</c:formatCode>
                <c:ptCount val="6"/>
                <c:pt idx="0">
                  <c:v>-282.60000000000002</c:v>
                </c:pt>
                <c:pt idx="1">
                  <c:v>-271.10000000000002</c:v>
                </c:pt>
                <c:pt idx="2">
                  <c:v>-173.7</c:v>
                </c:pt>
                <c:pt idx="3">
                  <c:v>-361.7</c:v>
                </c:pt>
                <c:pt idx="4">
                  <c:v>-356.7</c:v>
                </c:pt>
                <c:pt idx="5">
                  <c:v>-372.7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13'!$G$23:$G$28</c:f>
              <c:numCache>
                <c:formatCode>#,##0.0</c:formatCode>
                <c:ptCount val="6"/>
                <c:pt idx="0">
                  <c:v>-244.6</c:v>
                </c:pt>
                <c:pt idx="1">
                  <c:v>-243.2</c:v>
                </c:pt>
                <c:pt idx="2">
                  <c:v>-223.9</c:v>
                </c:pt>
                <c:pt idx="3">
                  <c:v>-362.8</c:v>
                </c:pt>
                <c:pt idx="4">
                  <c:v>-352</c:v>
                </c:pt>
                <c:pt idx="5">
                  <c:v>-348.9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13'!$H$23:$H$28</c:f>
              <c:numCache>
                <c:formatCode>#,##0.0</c:formatCode>
                <c:ptCount val="6"/>
                <c:pt idx="0">
                  <c:v>-269.2</c:v>
                </c:pt>
                <c:pt idx="1">
                  <c:v>-278.89999999999998</c:v>
                </c:pt>
                <c:pt idx="2">
                  <c:v>-305.5</c:v>
                </c:pt>
                <c:pt idx="3">
                  <c:v>-321.3</c:v>
                </c:pt>
                <c:pt idx="4">
                  <c:v>-422.9</c:v>
                </c:pt>
                <c:pt idx="5">
                  <c:v>-335.3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13'!$I$23:$I$28</c:f>
              <c:numCache>
                <c:formatCode>#,##0.0</c:formatCode>
                <c:ptCount val="6"/>
                <c:pt idx="0">
                  <c:v>-262.10000000000002</c:v>
                </c:pt>
                <c:pt idx="1">
                  <c:v>-258.5</c:v>
                </c:pt>
                <c:pt idx="2">
                  <c:v>-269.7</c:v>
                </c:pt>
                <c:pt idx="3">
                  <c:v>-338.6</c:v>
                </c:pt>
                <c:pt idx="4">
                  <c:v>-450.6</c:v>
                </c:pt>
                <c:pt idx="5">
                  <c:v>-377.3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13'!$J$23:$J$28</c:f>
              <c:numCache>
                <c:formatCode>#,##0.0</c:formatCode>
                <c:ptCount val="6"/>
                <c:pt idx="0">
                  <c:v>-266.7</c:v>
                </c:pt>
                <c:pt idx="1">
                  <c:v>-262.89999999999998</c:v>
                </c:pt>
                <c:pt idx="2">
                  <c:v>-296</c:v>
                </c:pt>
                <c:pt idx="3">
                  <c:v>-376.3</c:v>
                </c:pt>
                <c:pt idx="4">
                  <c:v>-525.29999999999995</c:v>
                </c:pt>
                <c:pt idx="5">
                  <c:v>-354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13'!$K$23:$K$28</c:f>
              <c:numCache>
                <c:formatCode>#,##0.0</c:formatCode>
                <c:ptCount val="6"/>
                <c:pt idx="0">
                  <c:v>-281.60000000000002</c:v>
                </c:pt>
                <c:pt idx="1">
                  <c:v>-257</c:v>
                </c:pt>
                <c:pt idx="2">
                  <c:v>-244.2</c:v>
                </c:pt>
                <c:pt idx="3">
                  <c:v>-294.60000000000002</c:v>
                </c:pt>
                <c:pt idx="4">
                  <c:v>-399.2</c:v>
                </c:pt>
                <c:pt idx="5">
                  <c:v>-371.9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13'!$L$23:$L$28</c:f>
              <c:numCache>
                <c:formatCode>#,##0.0</c:formatCode>
                <c:ptCount val="6"/>
                <c:pt idx="0">
                  <c:v>-253.70000000000005</c:v>
                </c:pt>
                <c:pt idx="1">
                  <c:v>-237.5</c:v>
                </c:pt>
                <c:pt idx="2">
                  <c:v>-260.89999999999998</c:v>
                </c:pt>
                <c:pt idx="3">
                  <c:v>-337.6</c:v>
                </c:pt>
                <c:pt idx="4">
                  <c:v>-502.9</c:v>
                </c:pt>
                <c:pt idx="5">
                  <c:v>-353.1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13'!$M$23:$M$28</c:f>
              <c:numCache>
                <c:formatCode>#,##0.0</c:formatCode>
                <c:ptCount val="6"/>
                <c:pt idx="0">
                  <c:v>-300.49999999999994</c:v>
                </c:pt>
                <c:pt idx="1">
                  <c:v>-321.39999999999998</c:v>
                </c:pt>
                <c:pt idx="2">
                  <c:v>-349</c:v>
                </c:pt>
                <c:pt idx="3">
                  <c:v>-429.2</c:v>
                </c:pt>
                <c:pt idx="4">
                  <c:v>-526.79999999999995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8304"/>
        <c:axId val="133212992"/>
      </c:barChart>
      <c:catAx>
        <c:axId val="1338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212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212992"/>
        <c:scaling>
          <c:orientation val="minMax"/>
          <c:min val="-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85830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925675094295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194475690538683E-2"/>
                  <c:y val="1.6359226864225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5403217454960988E-2"/>
                  <c:y val="8.784384278648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1.442191154677094E-2"/>
                  <c:y val="4.554205219102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4134233220847461E-2"/>
                  <c:y val="1.600288582142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4016997875265E-2"/>
                      <c:h val="6.7576708367975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2216044423018551E-2"/>
                  <c:y val="4.4410300171634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2661703001410538E-2"/>
                  <c:y val="4.2872053240890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Ianuarie-noiembrie 2018</c:v>
                </c:pt>
                <c:pt idx="1">
                  <c:v>Ianuarie-noiembrie 2019</c:v>
                </c:pt>
                <c:pt idx="2">
                  <c:v>Ianuarie-noiembrie 2020</c:v>
                </c:pt>
                <c:pt idx="3">
                  <c:v>Ianuarie-noiembrie 2021</c:v>
                </c:pt>
                <c:pt idx="4">
                  <c:v>Ianuarie-noiembrie 2022</c:v>
                </c:pt>
                <c:pt idx="5">
                  <c:v>Ianuarie-noiembrie 2023</c:v>
                </c:pt>
              </c:strCache>
            </c:strRef>
          </c:cat>
          <c:val>
            <c:numRef>
              <c:f>'Figura 14'!$B$28:$B$33</c:f>
              <c:numCache>
                <c:formatCode>#,##0.0</c:formatCode>
                <c:ptCount val="6"/>
                <c:pt idx="0">
                  <c:v>2487.3000000000002</c:v>
                </c:pt>
                <c:pt idx="1">
                  <c:v>2560.9</c:v>
                </c:pt>
                <c:pt idx="2">
                  <c:v>2248.9</c:v>
                </c:pt>
                <c:pt idx="3">
                  <c:v>2819.5</c:v>
                </c:pt>
                <c:pt idx="4">
                  <c:v>3985.2</c:v>
                </c:pt>
                <c:pt idx="5">
                  <c:v>3737.3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483528844608877E-3"/>
                  <c:y val="8.0643911334979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-2.7713678647312274E-3"/>
                  <c:y val="6.7770597667421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1.1457958618054857E-5"/>
                  <c:y val="7.554318847025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-8.3683067535339809E-4"/>
                  <c:y val="8.3646396127967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-1.3682575392361669E-3"/>
                  <c:y val="4.5542052191022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Ianuarie-noiembrie 2018</c:v>
                </c:pt>
                <c:pt idx="1">
                  <c:v>Ianuarie-noiembrie 2019</c:v>
                </c:pt>
                <c:pt idx="2">
                  <c:v>Ianuarie-noiembrie 2020</c:v>
                </c:pt>
                <c:pt idx="3">
                  <c:v>Ianuarie-noiembrie 2021</c:v>
                </c:pt>
                <c:pt idx="4">
                  <c:v>Ianuarie-noiembrie 2022</c:v>
                </c:pt>
                <c:pt idx="5">
                  <c:v>Ianuarie-noiembrie 2023</c:v>
                </c:pt>
              </c:strCache>
            </c:strRef>
          </c:cat>
          <c:val>
            <c:numRef>
              <c:f>'Figura 14'!$C$28:$C$33</c:f>
              <c:numCache>
                <c:formatCode>#,##0.0</c:formatCode>
                <c:ptCount val="6"/>
                <c:pt idx="0">
                  <c:v>5240.7</c:v>
                </c:pt>
                <c:pt idx="1">
                  <c:v>5302.8</c:v>
                </c:pt>
                <c:pt idx="2">
                  <c:v>4848.7</c:v>
                </c:pt>
                <c:pt idx="3">
                  <c:v>6422.6</c:v>
                </c:pt>
                <c:pt idx="4">
                  <c:v>8345.2000000000007</c:v>
                </c:pt>
                <c:pt idx="5">
                  <c:v>7858.7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33806080"/>
        <c:axId val="133217024"/>
      </c:barChart>
      <c:lineChart>
        <c:grouping val="standard"/>
        <c:varyColors val="0"/>
        <c:ser>
          <c:idx val="2"/>
          <c:order val="2"/>
          <c:tx>
            <c:strRef>
              <c:f>'Figura 14'!$D$27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753138000607062E-2"/>
                  <c:y val="-2.9307990666408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3.9225525380755945E-2"/>
                  <c:y val="-3.8958296838961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3412705941877745E-2"/>
                  <c:y val="4.2698342465821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3.6065777492099271E-2"/>
                  <c:y val="-3.5311832774427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0761471081175227E-2"/>
                  <c:y val="-4.000231614366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123675805584548E-2"/>
                      <c:h val="4.15785805841068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2.9403914872086771E-2"/>
                  <c:y val="-3.990581015751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Ianuarie-noiembrie 2018</c:v>
                </c:pt>
                <c:pt idx="1">
                  <c:v>Ianuarie-noiembrie 2019</c:v>
                </c:pt>
                <c:pt idx="2">
                  <c:v>Ianuarie-noiembrie 2020</c:v>
                </c:pt>
                <c:pt idx="3">
                  <c:v>Ianuarie-noiembrie 2021</c:v>
                </c:pt>
                <c:pt idx="4">
                  <c:v>Ianuarie-noiembrie 2022</c:v>
                </c:pt>
                <c:pt idx="5">
                  <c:v>Ianuarie-noiembrie 2023</c:v>
                </c:pt>
              </c:strCache>
            </c:strRef>
          </c:cat>
          <c:val>
            <c:numRef>
              <c:f>'Figura 14'!$D$28:$D$33</c:f>
              <c:numCache>
                <c:formatCode>#,##0.0</c:formatCode>
                <c:ptCount val="6"/>
                <c:pt idx="0">
                  <c:v>-2753.3999999999996</c:v>
                </c:pt>
                <c:pt idx="1">
                  <c:v>-2741.9</c:v>
                </c:pt>
                <c:pt idx="2">
                  <c:v>-2599.7999999999997</c:v>
                </c:pt>
                <c:pt idx="3">
                  <c:v>-3603.1000000000004</c:v>
                </c:pt>
                <c:pt idx="4">
                  <c:v>-4360.0000000000009</c:v>
                </c:pt>
                <c:pt idx="5">
                  <c:v>-4121.3999999999996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6080"/>
        <c:axId val="133217024"/>
      </c:lineChart>
      <c:catAx>
        <c:axId val="13380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217024"/>
        <c:crosses val="autoZero"/>
        <c:auto val="1"/>
        <c:lblAlgn val="ctr"/>
        <c:lblOffset val="100"/>
        <c:noMultiLvlLbl val="0"/>
      </c:catAx>
      <c:valAx>
        <c:axId val="1332170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806080"/>
        <c:crosses val="autoZero"/>
        <c:crossBetween val="between"/>
        <c:majorUnit val="10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5930711068301466"/>
          <c:w val="0.92503281730217912"/>
          <c:h val="3.6405286958537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4673787348795E-2"/>
          <c:y val="5.8988321282727942E-2"/>
          <c:w val="0.92807084892708935"/>
          <c:h val="0.71198276686002482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multiLvlStrRef>
              <c:f>'Figura 2'!$B$23:$AJ$24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2'!$B$25:$AJ$25</c:f>
              <c:numCache>
                <c:formatCode>#,##0.0</c:formatCode>
                <c:ptCount val="35"/>
                <c:pt idx="0">
                  <c:v>90.925213233797848</c:v>
                </c:pt>
                <c:pt idx="1">
                  <c:v>114.41147354263464</c:v>
                </c:pt>
                <c:pt idx="2">
                  <c:v>114.20579997969134</c:v>
                </c:pt>
                <c:pt idx="3">
                  <c:v>84.167356355788357</c:v>
                </c:pt>
                <c:pt idx="4">
                  <c:v>92.421884276527052</c:v>
                </c:pt>
                <c:pt idx="5">
                  <c:v>112.45124175218632</c:v>
                </c:pt>
                <c:pt idx="6">
                  <c:v>106.13290668113962</c:v>
                </c:pt>
                <c:pt idx="7">
                  <c:v>98.163759117159898</c:v>
                </c:pt>
                <c:pt idx="8">
                  <c:v>124.79747973247373</c:v>
                </c:pt>
                <c:pt idx="9">
                  <c:v>119.44752327758337</c:v>
                </c:pt>
                <c:pt idx="10">
                  <c:v>103.29810746017232</c:v>
                </c:pt>
                <c:pt idx="11">
                  <c:v>89.310814590947814</c:v>
                </c:pt>
                <c:pt idx="12">
                  <c:v>101.65548055101389</c:v>
                </c:pt>
                <c:pt idx="13">
                  <c:v>101.84864374682041</c:v>
                </c:pt>
                <c:pt idx="14">
                  <c:v>117.64360095679429</c:v>
                </c:pt>
                <c:pt idx="15">
                  <c:v>100.12867315249881</c:v>
                </c:pt>
                <c:pt idx="16">
                  <c:v>104.95231951698101</c:v>
                </c:pt>
                <c:pt idx="17">
                  <c:v>100.11263227721525</c:v>
                </c:pt>
                <c:pt idx="18">
                  <c:v>81.219091406345484</c:v>
                </c:pt>
                <c:pt idx="19">
                  <c:v>97.395817403540036</c:v>
                </c:pt>
                <c:pt idx="20">
                  <c:v>96.775293757579718</c:v>
                </c:pt>
                <c:pt idx="21">
                  <c:v>110.39404185134238</c:v>
                </c:pt>
                <c:pt idx="22">
                  <c:v>100.990226814244</c:v>
                </c:pt>
                <c:pt idx="23">
                  <c:v>97.626571809884439</c:v>
                </c:pt>
                <c:pt idx="24">
                  <c:v>95.423145055942825</c:v>
                </c:pt>
                <c:pt idx="25">
                  <c:v>107.53426155303467</c:v>
                </c:pt>
                <c:pt idx="26">
                  <c:v>108.10569775638508</c:v>
                </c:pt>
                <c:pt idx="27">
                  <c:v>82.457500951649791</c:v>
                </c:pt>
                <c:pt idx="28">
                  <c:v>106.03224634475339</c:v>
                </c:pt>
                <c:pt idx="29">
                  <c:v>94.094313438764019</c:v>
                </c:pt>
                <c:pt idx="30">
                  <c:v>96.062601900370808</c:v>
                </c:pt>
                <c:pt idx="31">
                  <c:v>105.70970185102763</c:v>
                </c:pt>
                <c:pt idx="32">
                  <c:v>108.24618309689178</c:v>
                </c:pt>
                <c:pt idx="33">
                  <c:v>98.195823302702834</c:v>
                </c:pt>
                <c:pt idx="34">
                  <c:v>110.91874480343407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'Figura 2'!$B$23:$AJ$24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2'!$B$26:$AJ$26</c:f>
              <c:numCache>
                <c:formatCode>#,##0.0</c:formatCode>
                <c:ptCount val="35"/>
                <c:pt idx="0">
                  <c:v>90.415711128050958</c:v>
                </c:pt>
                <c:pt idx="1">
                  <c:v>92.544788099159774</c:v>
                </c:pt>
                <c:pt idx="2">
                  <c:v>123.33461185332185</c:v>
                </c:pt>
                <c:pt idx="3">
                  <c:v>145.62616468779689</c:v>
                </c:pt>
                <c:pt idx="4">
                  <c:v>129.53315145310887</c:v>
                </c:pt>
                <c:pt idx="5">
                  <c:v>119.63933960141166</c:v>
                </c:pt>
                <c:pt idx="6">
                  <c:v>125.94594158412818</c:v>
                </c:pt>
                <c:pt idx="7">
                  <c:v>144.1652577242715</c:v>
                </c:pt>
                <c:pt idx="8">
                  <c:v>138.93267521074247</c:v>
                </c:pt>
                <c:pt idx="9">
                  <c:v>141.26446794210585</c:v>
                </c:pt>
                <c:pt idx="10">
                  <c:v>138.86123791492062</c:v>
                </c:pt>
                <c:pt idx="11">
                  <c:v>148.90368550768355</c:v>
                </c:pt>
                <c:pt idx="12">
                  <c:v>166.47364542706634</c:v>
                </c:pt>
                <c:pt idx="13">
                  <c:v>148.19932435921535</c:v>
                </c:pt>
                <c:pt idx="14">
                  <c:v>152.66039185472528</c:v>
                </c:pt>
                <c:pt idx="15">
                  <c:v>181.61058088529293</c:v>
                </c:pt>
                <c:pt idx="16">
                  <c:v>206.23310011413275</c:v>
                </c:pt>
                <c:pt idx="17">
                  <c:v>183.60436215205132</c:v>
                </c:pt>
                <c:pt idx="18">
                  <c:v>140.50476839414773</c:v>
                </c:pt>
                <c:pt idx="19">
                  <c:v>139.40559010693906</c:v>
                </c:pt>
                <c:pt idx="20">
                  <c:v>108.10328031438013</c:v>
                </c:pt>
                <c:pt idx="21">
                  <c:v>99.909631642673943</c:v>
                </c:pt>
                <c:pt idx="22">
                  <c:v>97.67745613743709</c:v>
                </c:pt>
                <c:pt idx="23">
                  <c:v>106.77223390564465</c:v>
                </c:pt>
                <c:pt idx="24">
                  <c:v>100.22420542342689</c:v>
                </c:pt>
                <c:pt idx="25">
                  <c:v>105.81914027975773</c:v>
                </c:pt>
                <c:pt idx="26">
                  <c:v>97.239900027586913</c:v>
                </c:pt>
                <c:pt idx="27">
                  <c:v>80.07855189343411</c:v>
                </c:pt>
                <c:pt idx="28">
                  <c:v>80.902535364374799</c:v>
                </c:pt>
                <c:pt idx="29">
                  <c:v>76.039040702545819</c:v>
                </c:pt>
                <c:pt idx="30">
                  <c:v>89.935850911576011</c:v>
                </c:pt>
                <c:pt idx="31">
                  <c:v>97.612939025815066</c:v>
                </c:pt>
                <c:pt idx="32">
                  <c:v>109.18311544351715</c:v>
                </c:pt>
                <c:pt idx="33">
                  <c:v>97.118700719080934</c:v>
                </c:pt>
                <c:pt idx="34">
                  <c:v>106.66660250713915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65024"/>
        <c:axId val="100811328"/>
      </c:lineChart>
      <c:catAx>
        <c:axId val="1216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1328"/>
        <c:crossesAt val="30"/>
        <c:auto val="0"/>
        <c:lblAlgn val="ctr"/>
        <c:lblOffset val="100"/>
        <c:noMultiLvlLbl val="0"/>
      </c:catAx>
      <c:valAx>
        <c:axId val="100811328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66502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873154648772351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3'!$B$23</c:f>
              <c:strCache>
                <c:ptCount val="1"/>
                <c:pt idx="0">
                  <c:v>Ianuarie-noiembrie 2023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3'!$B$24:$B$29</c:f>
              <c:numCache>
                <c:formatCode>#,##0.0</c:formatCode>
                <c:ptCount val="6"/>
                <c:pt idx="0">
                  <c:v>13.3</c:v>
                </c:pt>
                <c:pt idx="1">
                  <c:v>3.3</c:v>
                </c:pt>
                <c:pt idx="2">
                  <c:v>81.099999999999994</c:v>
                </c:pt>
                <c:pt idx="3">
                  <c:v>1.1000000000000001</c:v>
                </c:pt>
                <c:pt idx="4">
                  <c:v>0</c:v>
                </c:pt>
                <c:pt idx="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3'!$C$23</c:f>
              <c:strCache>
                <c:ptCount val="1"/>
                <c:pt idx="0">
                  <c:v>Ianuarie-noiembrie 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3'!$C$24:$C$29</c:f>
              <c:numCache>
                <c:formatCode>#,##0.0</c:formatCode>
                <c:ptCount val="6"/>
                <c:pt idx="0">
                  <c:v>13.4</c:v>
                </c:pt>
                <c:pt idx="1">
                  <c:v>7.7</c:v>
                </c:pt>
                <c:pt idx="2">
                  <c:v>77.400000000000006</c:v>
                </c:pt>
                <c:pt idx="3">
                  <c:v>1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3'!$D$23</c:f>
              <c:strCache>
                <c:ptCount val="1"/>
                <c:pt idx="0">
                  <c:v>Ianuarie-noiembrie 2021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3'!$D$24:$D$29</c:f>
              <c:numCache>
                <c:formatCode>#,##0.0</c:formatCode>
                <c:ptCount val="6"/>
                <c:pt idx="0">
                  <c:v>8.8000000000000007</c:v>
                </c:pt>
                <c:pt idx="1">
                  <c:v>5.0999999999999996</c:v>
                </c:pt>
                <c:pt idx="2">
                  <c:v>84.9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3'!$E$23</c:f>
              <c:strCache>
                <c:ptCount val="1"/>
                <c:pt idx="0">
                  <c:v>Ianuarie-noiembrie 2020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3'!$E$24:$E$29</c:f>
              <c:numCache>
                <c:formatCode>#,##0.0</c:formatCode>
                <c:ptCount val="6"/>
                <c:pt idx="0">
                  <c:v>7</c:v>
                </c:pt>
                <c:pt idx="1">
                  <c:v>2.9</c:v>
                </c:pt>
                <c:pt idx="2">
                  <c:v>89</c:v>
                </c:pt>
                <c:pt idx="3">
                  <c:v>1.1000000000000001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3'!$F$23</c:f>
              <c:strCache>
                <c:ptCount val="1"/>
                <c:pt idx="0">
                  <c:v>Ianuarie-noiembrie 2019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3'!$F$24:$F$29</c:f>
              <c:numCache>
                <c:formatCode>#,##0.0</c:formatCode>
                <c:ptCount val="6"/>
                <c:pt idx="0">
                  <c:v>6.7</c:v>
                </c:pt>
                <c:pt idx="1">
                  <c:v>4.5</c:v>
                </c:pt>
                <c:pt idx="2">
                  <c:v>87.1</c:v>
                </c:pt>
                <c:pt idx="3">
                  <c:v>1.6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3'!$G$23</c:f>
              <c:strCache>
                <c:ptCount val="1"/>
                <c:pt idx="0">
                  <c:v>Ianuarie-noiembrie 2018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3'!$G$24:$G$29</c:f>
              <c:numCache>
                <c:formatCode>#,##0.0</c:formatCode>
                <c:ptCount val="6"/>
                <c:pt idx="0">
                  <c:v>6.7</c:v>
                </c:pt>
                <c:pt idx="1">
                  <c:v>4.3</c:v>
                </c:pt>
                <c:pt idx="2">
                  <c:v>87.2</c:v>
                </c:pt>
                <c:pt idx="3">
                  <c:v>1.8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920768"/>
        <c:axId val="100813632"/>
      </c:barChart>
      <c:catAx>
        <c:axId val="12592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3632"/>
        <c:crossesAt val="0"/>
        <c:auto val="1"/>
        <c:lblAlgn val="ctr"/>
        <c:lblOffset val="100"/>
        <c:noMultiLvlLbl val="0"/>
      </c:catAx>
      <c:valAx>
        <c:axId val="100813632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92076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383985075795487"/>
          <c:y val="0.9043039262949274"/>
          <c:w val="0.77804044922400262"/>
          <c:h val="6.848518935133107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526953361599E-2"/>
          <c:y val="7.9067734558931208E-2"/>
          <c:w val="0.91248006258833025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4'!$A$22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Ianuarie-noiembrie 2018</c:v>
                </c:pt>
                <c:pt idx="1">
                  <c:v>Ianuarie-noiembrie 2019</c:v>
                </c:pt>
                <c:pt idx="2">
                  <c:v>Ianuarie-noiembrie 2020</c:v>
                </c:pt>
                <c:pt idx="3">
                  <c:v>Ianuarie-noiembrie 2021</c:v>
                </c:pt>
                <c:pt idx="4">
                  <c:v>Ianuarie-noiembrie 2022</c:v>
                </c:pt>
                <c:pt idx="5">
                  <c:v>Ianuarie-noiembrie 2023</c:v>
                </c:pt>
              </c:strCache>
            </c:strRef>
          </c:cat>
          <c:val>
            <c:numRef>
              <c:f>'Figura 4'!$B$22:$G$22</c:f>
              <c:numCache>
                <c:formatCode>#,##0.0</c:formatCode>
                <c:ptCount val="6"/>
                <c:pt idx="0">
                  <c:v>66.400000000000006</c:v>
                </c:pt>
                <c:pt idx="1">
                  <c:v>63.9</c:v>
                </c:pt>
                <c:pt idx="2">
                  <c:v>66.8</c:v>
                </c:pt>
                <c:pt idx="3">
                  <c:v>61.3</c:v>
                </c:pt>
                <c:pt idx="4">
                  <c:v>59.1</c:v>
                </c:pt>
                <c:pt idx="5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4'!$A$23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Ianuarie-noiembrie 2018</c:v>
                </c:pt>
                <c:pt idx="1">
                  <c:v>Ianuarie-noiembrie 2019</c:v>
                </c:pt>
                <c:pt idx="2">
                  <c:v>Ianuarie-noiembrie 2020</c:v>
                </c:pt>
                <c:pt idx="3">
                  <c:v>Ianuarie-noiembrie 2021</c:v>
                </c:pt>
                <c:pt idx="4">
                  <c:v>Ianuarie-noiembrie 2022</c:v>
                </c:pt>
                <c:pt idx="5">
                  <c:v>Ianuarie-noiembrie 2023</c:v>
                </c:pt>
              </c:strCache>
            </c:strRef>
          </c:cat>
          <c:val>
            <c:numRef>
              <c:f>'Figura 4'!$B$23:$G$23</c:f>
              <c:numCache>
                <c:formatCode>#,##0.0</c:formatCode>
                <c:ptCount val="6"/>
                <c:pt idx="0">
                  <c:v>15.5</c:v>
                </c:pt>
                <c:pt idx="1">
                  <c:v>15.8</c:v>
                </c:pt>
                <c:pt idx="2">
                  <c:v>15.1</c:v>
                </c:pt>
                <c:pt idx="3">
                  <c:v>15</c:v>
                </c:pt>
                <c:pt idx="4">
                  <c:v>23.3</c:v>
                </c:pt>
                <c:pt idx="5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4'!$A$24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Ianuarie-noiembrie 2018</c:v>
                </c:pt>
                <c:pt idx="1">
                  <c:v>Ianuarie-noiembrie 2019</c:v>
                </c:pt>
                <c:pt idx="2">
                  <c:v>Ianuarie-noiembrie 2020</c:v>
                </c:pt>
                <c:pt idx="3">
                  <c:v>Ianuarie-noiembrie 2021</c:v>
                </c:pt>
                <c:pt idx="4">
                  <c:v>Ianuarie-noiembrie 2022</c:v>
                </c:pt>
                <c:pt idx="5">
                  <c:v>Ianuarie-noiembrie 2023</c:v>
                </c:pt>
              </c:strCache>
            </c:strRef>
          </c:cat>
          <c:val>
            <c:numRef>
              <c:f>'Figura 4'!$B$24:$G$24</c:f>
              <c:numCache>
                <c:formatCode>#,##0.0</c:formatCode>
                <c:ptCount val="6"/>
                <c:pt idx="0">
                  <c:v>18.100000000000001</c:v>
                </c:pt>
                <c:pt idx="1">
                  <c:v>20.3</c:v>
                </c:pt>
                <c:pt idx="2">
                  <c:v>18.100000000000001</c:v>
                </c:pt>
                <c:pt idx="3">
                  <c:v>23.7</c:v>
                </c:pt>
                <c:pt idx="4">
                  <c:v>17.600000000000001</c:v>
                </c:pt>
                <c:pt idx="5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41952"/>
        <c:axId val="100815936"/>
      </c:barChart>
      <c:catAx>
        <c:axId val="126141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5936"/>
        <c:crosses val="autoZero"/>
        <c:auto val="1"/>
        <c:lblAlgn val="ctr"/>
        <c:lblOffset val="100"/>
        <c:noMultiLvlLbl val="0"/>
      </c:catAx>
      <c:valAx>
        <c:axId val="100815936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141952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90182943549965"/>
          <c:w val="1"/>
          <c:h val="9.2297175539624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2.2640470912009786E-2"/>
          <c:w val="0.94076377536801559"/>
          <c:h val="0.6143859811641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5'!$B$25</c:f>
              <c:strCache>
                <c:ptCount val="1"/>
                <c:pt idx="0">
                  <c:v>Ianuarie-noiembrie 2018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5'!$A$26:$A$47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S.U.A.</c:v>
                </c:pt>
                <c:pt idx="11">
                  <c:v>Spania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Franța</c:v>
                </c:pt>
                <c:pt idx="16">
                  <c:v>Regatul Unit </c:v>
                </c:pt>
                <c:pt idx="17">
                  <c:v>Grecia</c:v>
                </c:pt>
                <c:pt idx="18">
                  <c:v>Elveția</c:v>
                </c:pt>
                <c:pt idx="19">
                  <c:v>Cipru</c:v>
                </c:pt>
                <c:pt idx="20">
                  <c:v>Liban</c:v>
                </c:pt>
                <c:pt idx="21">
                  <c:v>Austria</c:v>
                </c:pt>
              </c:strCache>
            </c:strRef>
          </c:cat>
          <c:val>
            <c:numRef>
              <c:f>'Figura 5'!$B$26:$B$47</c:f>
              <c:numCache>
                <c:formatCode>#,##0.0</c:formatCode>
                <c:ptCount val="22"/>
                <c:pt idx="0">
                  <c:v>29.33706945878264</c:v>
                </c:pt>
                <c:pt idx="1">
                  <c:v>2.9309000218593195</c:v>
                </c:pt>
                <c:pt idx="2">
                  <c:v>11.646742388925023</c:v>
                </c:pt>
                <c:pt idx="3">
                  <c:v>8.2397589891200109</c:v>
                </c:pt>
                <c:pt idx="4">
                  <c:v>1.5854928649844093</c:v>
                </c:pt>
                <c:pt idx="5">
                  <c:v>8.2259495341574063</c:v>
                </c:pt>
                <c:pt idx="6">
                  <c:v>3.5011186386999098</c:v>
                </c:pt>
                <c:pt idx="7">
                  <c:v>3.6369046068378741</c:v>
                </c:pt>
                <c:pt idx="8">
                  <c:v>3.2663610530737892</c:v>
                </c:pt>
                <c:pt idx="9">
                  <c:v>1.8296288872165711</c:v>
                </c:pt>
                <c:pt idx="10">
                  <c:v>0.7971876699755468</c:v>
                </c:pt>
                <c:pt idx="11">
                  <c:v>1.0037505788824697</c:v>
                </c:pt>
                <c:pt idx="12">
                  <c:v>0.31329445168341508</c:v>
                </c:pt>
                <c:pt idx="13">
                  <c:v>1.3789225365214661</c:v>
                </c:pt>
                <c:pt idx="14">
                  <c:v>0.61290244819981188</c:v>
                </c:pt>
                <c:pt idx="15">
                  <c:v>1.8191930547251187</c:v>
                </c:pt>
                <c:pt idx="16">
                  <c:v>2.9953985950311024</c:v>
                </c:pt>
                <c:pt idx="17">
                  <c:v>1.2946896903734484</c:v>
                </c:pt>
                <c:pt idx="18">
                  <c:v>2.1105119916014763</c:v>
                </c:pt>
                <c:pt idx="19">
                  <c:v>0.34478146984863012</c:v>
                </c:pt>
                <c:pt idx="20">
                  <c:v>0.557035690817831</c:v>
                </c:pt>
                <c:pt idx="21">
                  <c:v>1.5073006900713566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5'!$C$25</c:f>
              <c:strCache>
                <c:ptCount val="1"/>
                <c:pt idx="0">
                  <c:v>Ianuarie-noiembrie 2019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5'!$A$26:$A$47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S.U.A.</c:v>
                </c:pt>
                <c:pt idx="11">
                  <c:v>Spania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Franța</c:v>
                </c:pt>
                <c:pt idx="16">
                  <c:v>Regatul Unit </c:v>
                </c:pt>
                <c:pt idx="17">
                  <c:v>Grecia</c:v>
                </c:pt>
                <c:pt idx="18">
                  <c:v>Elveția</c:v>
                </c:pt>
                <c:pt idx="19">
                  <c:v>Cipru</c:v>
                </c:pt>
                <c:pt idx="20">
                  <c:v>Liban</c:v>
                </c:pt>
                <c:pt idx="21">
                  <c:v>Austria</c:v>
                </c:pt>
              </c:strCache>
            </c:strRef>
          </c:cat>
          <c:val>
            <c:numRef>
              <c:f>'Figura 5'!$C$26:$C$47</c:f>
              <c:numCache>
                <c:formatCode>#,##0.0</c:formatCode>
                <c:ptCount val="22"/>
                <c:pt idx="0">
                  <c:v>27.769229891615872</c:v>
                </c:pt>
                <c:pt idx="1">
                  <c:v>2.8906090568305656</c:v>
                </c:pt>
                <c:pt idx="2">
                  <c:v>9.529811824217278</c:v>
                </c:pt>
                <c:pt idx="3">
                  <c:v>8.8905961319082749</c:v>
                </c:pt>
                <c:pt idx="4">
                  <c:v>2.2782985845039607</c:v>
                </c:pt>
                <c:pt idx="5">
                  <c:v>9.1566513424054108</c:v>
                </c:pt>
                <c:pt idx="6">
                  <c:v>6.43659267431413</c:v>
                </c:pt>
                <c:pt idx="7">
                  <c:v>4.0692014170511541</c:v>
                </c:pt>
                <c:pt idx="8">
                  <c:v>2.8760019349194579</c:v>
                </c:pt>
                <c:pt idx="9">
                  <c:v>2.1170661155754575</c:v>
                </c:pt>
                <c:pt idx="10">
                  <c:v>0.87069441771861433</c:v>
                </c:pt>
                <c:pt idx="11">
                  <c:v>1.2797924811956727</c:v>
                </c:pt>
                <c:pt idx="12">
                  <c:v>0.3930084769850849</c:v>
                </c:pt>
                <c:pt idx="13">
                  <c:v>1.3475957360696686</c:v>
                </c:pt>
                <c:pt idx="14">
                  <c:v>0.36139550982160273</c:v>
                </c:pt>
                <c:pt idx="15">
                  <c:v>1.2184217211194333</c:v>
                </c:pt>
                <c:pt idx="16">
                  <c:v>1.7988706485174901</c:v>
                </c:pt>
                <c:pt idx="17">
                  <c:v>1.3911517754502916</c:v>
                </c:pt>
                <c:pt idx="18">
                  <c:v>3.006514019140635</c:v>
                </c:pt>
                <c:pt idx="19">
                  <c:v>0.36938537062103055</c:v>
                </c:pt>
                <c:pt idx="20">
                  <c:v>0.44895721226871155</c:v>
                </c:pt>
                <c:pt idx="21">
                  <c:v>1.1095319858253336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5'!$D$25</c:f>
              <c:strCache>
                <c:ptCount val="1"/>
                <c:pt idx="0">
                  <c:v>Ianuarie-noiembrie 2020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5'!$A$26:$A$47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S.U.A.</c:v>
                </c:pt>
                <c:pt idx="11">
                  <c:v>Spania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Franța</c:v>
                </c:pt>
                <c:pt idx="16">
                  <c:v>Regatul Unit </c:v>
                </c:pt>
                <c:pt idx="17">
                  <c:v>Grecia</c:v>
                </c:pt>
                <c:pt idx="18">
                  <c:v>Elveția</c:v>
                </c:pt>
                <c:pt idx="19">
                  <c:v>Cipru</c:v>
                </c:pt>
                <c:pt idx="20">
                  <c:v>Liban</c:v>
                </c:pt>
                <c:pt idx="21">
                  <c:v>Austria</c:v>
                </c:pt>
              </c:strCache>
            </c:strRef>
          </c:cat>
          <c:val>
            <c:numRef>
              <c:f>'Figura 5'!$D$26:$D$47</c:f>
              <c:numCache>
                <c:formatCode>#,##0.0</c:formatCode>
                <c:ptCount val="22"/>
                <c:pt idx="0">
                  <c:v>28.584076949090047</c:v>
                </c:pt>
                <c:pt idx="1">
                  <c:v>2.6388253271408222</c:v>
                </c:pt>
                <c:pt idx="2">
                  <c:v>8.6783895636636554</c:v>
                </c:pt>
                <c:pt idx="3">
                  <c:v>9.3037211368627979</c:v>
                </c:pt>
                <c:pt idx="4">
                  <c:v>3.301679111884253</c:v>
                </c:pt>
                <c:pt idx="5">
                  <c:v>8.8064995215953985</c:v>
                </c:pt>
                <c:pt idx="6">
                  <c:v>6.6841147953812445</c:v>
                </c:pt>
                <c:pt idx="7">
                  <c:v>4.4702139419653415</c:v>
                </c:pt>
                <c:pt idx="8">
                  <c:v>2.6858474968685404</c:v>
                </c:pt>
                <c:pt idx="9">
                  <c:v>2.4128459639474134</c:v>
                </c:pt>
                <c:pt idx="10">
                  <c:v>1.0637524503458995</c:v>
                </c:pt>
                <c:pt idx="11">
                  <c:v>1.3199859575171744</c:v>
                </c:pt>
                <c:pt idx="12">
                  <c:v>1.1043815001165382</c:v>
                </c:pt>
                <c:pt idx="13">
                  <c:v>1.4731114664834422</c:v>
                </c:pt>
                <c:pt idx="14">
                  <c:v>0.56928839070169057</c:v>
                </c:pt>
                <c:pt idx="15">
                  <c:v>1.2032013244324964</c:v>
                </c:pt>
                <c:pt idx="16">
                  <c:v>1.7384454830131304</c:v>
                </c:pt>
                <c:pt idx="17">
                  <c:v>1.1494263482240956</c:v>
                </c:pt>
                <c:pt idx="18">
                  <c:v>2.4572385653497082</c:v>
                </c:pt>
                <c:pt idx="19">
                  <c:v>0.44831943216941161</c:v>
                </c:pt>
                <c:pt idx="20">
                  <c:v>0.49022726058734228</c:v>
                </c:pt>
                <c:pt idx="21">
                  <c:v>0.95774399680056077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5'!$E$25</c:f>
              <c:strCache>
                <c:ptCount val="1"/>
                <c:pt idx="0">
                  <c:v>Ianuarie-noiembrie 2021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5'!$A$26:$A$47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S.U.A.</c:v>
                </c:pt>
                <c:pt idx="11">
                  <c:v>Spania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Franța</c:v>
                </c:pt>
                <c:pt idx="16">
                  <c:v>Regatul Unit </c:v>
                </c:pt>
                <c:pt idx="17">
                  <c:v>Grecia</c:v>
                </c:pt>
                <c:pt idx="18">
                  <c:v>Elveția</c:v>
                </c:pt>
                <c:pt idx="19">
                  <c:v>Cipru</c:v>
                </c:pt>
                <c:pt idx="20">
                  <c:v>Liban</c:v>
                </c:pt>
                <c:pt idx="21">
                  <c:v>Austria</c:v>
                </c:pt>
              </c:strCache>
            </c:strRef>
          </c:cat>
          <c:val>
            <c:numRef>
              <c:f>'Figura 5'!$E$26:$E$47</c:f>
              <c:numCache>
                <c:formatCode>#,##0.0</c:formatCode>
                <c:ptCount val="22"/>
                <c:pt idx="0">
                  <c:v>26.656118159064775</c:v>
                </c:pt>
                <c:pt idx="1">
                  <c:v>2.9884433762978095</c:v>
                </c:pt>
                <c:pt idx="2">
                  <c:v>7.8036638102870608</c:v>
                </c:pt>
                <c:pt idx="3">
                  <c:v>8.2287562515055654</c:v>
                </c:pt>
                <c:pt idx="4">
                  <c:v>2.5836392520311233</c:v>
                </c:pt>
                <c:pt idx="5">
                  <c:v>8.9022362786529801</c:v>
                </c:pt>
                <c:pt idx="6">
                  <c:v>9.6956941653403259</c:v>
                </c:pt>
                <c:pt idx="7">
                  <c:v>3.5284682917709662</c:v>
                </c:pt>
                <c:pt idx="8">
                  <c:v>2.1463558912231151</c:v>
                </c:pt>
                <c:pt idx="9">
                  <c:v>2.321260774785685</c:v>
                </c:pt>
                <c:pt idx="10">
                  <c:v>1.0236475839271875</c:v>
                </c:pt>
                <c:pt idx="11">
                  <c:v>1.5645544711151218</c:v>
                </c:pt>
                <c:pt idx="12">
                  <c:v>1.3771551660079362</c:v>
                </c:pt>
                <c:pt idx="13">
                  <c:v>1.1621212232545004</c:v>
                </c:pt>
                <c:pt idx="14">
                  <c:v>0.46508863234121389</c:v>
                </c:pt>
                <c:pt idx="15">
                  <c:v>1.0233815119197376</c:v>
                </c:pt>
                <c:pt idx="16">
                  <c:v>2.036141760945557</c:v>
                </c:pt>
                <c:pt idx="17">
                  <c:v>1.2525752799501944</c:v>
                </c:pt>
                <c:pt idx="18">
                  <c:v>3.6471287065296654</c:v>
                </c:pt>
                <c:pt idx="19">
                  <c:v>0.36682044923367896</c:v>
                </c:pt>
                <c:pt idx="20">
                  <c:v>0.86046274670824008</c:v>
                </c:pt>
                <c:pt idx="21">
                  <c:v>0.72220486007550011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5'!$F$25</c:f>
              <c:strCache>
                <c:ptCount val="1"/>
                <c:pt idx="0">
                  <c:v>Ianuarie-noiembrie 2022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5'!$A$26:$A$47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S.U.A.</c:v>
                </c:pt>
                <c:pt idx="11">
                  <c:v>Spania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Franța</c:v>
                </c:pt>
                <c:pt idx="16">
                  <c:v>Regatul Unit </c:v>
                </c:pt>
                <c:pt idx="17">
                  <c:v>Grecia</c:v>
                </c:pt>
                <c:pt idx="18">
                  <c:v>Elveția</c:v>
                </c:pt>
                <c:pt idx="19">
                  <c:v>Cipru</c:v>
                </c:pt>
                <c:pt idx="20">
                  <c:v>Liban</c:v>
                </c:pt>
                <c:pt idx="21">
                  <c:v>Austria</c:v>
                </c:pt>
              </c:strCache>
            </c:strRef>
          </c:cat>
          <c:val>
            <c:numRef>
              <c:f>'Figura 5'!$F$26:$F$47</c:f>
              <c:numCache>
                <c:formatCode>#,##0.0</c:formatCode>
                <c:ptCount val="22"/>
                <c:pt idx="0">
                  <c:v>28.727132537593235</c:v>
                </c:pt>
                <c:pt idx="1">
                  <c:v>15.859283540463274</c:v>
                </c:pt>
                <c:pt idx="2">
                  <c:v>7.7811534092230268</c:v>
                </c:pt>
                <c:pt idx="3">
                  <c:v>5.4570880424885102</c:v>
                </c:pt>
                <c:pt idx="4">
                  <c:v>2.4211067664705288</c:v>
                </c:pt>
                <c:pt idx="5">
                  <c:v>4.4998621856084995</c:v>
                </c:pt>
                <c:pt idx="6">
                  <c:v>7.1955971056267387</c:v>
                </c:pt>
                <c:pt idx="7">
                  <c:v>2.8581968358625436</c:v>
                </c:pt>
                <c:pt idx="8">
                  <c:v>1.8734858457398176</c:v>
                </c:pt>
                <c:pt idx="9">
                  <c:v>3.4997304830569522</c:v>
                </c:pt>
                <c:pt idx="10">
                  <c:v>1.111588138297982</c:v>
                </c:pt>
                <c:pt idx="11">
                  <c:v>0.86497359929622097</c:v>
                </c:pt>
                <c:pt idx="12">
                  <c:v>1.2448918766355088</c:v>
                </c:pt>
                <c:pt idx="13">
                  <c:v>1.5443250453112796</c:v>
                </c:pt>
                <c:pt idx="14">
                  <c:v>0.58550881298361279</c:v>
                </c:pt>
                <c:pt idx="15">
                  <c:v>0.87099835681511539</c:v>
                </c:pt>
                <c:pt idx="16">
                  <c:v>1.4850869007125849</c:v>
                </c:pt>
                <c:pt idx="17">
                  <c:v>0.75955580856864346</c:v>
                </c:pt>
                <c:pt idx="18">
                  <c:v>1.5624171512507117</c:v>
                </c:pt>
                <c:pt idx="19">
                  <c:v>0.3645935834826815</c:v>
                </c:pt>
                <c:pt idx="20">
                  <c:v>0.42715314486759931</c:v>
                </c:pt>
                <c:pt idx="21">
                  <c:v>0.50588080902990273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5'!$G$25</c:f>
              <c:strCache>
                <c:ptCount val="1"/>
                <c:pt idx="0">
                  <c:v>Ianuarie-noiembrie 2023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5'!$A$26:$A$47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S.U.A.</c:v>
                </c:pt>
                <c:pt idx="11">
                  <c:v>Spania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Franța</c:v>
                </c:pt>
                <c:pt idx="16">
                  <c:v>Regatul Unit </c:v>
                </c:pt>
                <c:pt idx="17">
                  <c:v>Grecia</c:v>
                </c:pt>
                <c:pt idx="18">
                  <c:v>Elveția</c:v>
                </c:pt>
                <c:pt idx="19">
                  <c:v>Cipru</c:v>
                </c:pt>
                <c:pt idx="20">
                  <c:v>Liban</c:v>
                </c:pt>
                <c:pt idx="21">
                  <c:v>Austria</c:v>
                </c:pt>
              </c:strCache>
            </c:strRef>
          </c:cat>
          <c:val>
            <c:numRef>
              <c:f>'Figura 5'!$G$26:$G$47</c:f>
              <c:numCache>
                <c:formatCode>#,##0.0</c:formatCode>
                <c:ptCount val="22"/>
                <c:pt idx="0">
                  <c:v>34.995617318411412</c:v>
                </c:pt>
                <c:pt idx="1">
                  <c:v>15.15574575343245</c:v>
                </c:pt>
                <c:pt idx="2">
                  <c:v>6.3341947082853718</c:v>
                </c:pt>
                <c:pt idx="3">
                  <c:v>5.4850770072577237</c:v>
                </c:pt>
                <c:pt idx="4">
                  <c:v>3.9277440214506671</c:v>
                </c:pt>
                <c:pt idx="5">
                  <c:v>3.5977697036874536</c:v>
                </c:pt>
                <c:pt idx="6">
                  <c:v>3.3815140760444389</c:v>
                </c:pt>
                <c:pt idx="7">
                  <c:v>3.2145002948877206</c:v>
                </c:pt>
                <c:pt idx="8">
                  <c:v>2.1204027162876717</c:v>
                </c:pt>
                <c:pt idx="9">
                  <c:v>2.1152834241487981</c:v>
                </c:pt>
                <c:pt idx="10">
                  <c:v>1.47971116663311</c:v>
                </c:pt>
                <c:pt idx="11">
                  <c:v>1.4562890451291959</c:v>
                </c:pt>
                <c:pt idx="12">
                  <c:v>1.1809178469464858</c:v>
                </c:pt>
                <c:pt idx="13">
                  <c:v>1.1528677475601092</c:v>
                </c:pt>
                <c:pt idx="14">
                  <c:v>1.0619437068861264</c:v>
                </c:pt>
                <c:pt idx="15">
                  <c:v>0.97666242273126025</c:v>
                </c:pt>
                <c:pt idx="16">
                  <c:v>0.97299964612417433</c:v>
                </c:pt>
                <c:pt idx="17">
                  <c:v>0.91546304093208331</c:v>
                </c:pt>
                <c:pt idx="18">
                  <c:v>0.77974973815277593</c:v>
                </c:pt>
                <c:pt idx="19">
                  <c:v>0.72697195814126925</c:v>
                </c:pt>
                <c:pt idx="20">
                  <c:v>0.71089343651834869</c:v>
                </c:pt>
                <c:pt idx="21">
                  <c:v>0.57675999839642256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137856"/>
        <c:axId val="100818240"/>
      </c:barChart>
      <c:catAx>
        <c:axId val="861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8240"/>
        <c:crosses val="autoZero"/>
        <c:auto val="1"/>
        <c:lblAlgn val="ctr"/>
        <c:lblOffset val="100"/>
        <c:noMultiLvlLbl val="0"/>
      </c:catAx>
      <c:valAx>
        <c:axId val="100818240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137856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6.4785011629643841E-2"/>
          <c:y val="0.86360072178477687"/>
          <c:w val="0.89206367496745831"/>
          <c:h val="7.4908136482939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noiembrie 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401312621305361"/>
          <c:y val="5.22294180683035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46317646239979"/>
          <c:y val="0.11884330248192661"/>
          <c:w val="0.55189577312208316"/>
          <c:h val="0.73247187254043444"/>
        </c:manualLayout>
      </c:layout>
      <c:pieChart>
        <c:varyColors val="1"/>
        <c:ser>
          <c:idx val="0"/>
          <c:order val="0"/>
          <c:tx>
            <c:strRef>
              <c:f>'Figura 6'!$B$44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>
              <a:softEdge rad="0"/>
            </a:effectLst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7-4C1F-4FBA-8D74-9AD92DA2B96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8-BE68-4648-9E21-F0C123FEF414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A-6583-41C8-8FEF-42B0870F1203}"/>
              </c:ext>
            </c:extLst>
          </c:dPt>
          <c:dLbls>
            <c:dLbl>
              <c:idx val="0"/>
              <c:layout>
                <c:manualLayout>
                  <c:x val="-7.1758711705901743E-2"/>
                  <c:y val="2.831461509175000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48496359266"/>
                      <c:h val="0.1417942932572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3.5949717890648325E-2"/>
                  <c:y val="-7.0743776208020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5.279058569982403E-3"/>
                  <c:y val="-0.156866954751527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99588873241278"/>
                      <c:h val="0.174475854338333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0.1044470546135156"/>
                  <c:y val="-0.189785953518521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25545220425259874"/>
                  <c:y val="-0.103205963964128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79908064417231"/>
                      <c:h val="0.114550743033042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0.34164344654899798"/>
                  <c:y val="-7.0926618575192007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05621916882214"/>
                      <c:h val="0.170823905632485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0.26030983276489283"/>
                  <c:y val="8.735500526556526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75096775620283"/>
                      <c:h val="0.185711812708075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0.15239006380003758"/>
                  <c:y val="0.197558523565579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5.946461042975313E-2"/>
                  <c:y val="0.199708690822109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80957895191828"/>
                      <c:h val="0.114550743033042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-9.6448930316527393E-3"/>
                  <c:y val="0.132045218686843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-2.0533972238389188E-2"/>
                  <c:y val="1.973547427982962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29518901276303"/>
                      <c:h val="0.205134390614406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2.1166368624896591E-2"/>
                  <c:y val="-0.1101029549980698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47989147861887"/>
                      <c:h val="0.174475854338333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4C1F-4FBA-8D74-9AD92DA2B96A}"/>
                </c:ext>
              </c:extLst>
            </c:dLbl>
            <c:dLbl>
              <c:idx val="12"/>
              <c:layout>
                <c:manualLayout>
                  <c:x val="0.11540649781318763"/>
                  <c:y val="-0.1704949041537362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075327670037"/>
                      <c:h val="0.12505621665522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BE68-4648-9E21-F0C123FEF414}"/>
                </c:ext>
              </c:extLst>
            </c:dLbl>
            <c:dLbl>
              <c:idx val="13"/>
              <c:layout>
                <c:manualLayout>
                  <c:x val="0.13068176677955062"/>
                  <c:y val="-4.49438334789682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83-41C8-8FEF-42B0870F12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6'!$A$45:$A$58</c:f>
              <c:strCache>
                <c:ptCount val="14"/>
                <c:pt idx="0">
                  <c:v>Maşini şi aparate electrice </c:v>
                </c:pt>
                <c:pt idx="1">
                  <c:v>Cereale şi preparate pe bază de cereale</c:v>
                </c:pt>
                <c:pt idx="2">
                  <c:v>Petrol, produse petroliere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Seminţe şi fructe oleaginoase</c:v>
                </c:pt>
                <c:pt idx="6">
                  <c:v>Grăsimi şi uleiuri vegetale 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Hrană destinată animalelor </c:v>
                </c:pt>
                <c:pt idx="12">
                  <c:v>Vehicule rutiere </c:v>
                </c:pt>
                <c:pt idx="13">
                  <c:v>Alte mărfuri</c:v>
                </c:pt>
              </c:strCache>
            </c:strRef>
          </c:cat>
          <c:val>
            <c:numRef>
              <c:f>'Figura 6'!$B$45:$B$58</c:f>
              <c:numCache>
                <c:formatCode>#,##0.0</c:formatCode>
                <c:ptCount val="14"/>
                <c:pt idx="0">
                  <c:v>15.5</c:v>
                </c:pt>
                <c:pt idx="1">
                  <c:v>10.3</c:v>
                </c:pt>
                <c:pt idx="2">
                  <c:v>10.3</c:v>
                </c:pt>
                <c:pt idx="3">
                  <c:v>9.1</c:v>
                </c:pt>
                <c:pt idx="4">
                  <c:v>7</c:v>
                </c:pt>
                <c:pt idx="5">
                  <c:v>7</c:v>
                </c:pt>
                <c:pt idx="6">
                  <c:v>6.1</c:v>
                </c:pt>
                <c:pt idx="7">
                  <c:v>5</c:v>
                </c:pt>
                <c:pt idx="8">
                  <c:v>3.6</c:v>
                </c:pt>
                <c:pt idx="9">
                  <c:v>2.6</c:v>
                </c:pt>
                <c:pt idx="10">
                  <c:v>2</c:v>
                </c:pt>
                <c:pt idx="11">
                  <c:v>1.6</c:v>
                </c:pt>
                <c:pt idx="12">
                  <c:v>1.5</c:v>
                </c:pt>
                <c:pt idx="13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noiembrie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129706031510515"/>
          <c:y val="9.07556527105499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15791990763214"/>
          <c:y val="0.10784875031584466"/>
          <c:w val="0.55947082473274778"/>
          <c:h val="0.7274913612149243"/>
        </c:manualLayout>
      </c:layout>
      <c:pieChart>
        <c:varyColors val="1"/>
        <c:ser>
          <c:idx val="0"/>
          <c:order val="0"/>
          <c:tx>
            <c:strRef>
              <c:f>'Figura 6'!$B$28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explosion val="1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3-4F53-9AAE-2AE28035A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13-4F53-9AAE-2AE28035A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13-4F53-9AAE-2AE28035AC4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13-4F53-9AAE-2AE28035AC4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13-4F53-9AAE-2AE28035AC4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13-4F53-9AAE-2AE28035AC4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13-4F53-9AAE-2AE28035AC4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213-4F53-9AAE-2AE28035AC4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213-4F53-9AAE-2AE28035A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213-4F53-9AAE-2AE28035AC4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213-4F53-9AAE-2AE28035A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213-4F53-9AAE-2AE28035AC4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213-4F53-9AAE-2AE28035AC44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DB5-40D1-A50D-593548CE87B4}"/>
              </c:ext>
            </c:extLst>
          </c:dPt>
          <c:dLbls>
            <c:dLbl>
              <c:idx val="0"/>
              <c:layout>
                <c:manualLayout>
                  <c:x val="-3.6035658402021997E-2"/>
                  <c:y val="5.4852143482064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86888760829512"/>
                      <c:h val="0.155087862124475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13-4F53-9AAE-2AE28035AC44}"/>
                </c:ext>
              </c:extLst>
            </c:dLbl>
            <c:dLbl>
              <c:idx val="1"/>
              <c:layout>
                <c:manualLayout>
                  <c:x val="-3.2760041210584123E-2"/>
                  <c:y val="8.2720529499030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13-4F53-9AAE-2AE28035AC44}"/>
                </c:ext>
              </c:extLst>
            </c:dLbl>
            <c:dLbl>
              <c:idx val="2"/>
              <c:layout>
                <c:manualLayout>
                  <c:x val="-1.6379891628751982E-2"/>
                  <c:y val="-0.11501021513585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52912470844849"/>
                      <c:h val="0.19093613298337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13-4F53-9AAE-2AE28035AC44}"/>
                </c:ext>
              </c:extLst>
            </c:dLbl>
            <c:dLbl>
              <c:idx val="3"/>
              <c:layout>
                <c:manualLayout>
                  <c:x val="8.8452111268577133E-2"/>
                  <c:y val="-0.1822586923825532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58958787868156"/>
                      <c:h val="0.137526722203202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13-4F53-9AAE-2AE28035AC44}"/>
                </c:ext>
              </c:extLst>
            </c:dLbl>
            <c:dLbl>
              <c:idx val="4"/>
              <c:layout>
                <c:manualLayout>
                  <c:x val="0.17362796046301546"/>
                  <c:y val="-0.106164440119142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13-4F53-9AAE-2AE28035AC44}"/>
                </c:ext>
              </c:extLst>
            </c:dLbl>
            <c:dLbl>
              <c:idx val="5"/>
              <c:layout>
                <c:manualLayout>
                  <c:x val="0.31825064475372444"/>
                  <c:y val="-8.2610811289038303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99595271616856"/>
                      <c:h val="0.170837688767164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213-4F53-9AAE-2AE28035AC44}"/>
                </c:ext>
              </c:extLst>
            </c:dLbl>
            <c:dLbl>
              <c:idx val="6"/>
              <c:layout>
                <c:manualLayout>
                  <c:x val="0.28109663077163566"/>
                  <c:y val="0.1439479194314193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1260451613935"/>
                      <c:h val="0.14989857569742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213-4F53-9AAE-2AE28035AC44}"/>
                </c:ext>
              </c:extLst>
            </c:dLbl>
            <c:dLbl>
              <c:idx val="7"/>
              <c:layout>
                <c:manualLayout>
                  <c:x val="0.15397219368974538"/>
                  <c:y val="0.2583165236367925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89166752199192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213-4F53-9AAE-2AE28035AC44}"/>
                </c:ext>
              </c:extLst>
            </c:dLbl>
            <c:dLbl>
              <c:idx val="8"/>
              <c:layout>
                <c:manualLayout>
                  <c:x val="5.8968074179051422E-2"/>
                  <c:y val="0.268094311244802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13-4F53-9AAE-2AE28035AC44}"/>
                </c:ext>
              </c:extLst>
            </c:dLbl>
            <c:dLbl>
              <c:idx val="9"/>
              <c:layout>
                <c:manualLayout>
                  <c:x val="9.828012363175237E-3"/>
                  <c:y val="0.199616620956088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213-4F53-9AAE-2AE28035AC44}"/>
                </c:ext>
              </c:extLst>
            </c:dLbl>
            <c:dLbl>
              <c:idx val="10"/>
              <c:layout>
                <c:manualLayout>
                  <c:x val="4.9140061815876185E-3"/>
                  <c:y val="7.673537998761391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07362496820727"/>
                      <c:h val="0.192506709133268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6213-4F53-9AAE-2AE28035AC44}"/>
                </c:ext>
              </c:extLst>
            </c:dLbl>
            <c:dLbl>
              <c:idx val="11"/>
              <c:layout>
                <c:manualLayout>
                  <c:x val="1.3104016484233646E-2"/>
                  <c:y val="-5.28269780884131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13-4F53-9AAE-2AE28035AC44}"/>
                </c:ext>
              </c:extLst>
            </c:dLbl>
            <c:dLbl>
              <c:idx val="12"/>
              <c:layout>
                <c:manualLayout>
                  <c:x val="0.10155612775281078"/>
                  <c:y val="-0.116858061281665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13-4F53-9AAE-2AE28035AC44}"/>
                </c:ext>
              </c:extLst>
            </c:dLbl>
            <c:dLbl>
              <c:idx val="13"/>
              <c:layout>
                <c:manualLayout>
                  <c:x val="0.13759217308445326"/>
                  <c:y val="-3.00026901069499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DB5-40D1-A50D-593548CE87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6'!$A$29:$A$42</c:f>
              <c:strCache>
                <c:ptCount val="14"/>
                <c:pt idx="0">
                  <c:v>Maşini şi aparate electrice </c:v>
                </c:pt>
                <c:pt idx="1">
                  <c:v>Cereale şi preparate pe bază de cereale</c:v>
                </c:pt>
                <c:pt idx="2">
                  <c:v>Petrol, produse petroliere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Seminţe şi fructe oleaginoase</c:v>
                </c:pt>
                <c:pt idx="6">
                  <c:v>Grăsimi şi uleiuri vegetale 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Hrană destinată animalelor </c:v>
                </c:pt>
                <c:pt idx="12">
                  <c:v>Vehicule rutiere </c:v>
                </c:pt>
                <c:pt idx="13">
                  <c:v>Alte mărfuri</c:v>
                </c:pt>
              </c:strCache>
            </c:strRef>
          </c:cat>
          <c:val>
            <c:numRef>
              <c:f>'Figura 6'!$B$29:$B$42</c:f>
              <c:numCache>
                <c:formatCode>#,##0.0</c:formatCode>
                <c:ptCount val="14"/>
                <c:pt idx="0">
                  <c:v>12.4</c:v>
                </c:pt>
                <c:pt idx="1">
                  <c:v>10.4</c:v>
                </c:pt>
                <c:pt idx="2">
                  <c:v>12.3</c:v>
                </c:pt>
                <c:pt idx="3">
                  <c:v>8.1999999999999993</c:v>
                </c:pt>
                <c:pt idx="4">
                  <c:v>6.8</c:v>
                </c:pt>
                <c:pt idx="5">
                  <c:v>9.4</c:v>
                </c:pt>
                <c:pt idx="6">
                  <c:v>8.6999999999999993</c:v>
                </c:pt>
                <c:pt idx="7">
                  <c:v>4.0999999999999996</c:v>
                </c:pt>
                <c:pt idx="8">
                  <c:v>3.4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1.3</c:v>
                </c:pt>
                <c:pt idx="12">
                  <c:v>2.1</c:v>
                </c:pt>
                <c:pt idx="13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213-4F53-9AAE-2AE28035A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7'!$B$23:$B$28</c:f>
              <c:numCache>
                <c:formatCode>#,##0.0</c:formatCode>
                <c:ptCount val="6"/>
                <c:pt idx="0">
                  <c:v>374.3</c:v>
                </c:pt>
                <c:pt idx="1">
                  <c:v>372.6</c:v>
                </c:pt>
                <c:pt idx="2">
                  <c:v>379.8</c:v>
                </c:pt>
                <c:pt idx="3">
                  <c:v>399.4</c:v>
                </c:pt>
                <c:pt idx="4">
                  <c:v>621.70000000000005</c:v>
                </c:pt>
                <c:pt idx="5">
                  <c:v>733.3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7'!$C$23:$C$28</c:f>
              <c:numCache>
                <c:formatCode>#,##0.0</c:formatCode>
                <c:ptCount val="6"/>
                <c:pt idx="0">
                  <c:v>427.6</c:v>
                </c:pt>
                <c:pt idx="1">
                  <c:v>459.3</c:v>
                </c:pt>
                <c:pt idx="2">
                  <c:v>484.8</c:v>
                </c:pt>
                <c:pt idx="3">
                  <c:v>521.4</c:v>
                </c:pt>
                <c:pt idx="4">
                  <c:v>669.1</c:v>
                </c:pt>
                <c:pt idx="5">
                  <c:v>752.5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7'!$D$23:$D$28</c:f>
              <c:numCache>
                <c:formatCode>#,##0.0</c:formatCode>
                <c:ptCount val="6"/>
                <c:pt idx="0">
                  <c:v>524.1</c:v>
                </c:pt>
                <c:pt idx="1">
                  <c:v>533.79999999999995</c:v>
                </c:pt>
                <c:pt idx="2">
                  <c:v>500.5</c:v>
                </c:pt>
                <c:pt idx="3">
                  <c:v>630.1</c:v>
                </c:pt>
                <c:pt idx="4">
                  <c:v>748.3</c:v>
                </c:pt>
                <c:pt idx="5">
                  <c:v>821.1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7'!$E$23:$E$28</c:f>
              <c:numCache>
                <c:formatCode>#,##0.0</c:formatCode>
                <c:ptCount val="6"/>
                <c:pt idx="0">
                  <c:v>444.6</c:v>
                </c:pt>
                <c:pt idx="1">
                  <c:v>515.6</c:v>
                </c:pt>
                <c:pt idx="2">
                  <c:v>285.60000000000002</c:v>
                </c:pt>
                <c:pt idx="3">
                  <c:v>562.20000000000005</c:v>
                </c:pt>
                <c:pt idx="4">
                  <c:v>770.4</c:v>
                </c:pt>
                <c:pt idx="5">
                  <c:v>690.6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7'!$F$23:$F$28</c:f>
              <c:numCache>
                <c:formatCode>#,##0.0</c:formatCode>
                <c:ptCount val="6"/>
                <c:pt idx="0">
                  <c:v>505.6</c:v>
                </c:pt>
                <c:pt idx="1">
                  <c:v>481.6</c:v>
                </c:pt>
                <c:pt idx="2">
                  <c:v>329.4</c:v>
                </c:pt>
                <c:pt idx="3">
                  <c:v>563.4</c:v>
                </c:pt>
                <c:pt idx="4">
                  <c:v>772.7</c:v>
                </c:pt>
                <c:pt idx="5">
                  <c:v>709.2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7'!$G$23:$G$28</c:f>
              <c:numCache>
                <c:formatCode>#,##0.0</c:formatCode>
                <c:ptCount val="6"/>
                <c:pt idx="0">
                  <c:v>458.7</c:v>
                </c:pt>
                <c:pt idx="1">
                  <c:v>445.4</c:v>
                </c:pt>
                <c:pt idx="2">
                  <c:v>413.5</c:v>
                </c:pt>
                <c:pt idx="3">
                  <c:v>589.6</c:v>
                </c:pt>
                <c:pt idx="4">
                  <c:v>768.4</c:v>
                </c:pt>
                <c:pt idx="5">
                  <c:v>665.6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7'!$H$23:$H$28</c:f>
              <c:numCache>
                <c:formatCode>#,##0.0</c:formatCode>
                <c:ptCount val="6"/>
                <c:pt idx="0">
                  <c:v>488</c:v>
                </c:pt>
                <c:pt idx="1">
                  <c:v>499.1</c:v>
                </c:pt>
                <c:pt idx="2">
                  <c:v>496.6</c:v>
                </c:pt>
                <c:pt idx="3">
                  <c:v>562</c:v>
                </c:pt>
                <c:pt idx="4">
                  <c:v>761.1</c:v>
                </c:pt>
                <c:pt idx="5">
                  <c:v>639.5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7'!$I$23:$I$28</c:f>
              <c:numCache>
                <c:formatCode>#,##0.0</c:formatCode>
                <c:ptCount val="6"/>
                <c:pt idx="0">
                  <c:v>480.7</c:v>
                </c:pt>
                <c:pt idx="1">
                  <c:v>464.3</c:v>
                </c:pt>
                <c:pt idx="2">
                  <c:v>433.6</c:v>
                </c:pt>
                <c:pt idx="3">
                  <c:v>574.9</c:v>
                </c:pt>
                <c:pt idx="4">
                  <c:v>780</c:v>
                </c:pt>
                <c:pt idx="5">
                  <c:v>698.9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7'!$J$23:$J$28</c:f>
              <c:numCache>
                <c:formatCode>#,##0.0</c:formatCode>
                <c:ptCount val="6"/>
                <c:pt idx="0">
                  <c:v>474</c:v>
                </c:pt>
                <c:pt idx="1">
                  <c:v>501.7</c:v>
                </c:pt>
                <c:pt idx="2">
                  <c:v>508.3</c:v>
                </c:pt>
                <c:pt idx="3">
                  <c:v>671.2</c:v>
                </c:pt>
                <c:pt idx="4">
                  <c:v>844.1</c:v>
                </c:pt>
                <c:pt idx="5">
                  <c:v>702.1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7'!$K$23:$K$28</c:f>
              <c:numCache>
                <c:formatCode>#,##0.0</c:formatCode>
                <c:ptCount val="6"/>
                <c:pt idx="0">
                  <c:v>540.6</c:v>
                </c:pt>
                <c:pt idx="1">
                  <c:v>525.29999999999995</c:v>
                </c:pt>
                <c:pt idx="2">
                  <c:v>493.6</c:v>
                </c:pt>
                <c:pt idx="3">
                  <c:v>646.79999999999995</c:v>
                </c:pt>
                <c:pt idx="4">
                  <c:v>751.1</c:v>
                </c:pt>
                <c:pt idx="5">
                  <c:v>713.7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7'!$L$23:$L$28</c:f>
              <c:numCache>
                <c:formatCode>#,##0.0</c:formatCode>
                <c:ptCount val="6"/>
                <c:pt idx="0">
                  <c:v>522.6</c:v>
                </c:pt>
                <c:pt idx="1">
                  <c:v>504.1</c:v>
                </c:pt>
                <c:pt idx="2">
                  <c:v>522.9</c:v>
                </c:pt>
                <c:pt idx="3">
                  <c:v>701.5</c:v>
                </c:pt>
                <c:pt idx="4">
                  <c:v>858.3</c:v>
                </c:pt>
                <c:pt idx="5">
                  <c:v>732.2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7'!$M$23:$M$28</c:f>
              <c:numCache>
                <c:formatCode>#,##0.0</c:formatCode>
                <c:ptCount val="6"/>
                <c:pt idx="0">
                  <c:v>519.29999999999995</c:v>
                </c:pt>
                <c:pt idx="1">
                  <c:v>539.70000000000005</c:v>
                </c:pt>
                <c:pt idx="2">
                  <c:v>567.29999999999995</c:v>
                </c:pt>
                <c:pt idx="3">
                  <c:v>754.2</c:v>
                </c:pt>
                <c:pt idx="4">
                  <c:v>873.8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8641536"/>
        <c:axId val="126078912"/>
      </c:barChart>
      <c:catAx>
        <c:axId val="1286415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78912"/>
        <c:crosses val="autoZero"/>
        <c:auto val="0"/>
        <c:lblAlgn val="ctr"/>
        <c:lblOffset val="100"/>
        <c:tickLblSkip val="1"/>
        <c:noMultiLvlLbl val="0"/>
      </c:catAx>
      <c:valAx>
        <c:axId val="12607891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64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32448224996E-2"/>
          <c:y val="5.4497403713046011E-2"/>
          <c:w val="0.92549986359231973"/>
          <c:h val="0.72637556698672245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multiLvlStrRef>
              <c:f>'Figura 8'!$B$23:$AJ$24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8'!$B$25:$AJ$25</c:f>
              <c:numCache>
                <c:formatCode>#,##0.0</c:formatCode>
                <c:ptCount val="35"/>
                <c:pt idx="0">
                  <c:v>70.397914008513311</c:v>
                </c:pt>
                <c:pt idx="1">
                  <c:v>130.56565598353049</c:v>
                </c:pt>
                <c:pt idx="2">
                  <c:v>120.83026196604835</c:v>
                </c:pt>
                <c:pt idx="3">
                  <c:v>89.231037795592442</c:v>
                </c:pt>
                <c:pt idx="4">
                  <c:v>100.2114807539604</c:v>
                </c:pt>
                <c:pt idx="5">
                  <c:v>104.66057637383682</c:v>
                </c:pt>
                <c:pt idx="6">
                  <c:v>95.30942393156748</c:v>
                </c:pt>
                <c:pt idx="7">
                  <c:v>102.30310816744974</c:v>
                </c:pt>
                <c:pt idx="8">
                  <c:v>116.7433114933096</c:v>
                </c:pt>
                <c:pt idx="9">
                  <c:v>96.368466717330918</c:v>
                </c:pt>
                <c:pt idx="10">
                  <c:v>108.45193596997535</c:v>
                </c:pt>
                <c:pt idx="11">
                  <c:v>107.60757399325725</c:v>
                </c:pt>
                <c:pt idx="12">
                  <c:v>82.42810256467493</c:v>
                </c:pt>
                <c:pt idx="13">
                  <c:v>107.62832847463979</c:v>
                </c:pt>
                <c:pt idx="14">
                  <c:v>111.83649823538117</c:v>
                </c:pt>
                <c:pt idx="15">
                  <c:v>102.95945766976527</c:v>
                </c:pt>
                <c:pt idx="16">
                  <c:v>100.28989015201115</c:v>
                </c:pt>
                <c:pt idx="17">
                  <c:v>99.449492493428721</c:v>
                </c:pt>
                <c:pt idx="18">
                  <c:v>99.042771669685536</c:v>
                </c:pt>
                <c:pt idx="19">
                  <c:v>102.48436324688166</c:v>
                </c:pt>
                <c:pt idx="20">
                  <c:v>108.22806008303567</c:v>
                </c:pt>
                <c:pt idx="21">
                  <c:v>88.98329870179748</c:v>
                </c:pt>
                <c:pt idx="22">
                  <c:v>114.26713676539435</c:v>
                </c:pt>
                <c:pt idx="23">
                  <c:v>101.80088194210491</c:v>
                </c:pt>
                <c:pt idx="24">
                  <c:v>83.926621848561766</c:v>
                </c:pt>
                <c:pt idx="25">
                  <c:v>102.61098940878497</c:v>
                </c:pt>
                <c:pt idx="26">
                  <c:v>109.12124896586097</c:v>
                </c:pt>
                <c:pt idx="27">
                  <c:v>84.108871928407495</c:v>
                </c:pt>
                <c:pt idx="28">
                  <c:v>102.68878207006242</c:v>
                </c:pt>
                <c:pt idx="29">
                  <c:v>93.851597003176721</c:v>
                </c:pt>
                <c:pt idx="30">
                  <c:v>96.086512164873767</c:v>
                </c:pt>
                <c:pt idx="31">
                  <c:v>109.27507416248771</c:v>
                </c:pt>
                <c:pt idx="32">
                  <c:v>100.47049386929925</c:v>
                </c:pt>
                <c:pt idx="33">
                  <c:v>101.64405035986022</c:v>
                </c:pt>
                <c:pt idx="34">
                  <c:v>102.58910273439675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8'!$B$23:$AJ$24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8'!$B$26:$AJ$26</c:f>
              <c:numCache>
                <c:formatCode>#,##0.0</c:formatCode>
                <c:ptCount val="35"/>
                <c:pt idx="0">
                  <c:v>105.14366410240868</c:v>
                </c:pt>
                <c:pt idx="1">
                  <c:v>107.56077192573727</c:v>
                </c:pt>
                <c:pt idx="2">
                  <c:v>125.88605526903886</c:v>
                </c:pt>
                <c:pt idx="3">
                  <c:v>196.84765533007069</c:v>
                </c:pt>
                <c:pt idx="4">
                  <c:v>171.05720800538208</c:v>
                </c:pt>
                <c:pt idx="5">
                  <c:v>142.58661575531545</c:v>
                </c:pt>
                <c:pt idx="6">
                  <c:v>113.15935709199938</c:v>
                </c:pt>
                <c:pt idx="7">
                  <c:v>132.58828425602752</c:v>
                </c:pt>
                <c:pt idx="8">
                  <c:v>132.03828597207149</c:v>
                </c:pt>
                <c:pt idx="9">
                  <c:v>131.0476458490858</c:v>
                </c:pt>
                <c:pt idx="10">
                  <c:v>134.15801375299989</c:v>
                </c:pt>
                <c:pt idx="11">
                  <c:v>132.94448949123316</c:v>
                </c:pt>
                <c:pt idx="12">
                  <c:v>155.66316373900662</c:v>
                </c:pt>
                <c:pt idx="13">
                  <c:v>128.31679197795137</c:v>
                </c:pt>
                <c:pt idx="14">
                  <c:v>118.765783058918</c:v>
                </c:pt>
                <c:pt idx="15">
                  <c:v>137.03819786880473</c:v>
                </c:pt>
                <c:pt idx="16">
                  <c:v>137.1454219365863</c:v>
                </c:pt>
                <c:pt idx="17">
                  <c:v>130.31690711002199</c:v>
                </c:pt>
                <c:pt idx="18">
                  <c:v>135.42152646798874</c:v>
                </c:pt>
                <c:pt idx="19">
                  <c:v>135.66145895856928</c:v>
                </c:pt>
                <c:pt idx="20">
                  <c:v>125.76631957631956</c:v>
                </c:pt>
                <c:pt idx="21">
                  <c:v>116.12825608516977</c:v>
                </c:pt>
                <c:pt idx="22">
                  <c:v>122.3550617306131</c:v>
                </c:pt>
                <c:pt idx="23">
                  <c:v>115.85454823982914</c:v>
                </c:pt>
                <c:pt idx="24">
                  <c:v>117.96075072735046</c:v>
                </c:pt>
                <c:pt idx="25">
                  <c:v>112.46174232268726</c:v>
                </c:pt>
                <c:pt idx="26">
                  <c:v>109.73131291449928</c:v>
                </c:pt>
                <c:pt idx="27">
                  <c:v>89.640885386791396</c:v>
                </c:pt>
                <c:pt idx="28">
                  <c:v>91.785057597523661</c:v>
                </c:pt>
                <c:pt idx="29">
                  <c:v>86.618584173522549</c:v>
                </c:pt>
                <c:pt idx="30">
                  <c:v>84.03316568775648</c:v>
                </c:pt>
                <c:pt idx="31">
                  <c:v>89.601282788060971</c:v>
                </c:pt>
                <c:pt idx="32">
                  <c:v>83.178845399391065</c:v>
                </c:pt>
                <c:pt idx="33">
                  <c:v>95.013725878876059</c:v>
                </c:pt>
                <c:pt idx="34">
                  <c:v>85.303379092962487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75776"/>
        <c:axId val="126082368"/>
      </c:lineChart>
      <c:catAx>
        <c:axId val="1280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82368"/>
        <c:crossesAt val="30"/>
        <c:auto val="1"/>
        <c:lblAlgn val="ctr"/>
        <c:lblOffset val="100"/>
        <c:noMultiLvlLbl val="0"/>
      </c:catAx>
      <c:valAx>
        <c:axId val="126082368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075776"/>
        <c:crosses val="autoZero"/>
        <c:crossBetween val="between"/>
        <c:majorUnit val="30"/>
        <c:min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0</xdr:rowOff>
    </xdr:from>
    <xdr:to>
      <xdr:col>13</xdr:col>
      <xdr:colOff>19050</xdr:colOff>
      <xdr:row>19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13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20</xdr:col>
      <xdr:colOff>400049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0.05794</cdr:x>
      <cdr:y>0.00326</cdr:y>
    </cdr:from>
    <cdr:to>
      <cdr:x>0.11287</cdr:x>
      <cdr:y>0.08143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9525"/>
          <a:ext cx="69532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7</xdr:col>
      <xdr:colOff>0</xdr:colOff>
      <xdr:row>19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57150</xdr:rowOff>
    </xdr:from>
    <xdr:to>
      <xdr:col>6</xdr:col>
      <xdr:colOff>1000124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28574</xdr:rowOff>
    </xdr:from>
    <xdr:to>
      <xdr:col>7</xdr:col>
      <xdr:colOff>76200</xdr:colOff>
      <xdr:row>22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</xdr:row>
      <xdr:rowOff>95250</xdr:rowOff>
    </xdr:from>
    <xdr:to>
      <xdr:col>8</xdr:col>
      <xdr:colOff>9525</xdr:colOff>
      <xdr:row>24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85724</xdr:rowOff>
    </xdr:from>
    <xdr:to>
      <xdr:col>1</xdr:col>
      <xdr:colOff>781050</xdr:colOff>
      <xdr:row>24</xdr:row>
      <xdr:rowOff>114299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E750AD-0CB5-4061-A52F-83E4C1030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13</xdr:col>
      <xdr:colOff>9525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19048</xdr:rowOff>
    </xdr:from>
    <xdr:to>
      <xdr:col>6</xdr:col>
      <xdr:colOff>47625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0.10028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791" y="0"/>
          <a:ext cx="1098228" cy="34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19</xdr:col>
      <xdr:colOff>419100</xdr:colOff>
      <xdr:row>21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2.94081E-7</cdr:y>
    </cdr:from>
    <cdr:to>
      <cdr:x>0.07945</cdr:x>
      <cdr:y>0.06723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33698" y="1"/>
          <a:ext cx="2949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7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6</xdr:col>
      <xdr:colOff>1038225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0.05889</cdr:x>
      <cdr:y>3.72294E-7</cdr:y>
    </cdr:from>
    <cdr:to>
      <cdr:x>0.10817</cdr:x>
      <cdr:y>0.07092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"/>
          <a:ext cx="3905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85725</xdr:rowOff>
    </xdr:from>
    <xdr:to>
      <xdr:col>7</xdr:col>
      <xdr:colOff>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828674</xdr:colOff>
      <xdr:row>2</xdr:row>
      <xdr:rowOff>57150</xdr:rowOff>
    </xdr:from>
    <xdr:to>
      <xdr:col>8</xdr:col>
      <xdr:colOff>9524</xdr:colOff>
      <xdr:row>23</xdr:row>
      <xdr:rowOff>133349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</xdr:row>
      <xdr:rowOff>57151</xdr:rowOff>
    </xdr:from>
    <xdr:to>
      <xdr:col>1</xdr:col>
      <xdr:colOff>771526</xdr:colOff>
      <xdr:row>23</xdr:row>
      <xdr:rowOff>133351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22BED9-C810-45EF-987A-C0626D8FC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7:D33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 dataCellStyle="Normal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tabSelected="1" zoomScaleNormal="100" workbookViewId="0">
      <selection activeCell="A2" sqref="A2:M2"/>
    </sheetView>
  </sheetViews>
  <sheetFormatPr defaultRowHeight="12" x14ac:dyDescent="0.2"/>
  <cols>
    <col min="1" max="1" width="9" style="3" customWidth="1"/>
    <col min="2" max="2" width="9.5703125" style="3" customWidth="1"/>
    <col min="3" max="4" width="9.85546875" style="3" customWidth="1"/>
    <col min="5" max="5" width="9.28515625" style="3" customWidth="1"/>
    <col min="6" max="6" width="9.85546875" style="3" customWidth="1"/>
    <col min="7" max="7" width="9.140625" style="3" customWidth="1"/>
    <col min="8" max="8" width="8.7109375" style="3" customWidth="1"/>
    <col min="9" max="9" width="9.140625" style="3" customWidth="1"/>
    <col min="10" max="10" width="11" style="3" customWidth="1"/>
    <col min="11" max="11" width="10.140625" style="3" customWidth="1"/>
    <col min="12" max="12" width="9.85546875" style="3" customWidth="1"/>
    <col min="13" max="13" width="10.4257812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36" t="s">
        <v>84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1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1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1" x14ac:dyDescent="0.2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1" spans="1:21" x14ac:dyDescent="0.2">
      <c r="A21" s="23" t="s">
        <v>0</v>
      </c>
      <c r="B21" s="37" t="s">
        <v>1</v>
      </c>
      <c r="C21" s="37" t="s">
        <v>2</v>
      </c>
      <c r="D21" s="37" t="s">
        <v>3</v>
      </c>
      <c r="E21" s="37" t="s">
        <v>4</v>
      </c>
      <c r="F21" s="37" t="s">
        <v>5</v>
      </c>
      <c r="G21" s="37" t="s">
        <v>6</v>
      </c>
      <c r="H21" s="37" t="s">
        <v>7</v>
      </c>
      <c r="I21" s="37" t="s">
        <v>8</v>
      </c>
      <c r="J21" s="37" t="s">
        <v>9</v>
      </c>
      <c r="K21" s="37" t="s">
        <v>10</v>
      </c>
      <c r="L21" s="37" t="s">
        <v>11</v>
      </c>
      <c r="M21" s="37" t="s">
        <v>12</v>
      </c>
    </row>
    <row r="22" spans="1:21" x14ac:dyDescent="0.2">
      <c r="A22" s="28">
        <v>2018</v>
      </c>
      <c r="B22" s="33">
        <v>220.3</v>
      </c>
      <c r="C22" s="33">
        <v>215.5</v>
      </c>
      <c r="D22" s="33">
        <v>242.1</v>
      </c>
      <c r="E22" s="33">
        <v>199.7</v>
      </c>
      <c r="F22" s="33">
        <v>223</v>
      </c>
      <c r="G22" s="33">
        <v>214.1</v>
      </c>
      <c r="H22" s="33">
        <v>218.8</v>
      </c>
      <c r="I22" s="33">
        <v>218.6</v>
      </c>
      <c r="J22" s="33">
        <v>207.3</v>
      </c>
      <c r="K22" s="33">
        <v>259</v>
      </c>
      <c r="L22" s="33">
        <v>268.89999999999998</v>
      </c>
      <c r="M22" s="34">
        <v>218.8</v>
      </c>
    </row>
    <row r="23" spans="1:21" x14ac:dyDescent="0.2">
      <c r="A23" s="28">
        <v>2019</v>
      </c>
      <c r="B23" s="33">
        <v>234.3</v>
      </c>
      <c r="C23" s="33">
        <v>241.4</v>
      </c>
      <c r="D23" s="33">
        <v>257.2</v>
      </c>
      <c r="E23" s="33">
        <v>215.6</v>
      </c>
      <c r="F23" s="33">
        <v>210.5</v>
      </c>
      <c r="G23" s="33">
        <v>202.2</v>
      </c>
      <c r="H23" s="33">
        <v>220.2</v>
      </c>
      <c r="I23" s="33">
        <v>205.8</v>
      </c>
      <c r="J23" s="33">
        <v>238.8</v>
      </c>
      <c r="K23" s="33">
        <v>268.3</v>
      </c>
      <c r="L23" s="33">
        <v>266.60000000000002</v>
      </c>
      <c r="M23" s="34">
        <v>218.3</v>
      </c>
    </row>
    <row r="24" spans="1:21" x14ac:dyDescent="0.2">
      <c r="A24" s="28">
        <v>2020</v>
      </c>
      <c r="B24" s="33">
        <v>219.5</v>
      </c>
      <c r="C24" s="33">
        <v>245.3</v>
      </c>
      <c r="D24" s="33">
        <v>210.2</v>
      </c>
      <c r="E24" s="33">
        <v>149.80000000000001</v>
      </c>
      <c r="F24" s="33">
        <v>155.69999999999999</v>
      </c>
      <c r="G24" s="33">
        <v>189.6</v>
      </c>
      <c r="H24" s="33">
        <v>191.1</v>
      </c>
      <c r="I24" s="33">
        <v>163.9</v>
      </c>
      <c r="J24" s="33">
        <v>212.3</v>
      </c>
      <c r="K24" s="33">
        <v>249.4</v>
      </c>
      <c r="L24" s="33">
        <v>262</v>
      </c>
      <c r="M24" s="34">
        <v>218.3</v>
      </c>
    </row>
    <row r="25" spans="1:21" x14ac:dyDescent="0.2">
      <c r="A25" s="28">
        <v>2021</v>
      </c>
      <c r="B25" s="33">
        <v>198.4</v>
      </c>
      <c r="C25" s="33">
        <v>227</v>
      </c>
      <c r="D25" s="33">
        <v>259.3</v>
      </c>
      <c r="E25" s="33">
        <v>218.2</v>
      </c>
      <c r="F25" s="33">
        <v>201.7</v>
      </c>
      <c r="G25" s="33">
        <v>226.8</v>
      </c>
      <c r="H25" s="33">
        <v>240.7</v>
      </c>
      <c r="I25" s="33">
        <v>236.3</v>
      </c>
      <c r="J25" s="33">
        <v>294.89999999999998</v>
      </c>
      <c r="K25" s="15">
        <v>352.2</v>
      </c>
      <c r="L25" s="33">
        <v>363.9</v>
      </c>
      <c r="M25" s="34">
        <v>325</v>
      </c>
    </row>
    <row r="26" spans="1:21" x14ac:dyDescent="0.2">
      <c r="A26" s="28">
        <v>2022</v>
      </c>
      <c r="B26" s="33">
        <v>330.4</v>
      </c>
      <c r="C26" s="33">
        <v>336.5</v>
      </c>
      <c r="D26" s="33">
        <v>395.8</v>
      </c>
      <c r="E26" s="33">
        <v>396.3</v>
      </c>
      <c r="F26" s="33">
        <v>416</v>
      </c>
      <c r="G26" s="33">
        <v>416.4</v>
      </c>
      <c r="H26" s="33">
        <v>338.2</v>
      </c>
      <c r="I26" s="33">
        <v>329.4</v>
      </c>
      <c r="J26" s="33">
        <v>318.8</v>
      </c>
      <c r="K26" s="33">
        <v>351.9</v>
      </c>
      <c r="L26" s="33">
        <v>355.4</v>
      </c>
      <c r="M26" s="34">
        <v>347</v>
      </c>
    </row>
    <row r="27" spans="1:21" x14ac:dyDescent="0.2">
      <c r="A27" s="29">
        <v>2023</v>
      </c>
      <c r="B27" s="10">
        <v>331.1</v>
      </c>
      <c r="C27" s="10">
        <v>356</v>
      </c>
      <c r="D27" s="10">
        <v>384.9</v>
      </c>
      <c r="E27" s="10">
        <v>317.39999999999998</v>
      </c>
      <c r="F27" s="35">
        <v>336.5</v>
      </c>
      <c r="G27" s="35">
        <v>316.7</v>
      </c>
      <c r="H27" s="35">
        <v>304.2</v>
      </c>
      <c r="I27" s="35">
        <v>321.60000000000002</v>
      </c>
      <c r="J27" s="35">
        <v>348.1</v>
      </c>
      <c r="K27" s="35">
        <v>341.8</v>
      </c>
      <c r="L27" s="35">
        <v>379.1</v>
      </c>
      <c r="M27" s="36"/>
    </row>
    <row r="28" spans="1:21" x14ac:dyDescent="0.2">
      <c r="D28" s="6"/>
      <c r="E28" s="6"/>
    </row>
    <row r="31" spans="1:21" ht="15.75" x14ac:dyDescent="0.25">
      <c r="B31" s="42"/>
      <c r="C31" s="42"/>
      <c r="D31" s="42"/>
      <c r="E31" s="42"/>
      <c r="F31" s="42"/>
      <c r="G31" s="42"/>
      <c r="H31" s="42"/>
      <c r="I31" s="46"/>
      <c r="J31" s="43"/>
      <c r="K31" s="42"/>
      <c r="L31" s="42"/>
      <c r="M31" s="42"/>
      <c r="N31" s="42"/>
      <c r="O31" s="46"/>
      <c r="P31" s="42"/>
      <c r="Q31" s="42"/>
      <c r="R31" s="43"/>
      <c r="S31" s="42"/>
      <c r="T31" s="44"/>
      <c r="U31" s="45"/>
    </row>
  </sheetData>
  <mergeCells count="1">
    <mergeCell ref="A2:M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41"/>
  <sheetViews>
    <sheetView workbookViewId="0">
      <selection activeCell="A2" sqref="A2:G2"/>
    </sheetView>
  </sheetViews>
  <sheetFormatPr defaultRowHeight="12" x14ac:dyDescent="0.2"/>
  <cols>
    <col min="1" max="1" width="24" style="3" customWidth="1"/>
    <col min="2" max="7" width="14" style="3" customWidth="1"/>
    <col min="8" max="16384" width="9.140625" style="3"/>
  </cols>
  <sheetData>
    <row r="2" spans="1:13" ht="12.75" x14ac:dyDescent="0.2">
      <c r="A2" s="142" t="s">
        <v>109</v>
      </c>
      <c r="B2" s="142"/>
      <c r="C2" s="142"/>
      <c r="D2" s="142"/>
      <c r="E2" s="142"/>
      <c r="F2" s="142"/>
      <c r="G2" s="142"/>
      <c r="H2" s="39"/>
      <c r="I2" s="39"/>
      <c r="J2" s="39"/>
      <c r="K2" s="39"/>
      <c r="L2" s="39"/>
      <c r="M2" s="39"/>
    </row>
    <row r="3" spans="1:13" ht="16.5" customHeight="1" x14ac:dyDescent="0.2">
      <c r="A3" s="4"/>
      <c r="B3" s="4"/>
      <c r="C3" s="4"/>
      <c r="D3" s="4"/>
      <c r="E3" s="4"/>
      <c r="F3" s="4"/>
      <c r="G3" s="4"/>
    </row>
    <row r="4" spans="1:13" ht="16.5" customHeight="1" x14ac:dyDescent="0.2">
      <c r="A4" s="4"/>
      <c r="B4" s="4"/>
      <c r="C4" s="4"/>
      <c r="D4" s="4"/>
      <c r="E4" s="4"/>
      <c r="F4" s="4"/>
      <c r="G4" s="4"/>
    </row>
    <row r="5" spans="1:13" ht="16.5" customHeight="1" x14ac:dyDescent="0.2">
      <c r="A5" s="4"/>
      <c r="B5" s="4"/>
      <c r="C5" s="4"/>
      <c r="D5" s="4"/>
      <c r="E5" s="4"/>
      <c r="F5" s="4"/>
      <c r="G5" s="4"/>
    </row>
    <row r="6" spans="1:13" ht="16.5" customHeight="1" x14ac:dyDescent="0.2">
      <c r="A6" s="4"/>
      <c r="B6" s="4"/>
      <c r="C6" s="4"/>
      <c r="D6" s="4"/>
      <c r="E6" s="4"/>
      <c r="F6" s="4"/>
      <c r="G6" s="4"/>
    </row>
    <row r="7" spans="1:13" ht="16.5" customHeight="1" x14ac:dyDescent="0.2">
      <c r="A7" s="4"/>
      <c r="B7" s="4"/>
      <c r="C7" s="4"/>
      <c r="D7" s="4"/>
      <c r="E7" s="4"/>
      <c r="F7" s="4"/>
      <c r="G7" s="4"/>
    </row>
    <row r="8" spans="1:13" ht="16.5" customHeight="1" x14ac:dyDescent="0.2">
      <c r="A8" s="4"/>
      <c r="B8" s="4"/>
      <c r="C8" s="4"/>
      <c r="D8" s="4"/>
      <c r="E8" s="4"/>
      <c r="F8" s="4"/>
      <c r="G8" s="4"/>
    </row>
    <row r="9" spans="1:13" ht="16.5" customHeight="1" x14ac:dyDescent="0.2">
      <c r="A9" s="4"/>
      <c r="B9" s="4"/>
      <c r="C9" s="4"/>
      <c r="D9" s="4"/>
      <c r="E9" s="4"/>
      <c r="F9" s="4"/>
      <c r="G9" s="4"/>
    </row>
    <row r="10" spans="1:13" ht="16.5" customHeight="1" x14ac:dyDescent="0.2">
      <c r="A10" s="4"/>
      <c r="B10" s="4"/>
      <c r="C10" s="4"/>
      <c r="D10" s="4"/>
      <c r="E10" s="4"/>
      <c r="F10" s="4"/>
      <c r="G10" s="4"/>
    </row>
    <row r="11" spans="1:13" ht="16.5" customHeight="1" x14ac:dyDescent="0.2">
      <c r="A11" s="4"/>
      <c r="B11" s="4"/>
      <c r="C11" s="4"/>
      <c r="D11" s="4"/>
      <c r="E11" s="4"/>
      <c r="F11" s="4"/>
      <c r="G11" s="4"/>
    </row>
    <row r="12" spans="1:13" ht="16.5" customHeight="1" x14ac:dyDescent="0.2">
      <c r="A12" s="4"/>
      <c r="B12" s="4"/>
      <c r="C12" s="4"/>
      <c r="D12" s="4"/>
      <c r="E12" s="4"/>
      <c r="F12" s="4"/>
      <c r="G12" s="4"/>
    </row>
    <row r="13" spans="1:13" ht="16.5" customHeight="1" x14ac:dyDescent="0.2">
      <c r="A13" s="4"/>
      <c r="B13" s="4"/>
      <c r="C13" s="4"/>
      <c r="D13" s="4"/>
      <c r="E13" s="4"/>
      <c r="F13" s="4"/>
      <c r="G13" s="4"/>
    </row>
    <row r="14" spans="1:13" ht="16.5" customHeight="1" x14ac:dyDescent="0.2">
      <c r="A14" s="4"/>
      <c r="B14" s="4"/>
      <c r="C14" s="4"/>
      <c r="D14" s="4"/>
      <c r="E14" s="4"/>
      <c r="F14" s="4"/>
      <c r="G14" s="4"/>
    </row>
    <row r="15" spans="1:13" ht="16.5" customHeight="1" x14ac:dyDescent="0.2">
      <c r="A15" s="4"/>
      <c r="B15" s="4"/>
      <c r="C15" s="4"/>
      <c r="D15" s="4"/>
      <c r="E15" s="4"/>
      <c r="F15" s="4"/>
      <c r="G15" s="4"/>
    </row>
    <row r="16" spans="1:13" ht="16.5" customHeight="1" x14ac:dyDescent="0.2">
      <c r="A16" s="4"/>
      <c r="B16" s="4"/>
      <c r="C16" s="4"/>
      <c r="D16" s="4"/>
      <c r="E16" s="4"/>
      <c r="F16" s="4"/>
      <c r="G16" s="4"/>
    </row>
    <row r="17" spans="1:7" ht="16.5" customHeight="1" x14ac:dyDescent="0.2">
      <c r="A17" s="4"/>
      <c r="B17" s="4"/>
      <c r="C17" s="4"/>
      <c r="D17" s="4"/>
      <c r="E17" s="4"/>
      <c r="F17" s="4"/>
      <c r="G17" s="4"/>
    </row>
    <row r="18" spans="1:7" ht="16.5" customHeight="1" x14ac:dyDescent="0.2">
      <c r="A18" s="4"/>
      <c r="B18" s="4"/>
      <c r="C18" s="4"/>
      <c r="D18" s="4"/>
      <c r="E18" s="4"/>
      <c r="F18" s="4"/>
      <c r="G18" s="4"/>
    </row>
    <row r="19" spans="1:7" ht="16.5" customHeight="1" x14ac:dyDescent="0.2">
      <c r="A19" s="4"/>
      <c r="B19" s="4"/>
      <c r="C19" s="4"/>
      <c r="D19" s="4"/>
      <c r="E19" s="4"/>
      <c r="F19" s="4"/>
      <c r="G19" s="4"/>
    </row>
    <row r="20" spans="1:7" ht="16.5" customHeight="1" x14ac:dyDescent="0.2">
      <c r="A20" s="4"/>
      <c r="B20" s="4"/>
      <c r="C20" s="4"/>
      <c r="D20" s="4"/>
      <c r="E20" s="4"/>
      <c r="F20" s="4"/>
      <c r="G20" s="4"/>
    </row>
    <row r="21" spans="1:7" ht="16.5" customHeight="1" x14ac:dyDescent="0.2">
      <c r="A21" s="2"/>
      <c r="B21" s="2"/>
      <c r="C21" s="2"/>
      <c r="D21" s="2"/>
      <c r="E21" s="2"/>
      <c r="F21" s="2"/>
      <c r="G21" s="2"/>
    </row>
    <row r="22" spans="1:7" ht="16.5" customHeight="1" x14ac:dyDescent="0.2">
      <c r="A22" s="2"/>
      <c r="B22" s="2"/>
      <c r="C22" s="2"/>
      <c r="D22" s="2"/>
      <c r="E22" s="2"/>
      <c r="F22" s="2"/>
      <c r="G22" s="2"/>
    </row>
    <row r="23" spans="1:7" ht="34.5" customHeight="1" x14ac:dyDescent="0.2">
      <c r="A23" s="38" t="s">
        <v>25</v>
      </c>
      <c r="B23" s="24" t="s">
        <v>100</v>
      </c>
      <c r="C23" s="24" t="s">
        <v>101</v>
      </c>
      <c r="D23" s="24" t="s">
        <v>102</v>
      </c>
      <c r="E23" s="24" t="s">
        <v>103</v>
      </c>
      <c r="F23" s="24" t="s">
        <v>104</v>
      </c>
      <c r="G23" s="24" t="s">
        <v>105</v>
      </c>
    </row>
    <row r="24" spans="1:7" x14ac:dyDescent="0.2">
      <c r="A24" s="30" t="s">
        <v>26</v>
      </c>
      <c r="B24" s="55">
        <v>7.5</v>
      </c>
      <c r="C24" s="14">
        <v>7.3</v>
      </c>
      <c r="D24" s="14">
        <v>3.3</v>
      </c>
      <c r="E24" s="14">
        <v>1.5</v>
      </c>
      <c r="F24" s="14">
        <v>2.1</v>
      </c>
      <c r="G24" s="11">
        <v>2.9</v>
      </c>
    </row>
    <row r="25" spans="1:7" x14ac:dyDescent="0.2">
      <c r="A25" s="31" t="s">
        <v>27</v>
      </c>
      <c r="B25" s="123">
        <v>3.9</v>
      </c>
      <c r="C25" s="15">
        <v>4.9000000000000004</v>
      </c>
      <c r="D25" s="15">
        <v>4.5999999999999996</v>
      </c>
      <c r="E25" s="15">
        <v>4.5999999999999996</v>
      </c>
      <c r="F25" s="15">
        <v>4.7</v>
      </c>
      <c r="G25" s="122">
        <v>5.9</v>
      </c>
    </row>
    <row r="26" spans="1:7" x14ac:dyDescent="0.2">
      <c r="A26" s="31" t="s">
        <v>28</v>
      </c>
      <c r="B26" s="123">
        <v>79.5</v>
      </c>
      <c r="C26" s="15">
        <v>75.599999999999994</v>
      </c>
      <c r="D26" s="15">
        <v>84.3</v>
      </c>
      <c r="E26" s="15">
        <v>87.7</v>
      </c>
      <c r="F26" s="15">
        <v>84.9</v>
      </c>
      <c r="G26" s="122">
        <v>83.1</v>
      </c>
    </row>
    <row r="27" spans="1:7" x14ac:dyDescent="0.2">
      <c r="A27" s="31" t="s">
        <v>29</v>
      </c>
      <c r="B27" s="123">
        <v>2</v>
      </c>
      <c r="C27" s="15">
        <v>1.6</v>
      </c>
      <c r="D27" s="15">
        <v>2.4</v>
      </c>
      <c r="E27" s="15">
        <v>2.2999999999999998</v>
      </c>
      <c r="F27" s="15">
        <v>2.7</v>
      </c>
      <c r="G27" s="122">
        <v>2.6</v>
      </c>
    </row>
    <row r="28" spans="1:7" x14ac:dyDescent="0.2">
      <c r="A28" s="31" t="s">
        <v>45</v>
      </c>
      <c r="B28" s="123">
        <v>0.1</v>
      </c>
      <c r="C28" s="15">
        <v>0.1</v>
      </c>
      <c r="D28" s="15">
        <v>0.2</v>
      </c>
      <c r="E28" s="15">
        <v>0.2</v>
      </c>
      <c r="F28" s="15">
        <v>0.2</v>
      </c>
      <c r="G28" s="122">
        <v>0.2</v>
      </c>
    </row>
    <row r="29" spans="1:7" x14ac:dyDescent="0.2">
      <c r="A29" s="31" t="s">
        <v>46</v>
      </c>
      <c r="B29" s="123">
        <v>6.3</v>
      </c>
      <c r="C29" s="15">
        <v>9.9</v>
      </c>
      <c r="D29" s="15">
        <v>4.5999999999999996</v>
      </c>
      <c r="E29" s="15">
        <v>3.1</v>
      </c>
      <c r="F29" s="15">
        <v>4.7</v>
      </c>
      <c r="G29" s="122">
        <v>4.7</v>
      </c>
    </row>
    <row r="30" spans="1:7" x14ac:dyDescent="0.2">
      <c r="A30" s="32" t="s">
        <v>47</v>
      </c>
      <c r="B30" s="19">
        <v>0.7</v>
      </c>
      <c r="C30" s="10">
        <v>0.6</v>
      </c>
      <c r="D30" s="10">
        <v>0.6</v>
      </c>
      <c r="E30" s="10">
        <v>0.6</v>
      </c>
      <c r="F30" s="10">
        <v>0.7</v>
      </c>
      <c r="G30" s="12">
        <v>0.6</v>
      </c>
    </row>
    <row r="35" spans="2:7" ht="15" x14ac:dyDescent="0.2">
      <c r="B35" s="50"/>
      <c r="C35" s="50"/>
      <c r="D35" s="51"/>
      <c r="E35" s="51"/>
      <c r="F35" s="51"/>
      <c r="G35" s="51"/>
    </row>
    <row r="36" spans="2:7" ht="15" x14ac:dyDescent="0.2">
      <c r="B36" s="50"/>
      <c r="C36" s="50"/>
      <c r="D36" s="51"/>
      <c r="E36" s="51"/>
      <c r="F36" s="51"/>
      <c r="G36" s="51"/>
    </row>
    <row r="37" spans="2:7" ht="15" x14ac:dyDescent="0.2">
      <c r="B37" s="50"/>
      <c r="C37" s="50"/>
      <c r="D37" s="51"/>
      <c r="E37" s="51"/>
      <c r="F37" s="51"/>
      <c r="G37" s="51"/>
    </row>
    <row r="38" spans="2:7" ht="15" x14ac:dyDescent="0.2">
      <c r="B38" s="50"/>
      <c r="C38" s="50"/>
      <c r="D38" s="51"/>
      <c r="E38" s="51"/>
      <c r="F38" s="51"/>
      <c r="G38" s="51"/>
    </row>
    <row r="39" spans="2:7" ht="15" x14ac:dyDescent="0.2">
      <c r="B39" s="50"/>
      <c r="C39" s="50"/>
      <c r="D39" s="51"/>
      <c r="E39" s="51"/>
      <c r="F39" s="51"/>
      <c r="G39" s="51"/>
    </row>
    <row r="40" spans="2:7" ht="15" x14ac:dyDescent="0.2">
      <c r="B40" s="50"/>
      <c r="C40" s="50"/>
      <c r="D40" s="51"/>
      <c r="E40" s="51"/>
      <c r="F40" s="51"/>
      <c r="G40" s="51"/>
    </row>
    <row r="41" spans="2:7" ht="15" x14ac:dyDescent="0.2">
      <c r="B41" s="50"/>
      <c r="C41" s="50"/>
      <c r="D41" s="51"/>
      <c r="E41" s="51"/>
      <c r="F41" s="51"/>
      <c r="G41" s="51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32"/>
  <sheetViews>
    <sheetView workbookViewId="0">
      <selection activeCell="A2" sqref="A2:G2"/>
    </sheetView>
  </sheetViews>
  <sheetFormatPr defaultRowHeight="12" x14ac:dyDescent="0.2"/>
  <cols>
    <col min="1" max="1" width="26.42578125" style="3" bestFit="1" customWidth="1"/>
    <col min="2" max="7" width="14.140625" style="3" customWidth="1"/>
    <col min="8" max="16384" width="9.140625" style="3"/>
  </cols>
  <sheetData>
    <row r="2" spans="1:13" ht="12.75" x14ac:dyDescent="0.2">
      <c r="A2" s="151" t="s">
        <v>112</v>
      </c>
      <c r="B2" s="151"/>
      <c r="C2" s="151"/>
      <c r="D2" s="151"/>
      <c r="E2" s="151"/>
      <c r="F2" s="151"/>
      <c r="G2" s="151"/>
    </row>
    <row r="3" spans="1:13" x14ac:dyDescent="0.2">
      <c r="A3" s="40"/>
      <c r="B3" s="40"/>
      <c r="C3" s="40"/>
      <c r="D3" s="40"/>
      <c r="E3" s="40"/>
      <c r="F3" s="40"/>
      <c r="G3" s="40"/>
      <c r="H3" s="39"/>
      <c r="I3" s="39"/>
      <c r="J3" s="39"/>
      <c r="K3" s="39"/>
      <c r="L3" s="39"/>
      <c r="M3" s="3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34.5" customHeight="1" x14ac:dyDescent="0.2">
      <c r="A22" s="20"/>
      <c r="B22" s="9" t="s">
        <v>105</v>
      </c>
      <c r="C22" s="9" t="s">
        <v>104</v>
      </c>
      <c r="D22" s="9" t="s">
        <v>103</v>
      </c>
      <c r="E22" s="9" t="s">
        <v>102</v>
      </c>
      <c r="F22" s="9" t="s">
        <v>101</v>
      </c>
      <c r="G22" s="9" t="s">
        <v>100</v>
      </c>
    </row>
    <row r="23" spans="1:7" ht="15" customHeight="1" x14ac:dyDescent="0.2">
      <c r="A23" s="16" t="s">
        <v>48</v>
      </c>
      <c r="B23" s="55">
        <v>48.8</v>
      </c>
      <c r="C23" s="14">
        <v>48.8</v>
      </c>
      <c r="D23" s="14">
        <v>45.8</v>
      </c>
      <c r="E23" s="14">
        <v>44.5</v>
      </c>
      <c r="F23" s="14">
        <v>46.6</v>
      </c>
      <c r="G23" s="11">
        <v>48.5</v>
      </c>
    </row>
    <row r="24" spans="1:7" ht="15" customHeight="1" x14ac:dyDescent="0.2">
      <c r="A24" s="17" t="s">
        <v>49</v>
      </c>
      <c r="B24" s="123">
        <v>24.8</v>
      </c>
      <c r="C24" s="15">
        <v>24.1</v>
      </c>
      <c r="D24" s="15">
        <v>24.4</v>
      </c>
      <c r="E24" s="15">
        <v>26</v>
      </c>
      <c r="F24" s="15">
        <v>24.7</v>
      </c>
      <c r="G24" s="122">
        <v>18.100000000000001</v>
      </c>
    </row>
    <row r="25" spans="1:7" ht="15.75" customHeight="1" x14ac:dyDescent="0.2">
      <c r="A25" s="18" t="s">
        <v>50</v>
      </c>
      <c r="B25" s="19">
        <v>26.4</v>
      </c>
      <c r="C25" s="10">
        <v>27.1</v>
      </c>
      <c r="D25" s="10">
        <v>29.8</v>
      </c>
      <c r="E25" s="10">
        <v>29.5</v>
      </c>
      <c r="F25" s="10">
        <v>28.7</v>
      </c>
      <c r="G25" s="12">
        <v>33.4</v>
      </c>
    </row>
    <row r="26" spans="1:7" x14ac:dyDescent="0.2">
      <c r="G26" s="6"/>
    </row>
    <row r="27" spans="1:7" x14ac:dyDescent="0.2">
      <c r="C27" s="102"/>
    </row>
    <row r="30" spans="1:7" ht="15.75" x14ac:dyDescent="0.2">
      <c r="B30" s="53"/>
      <c r="C30" s="53"/>
      <c r="D30" s="53"/>
      <c r="E30" s="53"/>
      <c r="F30" s="53"/>
      <c r="G30" s="53"/>
    </row>
    <row r="31" spans="1:7" ht="15.75" x14ac:dyDescent="0.2">
      <c r="B31" s="53"/>
      <c r="C31" s="53"/>
      <c r="D31" s="53"/>
      <c r="E31" s="53"/>
      <c r="F31" s="53"/>
      <c r="G31" s="53"/>
    </row>
    <row r="32" spans="1:7" ht="15.75" x14ac:dyDescent="0.2">
      <c r="B32" s="53"/>
      <c r="C32" s="53"/>
      <c r="D32" s="53"/>
      <c r="E32" s="53"/>
      <c r="F32" s="53"/>
      <c r="G32" s="53"/>
    </row>
  </sheetData>
  <mergeCells count="1">
    <mergeCell ref="A2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46"/>
  <sheetViews>
    <sheetView workbookViewId="0">
      <selection activeCell="A2" sqref="A2:G2"/>
    </sheetView>
  </sheetViews>
  <sheetFormatPr defaultRowHeight="12" x14ac:dyDescent="0.2"/>
  <cols>
    <col min="1" max="1" width="22.85546875" style="3" customWidth="1"/>
    <col min="2" max="7" width="14.140625" style="3" customWidth="1"/>
    <col min="8" max="16384" width="9.140625" style="3"/>
  </cols>
  <sheetData>
    <row r="2" spans="1:10" ht="13.5" customHeight="1" x14ac:dyDescent="0.2">
      <c r="A2" s="142" t="s">
        <v>108</v>
      </c>
      <c r="B2" s="142"/>
      <c r="C2" s="142"/>
      <c r="D2" s="142"/>
      <c r="E2" s="142"/>
      <c r="F2" s="142"/>
      <c r="G2" s="142"/>
      <c r="H2" s="39"/>
      <c r="I2" s="39"/>
      <c r="J2" s="39"/>
    </row>
    <row r="3" spans="1:10" ht="15" customHeight="1" x14ac:dyDescent="0.2"/>
    <row r="4" spans="1:10" ht="13.5" customHeight="1" x14ac:dyDescent="0.2"/>
    <row r="5" spans="1:10" ht="13.5" customHeight="1" x14ac:dyDescent="0.2"/>
    <row r="6" spans="1:10" ht="15" customHeight="1" x14ac:dyDescent="0.2"/>
    <row r="7" spans="1:10" ht="15.75" customHeight="1" x14ac:dyDescent="0.2"/>
    <row r="8" spans="1:10" ht="16.5" customHeight="1" x14ac:dyDescent="0.2"/>
    <row r="9" spans="1:10" ht="13.5" customHeight="1" x14ac:dyDescent="0.2"/>
    <row r="10" spans="1:10" ht="14.25" customHeight="1" x14ac:dyDescent="0.2"/>
    <row r="11" spans="1:10" ht="16.5" customHeight="1" x14ac:dyDescent="0.2"/>
    <row r="12" spans="1:10" ht="17.25" customHeight="1" x14ac:dyDescent="0.2"/>
    <row r="13" spans="1:10" ht="21.75" customHeight="1" x14ac:dyDescent="0.2"/>
    <row r="17" spans="1:7" ht="15.75" customHeight="1" x14ac:dyDescent="0.2"/>
    <row r="24" spans="1:7" ht="39.75" customHeight="1" x14ac:dyDescent="0.2">
      <c r="A24" s="37"/>
      <c r="B24" s="9" t="s">
        <v>105</v>
      </c>
      <c r="C24" s="9" t="s">
        <v>104</v>
      </c>
      <c r="D24" s="9" t="s">
        <v>103</v>
      </c>
      <c r="E24" s="9" t="s">
        <v>102</v>
      </c>
      <c r="F24" s="9" t="s">
        <v>101</v>
      </c>
      <c r="G24" s="9" t="s">
        <v>100</v>
      </c>
    </row>
    <row r="25" spans="1:7" x14ac:dyDescent="0.2">
      <c r="A25" s="119" t="s">
        <v>33</v>
      </c>
      <c r="B25" s="14">
        <f>IF(OR(774084.96154="",774084.96154="***"),"-",774084.96154/5240739.99296*100)</f>
        <v>14.77052787544975</v>
      </c>
      <c r="C25" s="14">
        <f>IF(769966.3597="","-",769966.3597/5302814.4312*100)</f>
        <v>14.519956707701734</v>
      </c>
      <c r="D25" s="14">
        <f>IF(568670.79495="","-",568670.79495/4848686.17434*100)</f>
        <v>11.72834814427657</v>
      </c>
      <c r="E25" s="14">
        <f>IF(756088.79237="","-",756088.79237/6422564.27315*100)</f>
        <v>11.77238187449341</v>
      </c>
      <c r="F25" s="14">
        <f>IF(1500230.51574="","-",1500230.51574/8345207.34491*100)</f>
        <v>17.977150881158597</v>
      </c>
      <c r="G25" s="11">
        <f>IF(1184443.07245="","-",1184443.07245/7858737.58733*100)</f>
        <v>15.07167098134923</v>
      </c>
    </row>
    <row r="26" spans="1:7" x14ac:dyDescent="0.2">
      <c r="A26" s="120" t="s">
        <v>38</v>
      </c>
      <c r="B26" s="15">
        <f>IF(OR(527738.92147="",527738.92147="***"),"-",527738.92147/5240739.99296*100)</f>
        <v>10.069931387149964</v>
      </c>
      <c r="C26" s="15">
        <f>IF(522801.51787="","-",522801.51787/5302814.4312*100)</f>
        <v>9.8589442390065418</v>
      </c>
      <c r="D26" s="15">
        <f>IF(477936.78623="","-",477936.78623/4848686.17434*100)</f>
        <v>9.8570369177389878</v>
      </c>
      <c r="E26" s="15">
        <f>IF(605371.70182="","-",605371.70182/6422564.27315*100)</f>
        <v>9.4257009517335728</v>
      </c>
      <c r="F26" s="15">
        <f>IF(792211.04234="","-",792211.04234/8345207.34491*100)</f>
        <v>9.4930061003600343</v>
      </c>
      <c r="G26" s="122">
        <f>IF(931284.39711="","-",931284.39711/7858737.58733*100)</f>
        <v>11.850305303633419</v>
      </c>
    </row>
    <row r="27" spans="1:7" x14ac:dyDescent="0.2">
      <c r="A27" s="120" t="s">
        <v>94</v>
      </c>
      <c r="B27" s="15">
        <f>IF(OR(549496.49353="",549496.49353="***"),"-",549496.49353/5240739.99296*100)</f>
        <v>10.485093598769458</v>
      </c>
      <c r="C27" s="15">
        <f>IF(542665.24114="","-",542665.24114/5302814.4312*100)</f>
        <v>10.233532554847438</v>
      </c>
      <c r="D27" s="15">
        <f>IF(574310.37446="","-",574310.37446/4848686.17434*100)</f>
        <v>11.84465964201477</v>
      </c>
      <c r="E27" s="15">
        <f>IF(743417.92109="","-",743417.92109/6422564.27315*100)</f>
        <v>11.57509507842394</v>
      </c>
      <c r="F27" s="15">
        <f>IF(855156.84774="","-",855156.84774/8345207.34491*100)</f>
        <v>10.247281012874851</v>
      </c>
      <c r="G27" s="122">
        <f>IF(917567.19203="","-",917567.19203/7858737.58733*100)</f>
        <v>11.675758120608565</v>
      </c>
    </row>
    <row r="28" spans="1:7" x14ac:dyDescent="0.2">
      <c r="A28" s="120" t="s">
        <v>35</v>
      </c>
      <c r="B28" s="15">
        <f>IF(OR(307887.07404="",307887.07404="***"),"-",307887.07404/5240739.99296*100)</f>
        <v>5.8748778694152231</v>
      </c>
      <c r="C28" s="15">
        <f>IF(357742.40242="","-",357742.40242/5302814.4312*100)</f>
        <v>6.7462742108259048</v>
      </c>
      <c r="D28" s="15">
        <f>IF(340237.77768="","-",340237.77768/4848686.17434*100)</f>
        <v>7.0171127898644201</v>
      </c>
      <c r="E28" s="15">
        <f>IF(484020.71881="","-",484020.71881/6422564.27315*100)</f>
        <v>7.5362534063455628</v>
      </c>
      <c r="F28" s="15">
        <f>IF(594461.02399="","-",594461.02399/8345207.34491*100)</f>
        <v>7.1233823129940586</v>
      </c>
      <c r="G28" s="122">
        <f>IF(682455.54403="","-",682455.54403/7858737.58733*100)</f>
        <v>8.6840352721570362</v>
      </c>
    </row>
    <row r="29" spans="1:7" x14ac:dyDescent="0.2">
      <c r="A29" s="120" t="s">
        <v>34</v>
      </c>
      <c r="B29" s="15">
        <f>IF(OR(439094.25997="",439094.25997="***"),"-",439094.25997/5240739.99296*100)</f>
        <v>8.378478240856154</v>
      </c>
      <c r="C29" s="15">
        <f>IF(439569.07776="","-",439569.07776/5302814.4312*100)</f>
        <v>8.289354331800137</v>
      </c>
      <c r="D29" s="15">
        <f>IF(409551.66503="","-",409551.66503/4848686.17434*100)</f>
        <v>8.4466523570325283</v>
      </c>
      <c r="E29" s="15">
        <f>IF(493417.18887="","-",493417.18887/6422564.27315*100)</f>
        <v>7.682557431659605</v>
      </c>
      <c r="F29" s="15">
        <f>IF(527388.41755="","-",527388.41755/8345207.34491*100)</f>
        <v>6.3196562500232005</v>
      </c>
      <c r="G29" s="122">
        <f>IF(562383.66906="","-",562383.66906/7858737.58733*100)</f>
        <v>7.1561578791825955</v>
      </c>
    </row>
    <row r="30" spans="1:7" x14ac:dyDescent="0.2">
      <c r="A30" s="120" t="s">
        <v>36</v>
      </c>
      <c r="B30" s="15">
        <f>IF(OR(357547.87662="",357547.87662="***"),"-",357547.87662/5240739.99296*100)</f>
        <v>6.8224692906021245</v>
      </c>
      <c r="C30" s="15">
        <f>IF(373994.656="","-",373994.656/5302814.4312*100)</f>
        <v>7.0527577544395967</v>
      </c>
      <c r="D30" s="15">
        <f>IF(312133.697="","-",312133.697/4848686.17434*100)</f>
        <v>6.4374901937737263</v>
      </c>
      <c r="E30" s="15">
        <f>IF(406619.00632="","-",406619.00632/6422564.27315*100)</f>
        <v>6.3311006169280466</v>
      </c>
      <c r="F30" s="15">
        <f>IF(397869.25726="","-",397869.25726/8345207.34491*100)</f>
        <v>4.7676377687927998</v>
      </c>
      <c r="G30" s="122">
        <f>IF(430824.99222="","-",430824.99222/7858737.58733*100)</f>
        <v>5.4821144927218839</v>
      </c>
    </row>
    <row r="31" spans="1:7" x14ac:dyDescent="0.2">
      <c r="A31" s="120" t="s">
        <v>92</v>
      </c>
      <c r="B31" s="15">
        <f>IF(OR(632061.52471="",632061.52471="***"),"-",632061.52471/5240739.99296*100)</f>
        <v>12.06053964819972</v>
      </c>
      <c r="C31" s="15">
        <f>IF(614437.36705="","-",614437.36705/5302814.4312*100)</f>
        <v>11.58700488244232</v>
      </c>
      <c r="D31" s="15">
        <f>IF(530705.38639="","-",530705.38639/4848686.17434*100)</f>
        <v>10.945344105761583</v>
      </c>
      <c r="E31" s="15">
        <f>IF(901238.11846="","-",901238.11846/6422564.27315*100)</f>
        <v>14.032372120084371</v>
      </c>
      <c r="F31" s="15">
        <f>IF(1103875.1188="","-",1103875.1188/8345207.34491*100)</f>
        <v>13.22765358817942</v>
      </c>
      <c r="G31" s="122">
        <f>IF(300320.93368="","-",300320.93368/7858737.58733*100)</f>
        <v>3.8214907972520029</v>
      </c>
    </row>
    <row r="32" spans="1:7" x14ac:dyDescent="0.2">
      <c r="A32" s="120" t="s">
        <v>37</v>
      </c>
      <c r="B32" s="15">
        <f>IF(OR(183536.71578="",183536.71578="***"),"-",183536.71578/5240739.99296*100)</f>
        <v>3.502114511052806</v>
      </c>
      <c r="C32" s="15">
        <f>IF(182042.72033="","-",182042.72033/5302814.4312*100)</f>
        <v>3.4329453291618321</v>
      </c>
      <c r="D32" s="15">
        <f>IF(195946.36311="","-",195946.36311/4848686.17434*100)</f>
        <v>4.0412259334699483</v>
      </c>
      <c r="E32" s="15">
        <f>IF(236897.77291="","-",236897.77291/6422564.27315*100)</f>
        <v>3.6885231947053994</v>
      </c>
      <c r="F32" s="15">
        <f>IF(277771.55384="","-",277771.55384/8345207.34491*100)</f>
        <v>3.3285159057122939</v>
      </c>
      <c r="G32" s="122">
        <f>IF(287530.05834="","-",287530.05834/7858737.58733*100)</f>
        <v>3.6587308730547412</v>
      </c>
    </row>
    <row r="33" spans="1:7" x14ac:dyDescent="0.2">
      <c r="A33" s="120" t="s">
        <v>95</v>
      </c>
      <c r="B33" s="15">
        <f>IF(OR(27307.07464="",27307.07464="***"),"-",27307.07464/5240739.99296*100)</f>
        <v>0.52105379539305863</v>
      </c>
      <c r="C33" s="15">
        <f>IF(32825.14109="","-",32825.14109/5302814.4312*100)</f>
        <v>0.61901357318611339</v>
      </c>
      <c r="D33" s="15">
        <f>IF(36551.24822="","-",36551.24822/4848686.17434*100)</f>
        <v>0.75383819256925477</v>
      </c>
      <c r="E33" s="15">
        <f>IF(39887.42179="","-",39887.42179/6422564.27315*100)</f>
        <v>0.62105134481490964</v>
      </c>
      <c r="F33" s="15">
        <f>IF(232707.62888="","-",232707.62888/8345207.34491*100)</f>
        <v>2.7885182388180629</v>
      </c>
      <c r="G33" s="122">
        <f>IF(196441.83399="","-",196441.83399/7858737.58733*100)</f>
        <v>2.4996614507997714</v>
      </c>
    </row>
    <row r="34" spans="1:7" x14ac:dyDescent="0.2">
      <c r="A34" s="120" t="s">
        <v>93</v>
      </c>
      <c r="B34" s="15">
        <f>IF(OR(122099.96065="",122099.96065="***"),"-",122099.96065/5240739.99296*100)</f>
        <v>2.3298229031400055</v>
      </c>
      <c r="C34" s="15">
        <f>IF(135104.78956="","-",135104.78956/5302814.4312*100)</f>
        <v>2.5477940311297385</v>
      </c>
      <c r="D34" s="15">
        <f>IF(108097.69151="","-",108097.69151/4848686.17434*100)</f>
        <v>2.2294223140707636</v>
      </c>
      <c r="E34" s="15">
        <f>IF(153877.7323="","-",153877.7323/6422564.27315*100)</f>
        <v>2.3958924466244289</v>
      </c>
      <c r="F34" s="15">
        <f>IF(164234.3402="","-",164234.3402/8345207.34491*100)</f>
        <v>1.9680079045629895</v>
      </c>
      <c r="G34" s="122">
        <f>IF(188592.49122="","-",188592.49122/7858737.58733*100)</f>
        <v>2.3997809969383921</v>
      </c>
    </row>
    <row r="35" spans="1:7" x14ac:dyDescent="0.2">
      <c r="A35" s="120" t="s">
        <v>40</v>
      </c>
      <c r="B35" s="15">
        <f>IF(OR(102896.79451="",102896.79451="***"),"-",102896.79451/5240739.99296*100)</f>
        <v>1.9634020128497787</v>
      </c>
      <c r="C35" s="15">
        <f>IF(102086.11968="","-",102086.11968/5302814.4312*100)</f>
        <v>1.9251309093405031</v>
      </c>
      <c r="D35" s="15">
        <f>IF(92228.8933="","-",92228.8933/4848686.17434*100)</f>
        <v>1.9021419408022242</v>
      </c>
      <c r="E35" s="15">
        <f>IF(111888.40104="","-",111888.40104/6422564.27315*100)</f>
        <v>1.7421141506945699</v>
      </c>
      <c r="F35" s="15">
        <f>IF(164555.18976="","-",164555.18976/8345207.34491*100)</f>
        <v>1.971852621018066</v>
      </c>
      <c r="G35" s="122">
        <f>IF(167372.8499="","-",167372.8499/7858737.58733*100)</f>
        <v>2.1297676381234765</v>
      </c>
    </row>
    <row r="36" spans="1:7" ht="13.5" customHeight="1" x14ac:dyDescent="0.2">
      <c r="A36" s="120" t="s">
        <v>58</v>
      </c>
      <c r="B36" s="15">
        <f>IF(OR(79075.61641="",79075.61641="***"),"-",79075.61641/5240739.99296*100)</f>
        <v>1.508863567286757</v>
      </c>
      <c r="C36" s="15">
        <f>IF(104361.85913="","-",104361.85913/5302814.4312*100)</f>
        <v>1.9680466002349517</v>
      </c>
      <c r="D36" s="15">
        <f>IF(86029.88099="","-",86029.88099/4848686.17434*100)</f>
        <v>1.7742926206543017</v>
      </c>
      <c r="E36" s="15">
        <f>IF(104992.28567="","-",104992.28567/6422564.27315*100)</f>
        <v>1.6347409104012853</v>
      </c>
      <c r="F36" s="15">
        <f>IF(126981.68609="","-",126981.68609/8345207.34491*100)</f>
        <v>1.5216121162939116</v>
      </c>
      <c r="G36" s="122">
        <f>IF(148841.44294="","-",148841.44294/7858737.58733*100)</f>
        <v>1.8939612283271159</v>
      </c>
    </row>
    <row r="37" spans="1:7" ht="12" customHeight="1" x14ac:dyDescent="0.2">
      <c r="A37" s="120" t="s">
        <v>42</v>
      </c>
      <c r="B37" s="15">
        <f>IF(OR(60677.73917="",60677.73917="***"),"-",60677.73917/5240739.99296*100)</f>
        <v>1.1578086157968097</v>
      </c>
      <c r="C37" s="15">
        <f>IF(52681.94697="","-",52681.94697/5302814.4312*100)</f>
        <v>0.99347144150541844</v>
      </c>
      <c r="D37" s="15">
        <f>IF(58133.48854="","-",58133.48854/4848686.17434*100)</f>
        <v>1.1989534164461177</v>
      </c>
      <c r="E37" s="15">
        <f>IF(72441.56019="","-",72441.56019/6422564.27315*100)</f>
        <v>1.1279226973694487</v>
      </c>
      <c r="F37" s="15">
        <f>IF(132751.04171="","-",132751.04171/8345207.34491*100)</f>
        <v>1.5907458763258764</v>
      </c>
      <c r="G37" s="122">
        <f>IF(136660.55425="","-",136660.55425/7858737.58733*100)</f>
        <v>1.7389631951870568</v>
      </c>
    </row>
    <row r="38" spans="1:7" ht="11.25" customHeight="1" x14ac:dyDescent="0.2">
      <c r="A38" s="120" t="s">
        <v>57</v>
      </c>
      <c r="B38" s="15">
        <f>IF(OR(21170.70343="",21170.70343="***"),"-",21170.70343/5240739.99296*100)</f>
        <v>0.40396401001459842</v>
      </c>
      <c r="C38" s="15">
        <f>IF(19778.95321="","-",19778.95321/5302814.4312*100)</f>
        <v>0.37298972963540272</v>
      </c>
      <c r="D38" s="15">
        <f>IF(21690.11141="","-",21690.11141/4848686.17434*100)</f>
        <v>0.4473399727288484</v>
      </c>
      <c r="E38" s="15">
        <f>IF(39257.11899="","-",39257.11899/6422564.27315*100)</f>
        <v>0.61123746404714485</v>
      </c>
      <c r="F38" s="15">
        <f>IF(61892.52791="","-",61892.52791/8345207.34491*100)</f>
        <v>0.74165356655578074</v>
      </c>
      <c r="G38" s="122">
        <f>IF(130527.15666="","-",130527.15666/7858737.58733*100)</f>
        <v>1.6609176118876683</v>
      </c>
    </row>
    <row r="39" spans="1:7" x14ac:dyDescent="0.2">
      <c r="A39" s="120" t="s">
        <v>59</v>
      </c>
      <c r="B39" s="15">
        <f>IF(OR(65910.36737="",65910.36737="***"),"-",65910.36737/5240739.99296*100)</f>
        <v>1.257653832446159</v>
      </c>
      <c r="C39" s="15">
        <f>IF(68583.36672="","-",68583.36672/5302814.4312*100)</f>
        <v>1.2933389921487397</v>
      </c>
      <c r="D39" s="15">
        <f>IF(59995.00383="","-",59995.00383/4848686.17434*100)</f>
        <v>1.2373455751271938</v>
      </c>
      <c r="E39" s="15">
        <f>IF(95991.96522="","-",95991.96522/6422564.27315*100)</f>
        <v>1.4946049761043487</v>
      </c>
      <c r="F39" s="15">
        <f>IF(122827.72164="","-",122827.72164/8345207.34491*100)</f>
        <v>1.4718354687126667</v>
      </c>
      <c r="G39" s="122">
        <f>IF(110395.49164="","-",110395.49164/7858737.58733*100)</f>
        <v>1.4047484142743438</v>
      </c>
    </row>
    <row r="40" spans="1:7" x14ac:dyDescent="0.2">
      <c r="A40" s="120" t="s">
        <v>41</v>
      </c>
      <c r="B40" s="15">
        <f>IF(OR(69177.75776="",69177.75776="***"),"-",69177.75776/5240739.99296*100)</f>
        <v>1.3199998063809304</v>
      </c>
      <c r="C40" s="15">
        <f>IF(72886.32739="","-",72886.32739/5302814.4312*100)</f>
        <v>1.3744838393959449</v>
      </c>
      <c r="D40" s="15">
        <f>IF(70811.17289="","-",70811.17289/4848686.17434*100)</f>
        <v>1.4604197991766039</v>
      </c>
      <c r="E40" s="15">
        <f>IF(83938.71588="","-",83938.71588/6422564.27315*100)</f>
        <v>1.3069346184811566</v>
      </c>
      <c r="F40" s="15">
        <f>IF(96463.06217="","-",96463.06217/8345207.34491*100)</f>
        <v>1.1559097118040549</v>
      </c>
      <c r="G40" s="122">
        <f>IF(108371.4935="","-",108371.4935/7858737.58733*100)</f>
        <v>1.3789936652767043</v>
      </c>
    </row>
    <row r="41" spans="1:7" x14ac:dyDescent="0.2">
      <c r="A41" s="120" t="s">
        <v>97</v>
      </c>
      <c r="B41" s="15">
        <f>IF(OR(49536.26998="",49536.26998="***"),"-",49536.26998/5240739.99296*100)</f>
        <v>0.94521518042381703</v>
      </c>
      <c r="C41" s="15">
        <f>IF(45991.48649="","-",45991.48649/5302814.4312*100)</f>
        <v>0.86730333649620761</v>
      </c>
      <c r="D41" s="15">
        <f>IF(49189.32036="","-",49189.32036/4848686.17434*100)</f>
        <v>1.0144876073918234</v>
      </c>
      <c r="E41" s="15">
        <f>IF(60232.34537="","-",60232.34537/6422564.27315*100)</f>
        <v>0.93782394084876242</v>
      </c>
      <c r="F41" s="15">
        <f>IF(64625.50307="","-",64625.50307/8345207.34491*100)</f>
        <v>0.77440260498041535</v>
      </c>
      <c r="G41" s="122">
        <f>IF(90762.33587="","-",90762.33587/7858737.58733*100)</f>
        <v>1.1549225923554018</v>
      </c>
    </row>
    <row r="42" spans="1:7" x14ac:dyDescent="0.2">
      <c r="A42" s="120" t="s">
        <v>96</v>
      </c>
      <c r="B42" s="15">
        <f>IF(OR(97767.52498="",97767.52498="***"),"-",97767.52498/5240739.99296*100)</f>
        <v>1.8655290113864309</v>
      </c>
      <c r="C42" s="15">
        <f>IF(85371.17275="","-",85371.17275/5302814.4312*100)</f>
        <v>1.6099219359384773</v>
      </c>
      <c r="D42" s="15">
        <f>IF(57413.38979="","-",57413.38979/4848686.17434*100)</f>
        <v>1.1841019964096784</v>
      </c>
      <c r="E42" s="15">
        <f>IF(91109.33337="","-",91109.33337/6422564.27315*100)</f>
        <v>1.4185818856011956</v>
      </c>
      <c r="F42" s="15">
        <f>IF(75733.76965="","-",75733.76965/8345207.34491*100)</f>
        <v>0.90751213864317426</v>
      </c>
      <c r="G42" s="122">
        <f>IF(79791.40142="","-",79791.40142/7858737.58733*100)</f>
        <v>1.0153208518966348</v>
      </c>
    </row>
    <row r="43" spans="1:7" x14ac:dyDescent="0.2">
      <c r="A43" s="120" t="s">
        <v>39</v>
      </c>
      <c r="B43" s="15">
        <f>IF(OR(117678.47585="",117678.47585="***"),"-",117678.47585/5240739.99296*100)</f>
        <v>2.2454553366142957</v>
      </c>
      <c r="C43" s="15">
        <f>IF(119562.59767="","-",119562.59767/5302814.4312*100)</f>
        <v>2.2547007673233548</v>
      </c>
      <c r="D43" s="15">
        <f>IF(103266.28287="","-",103266.28287/4848686.17434*100)</f>
        <v>2.1297786484202912</v>
      </c>
      <c r="E43" s="15">
        <f>IF(130432.22615="","-",130432.22615/6422564.27315*100)</f>
        <v>2.0308434544638421</v>
      </c>
      <c r="F43" s="15">
        <f>IF(88277.19395="","-",88277.19395/8345207.34491*100)</f>
        <v>1.0578190607072573</v>
      </c>
      <c r="G43" s="122">
        <f>IF(79616.17258="","-",79616.17258/7858737.58733*100)</f>
        <v>1.0130911192194361</v>
      </c>
    </row>
    <row r="44" spans="1:7" ht="12" customHeight="1" x14ac:dyDescent="0.2">
      <c r="A44" s="120" t="s">
        <v>98</v>
      </c>
      <c r="B44" s="15">
        <f>IF(OR(30200.92952="",30200.92952="***"),"-",30200.92952/5240739.99296*100)</f>
        <v>0.57627223561118401</v>
      </c>
      <c r="C44" s="15">
        <f>IF(30852.07158="","-",30852.07158/5302814.4312*100)</f>
        <v>0.58180560493455413</v>
      </c>
      <c r="D44" s="15">
        <f>IF(27576.27149="","-",27576.27149/4848686.17434*100)</f>
        <v>0.56873698355521352</v>
      </c>
      <c r="E44" s="15">
        <f>IF(35837.25613="","-",35837.25613/6422564.27315*100)</f>
        <v>0.5579898402857606</v>
      </c>
      <c r="F44" s="15">
        <f>IF(56832.03184="","-",56832.03184/8345207.34491*100)</f>
        <v>0.68101401788013827</v>
      </c>
      <c r="G44" s="122">
        <f>IF(76805.72731="","-",76805.72731/7858737.58733*100)</f>
        <v>0.97732907425013904</v>
      </c>
    </row>
    <row r="45" spans="1:7" x14ac:dyDescent="0.2">
      <c r="A45" s="120" t="s">
        <v>74</v>
      </c>
      <c r="B45" s="15">
        <f>IF(OR(53925.05951="",53925.05951="***"),"-",53925.05951/5240739.99296*100)</f>
        <v>1.0289588795177531</v>
      </c>
      <c r="C45" s="15">
        <f>IF(51458.48973="","-",51458.48973/5302814.4312*100)</f>
        <v>0.97039959435946554</v>
      </c>
      <c r="D45" s="15">
        <f>IF(52673.04271="","-",52673.04271/4848686.17434*100)</f>
        <v>1.0863363974503839</v>
      </c>
      <c r="E45" s="15">
        <f>IF(66855.92103="","-",66855.92103/6422564.27315*100)</f>
        <v>1.0409537092450138</v>
      </c>
      <c r="F45" s="15">
        <f>IF(79984.48707="","-",79984.48707/8345207.34491*100)</f>
        <v>0.95844816988022496</v>
      </c>
      <c r="G45" s="122">
        <f>IF(74999.212="","-",74999.212/7858737.58733*100)</f>
        <v>0.95434172685591512</v>
      </c>
    </row>
    <row r="46" spans="1:7" x14ac:dyDescent="0.2">
      <c r="A46" s="121" t="s">
        <v>43</v>
      </c>
      <c r="B46" s="10">
        <f>IF(OR(54666.35931="",54666.35931="***"),"-",54666.35931/5240739.99296*100)</f>
        <v>1.0431038247162521</v>
      </c>
      <c r="C46" s="10">
        <f>IF(52443.58632="","-",52443.58632/5302814.4312*100)</f>
        <v>0.98897645769837517</v>
      </c>
      <c r="D46" s="10">
        <f>IF(44292.85465="","-",44292.85465/4848686.17434*100)</f>
        <v>0.91350219538654953</v>
      </c>
      <c r="E46" s="10">
        <f>IF(58065.71255="","-",58065.71255/6422564.27315*100)</f>
        <v>0.9040892403793912</v>
      </c>
      <c r="F46" s="10">
        <f>IF(63587.68871="","-",63587.68871/8345207.34491*100)</f>
        <v>0.76196655256006418</v>
      </c>
      <c r="G46" s="12">
        <f>IF(68775.00537="","-",68775.00537/7858737.58733*100)</f>
        <v>0.8751406266685926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57"/>
  <sheetViews>
    <sheetView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0" ht="12.75" x14ac:dyDescent="0.2">
      <c r="A2" s="136" t="s">
        <v>83</v>
      </c>
      <c r="B2" s="136"/>
      <c r="C2" s="136"/>
      <c r="D2" s="136"/>
      <c r="E2" s="136"/>
      <c r="F2" s="136"/>
      <c r="G2" s="136"/>
    </row>
    <row r="3" spans="1:10" x14ac:dyDescent="0.2">
      <c r="A3" s="2"/>
      <c r="B3" s="2"/>
      <c r="C3" s="2"/>
      <c r="D3" s="2"/>
      <c r="E3" s="2"/>
      <c r="F3" s="2"/>
      <c r="G3" s="2"/>
    </row>
    <row r="4" spans="1:10" x14ac:dyDescent="0.2">
      <c r="A4" s="40"/>
      <c r="B4" s="40"/>
      <c r="C4" s="40"/>
      <c r="D4" s="40"/>
      <c r="E4" s="40"/>
      <c r="F4" s="40"/>
      <c r="G4" s="39"/>
      <c r="H4" s="39"/>
      <c r="I4" s="39"/>
      <c r="J4" s="39"/>
    </row>
    <row r="5" spans="1:10" x14ac:dyDescent="0.2">
      <c r="A5" s="4"/>
      <c r="B5" s="4"/>
      <c r="C5" s="4"/>
      <c r="D5" s="4"/>
      <c r="E5" s="4"/>
      <c r="F5" s="4"/>
    </row>
    <row r="6" spans="1:10" x14ac:dyDescent="0.2">
      <c r="A6" s="4"/>
      <c r="B6" s="4"/>
      <c r="C6" s="4"/>
      <c r="D6" s="4"/>
      <c r="E6" s="4"/>
      <c r="F6" s="4"/>
    </row>
    <row r="7" spans="1:10" x14ac:dyDescent="0.2">
      <c r="A7" s="4"/>
      <c r="B7" s="4"/>
      <c r="C7" s="4"/>
      <c r="D7" s="4"/>
      <c r="E7" s="4"/>
      <c r="F7" s="4"/>
    </row>
    <row r="8" spans="1:10" x14ac:dyDescent="0.2">
      <c r="A8" s="4"/>
      <c r="B8" s="4"/>
      <c r="C8" s="4"/>
      <c r="D8" s="4"/>
      <c r="E8" s="4"/>
      <c r="F8" s="4"/>
    </row>
    <row r="9" spans="1:10" x14ac:dyDescent="0.2">
      <c r="A9" s="4"/>
      <c r="B9" s="4"/>
      <c r="C9" s="4"/>
      <c r="D9" s="4"/>
      <c r="E9" s="4"/>
      <c r="F9" s="4"/>
    </row>
    <row r="10" spans="1:10" x14ac:dyDescent="0.2">
      <c r="A10" s="4"/>
      <c r="B10" s="4"/>
      <c r="C10" s="4"/>
      <c r="D10" s="4"/>
      <c r="E10" s="4"/>
      <c r="F10" s="4"/>
    </row>
    <row r="11" spans="1:10" x14ac:dyDescent="0.2">
      <c r="A11" s="4"/>
      <c r="B11" s="4"/>
      <c r="C11" s="4"/>
      <c r="D11" s="4"/>
      <c r="E11" s="4"/>
      <c r="F11" s="4"/>
    </row>
    <row r="12" spans="1:10" x14ac:dyDescent="0.2">
      <c r="A12" s="4"/>
      <c r="B12" s="4"/>
      <c r="C12" s="4"/>
      <c r="D12" s="4"/>
      <c r="E12" s="4"/>
      <c r="F12" s="4"/>
    </row>
    <row r="13" spans="1:10" x14ac:dyDescent="0.2">
      <c r="A13" s="4"/>
      <c r="B13" s="4"/>
      <c r="C13" s="4"/>
      <c r="D13" s="4"/>
      <c r="E13" s="4"/>
      <c r="F13" s="4"/>
    </row>
    <row r="14" spans="1:10" x14ac:dyDescent="0.2">
      <c r="A14" s="4"/>
      <c r="B14" s="4"/>
      <c r="C14" s="4"/>
      <c r="D14" s="4"/>
      <c r="E14" s="4"/>
      <c r="F14" s="4"/>
    </row>
    <row r="15" spans="1:10" x14ac:dyDescent="0.2">
      <c r="A15" s="4"/>
      <c r="B15" s="4"/>
      <c r="C15" s="4"/>
      <c r="D15" s="4"/>
      <c r="E15" s="4"/>
      <c r="F15" s="4"/>
    </row>
    <row r="16" spans="1:10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5"/>
    </row>
    <row r="22" spans="1:6" x14ac:dyDescent="0.2">
      <c r="A22" s="5"/>
    </row>
    <row r="23" spans="1:6" ht="16.5" customHeight="1" x14ac:dyDescent="0.2">
      <c r="A23" s="5"/>
    </row>
    <row r="24" spans="1:6" ht="16.5" customHeight="1" x14ac:dyDescent="0.2">
      <c r="A24" s="5"/>
    </row>
    <row r="25" spans="1:6" ht="9.75" customHeight="1" x14ac:dyDescent="0.2">
      <c r="A25" s="5"/>
    </row>
    <row r="26" spans="1:6" x14ac:dyDescent="0.2">
      <c r="A26" s="5"/>
    </row>
    <row r="27" spans="1:6" x14ac:dyDescent="0.2">
      <c r="A27" s="92" t="s">
        <v>106</v>
      </c>
      <c r="B27" s="37" t="s">
        <v>44</v>
      </c>
    </row>
    <row r="28" spans="1:6" x14ac:dyDescent="0.2">
      <c r="A28" s="113" t="s">
        <v>77</v>
      </c>
      <c r="B28" s="108">
        <v>16.600000000000001</v>
      </c>
    </row>
    <row r="29" spans="1:6" ht="13.5" customHeight="1" x14ac:dyDescent="0.2">
      <c r="A29" s="114" t="s">
        <v>65</v>
      </c>
      <c r="B29" s="34">
        <v>6.3</v>
      </c>
    </row>
    <row r="30" spans="1:6" x14ac:dyDescent="0.2">
      <c r="A30" s="114" t="s">
        <v>75</v>
      </c>
      <c r="B30" s="34">
        <v>5.9</v>
      </c>
    </row>
    <row r="31" spans="1:6" x14ac:dyDescent="0.2">
      <c r="A31" s="114" t="s">
        <v>70</v>
      </c>
      <c r="B31" s="34">
        <v>8.9</v>
      </c>
    </row>
    <row r="32" spans="1:6" x14ac:dyDescent="0.2">
      <c r="A32" s="114" t="s">
        <v>78</v>
      </c>
      <c r="B32" s="34">
        <v>3.6</v>
      </c>
    </row>
    <row r="33" spans="1:5" x14ac:dyDescent="0.2">
      <c r="A33" s="114" t="s">
        <v>64</v>
      </c>
      <c r="B33" s="34">
        <v>3</v>
      </c>
    </row>
    <row r="34" spans="1:5" x14ac:dyDescent="0.2">
      <c r="A34" s="114" t="s">
        <v>73</v>
      </c>
      <c r="B34" s="34">
        <v>2.7</v>
      </c>
    </row>
    <row r="35" spans="1:5" x14ac:dyDescent="0.2">
      <c r="A35" s="114" t="s">
        <v>80</v>
      </c>
      <c r="B35" s="34">
        <v>2.1</v>
      </c>
    </row>
    <row r="36" spans="1:5" x14ac:dyDescent="0.2">
      <c r="A36" s="114" t="s">
        <v>71</v>
      </c>
      <c r="B36" s="34">
        <v>3.3</v>
      </c>
    </row>
    <row r="37" spans="1:5" x14ac:dyDescent="0.2">
      <c r="A37" s="114" t="s">
        <v>61</v>
      </c>
      <c r="B37" s="34">
        <v>2</v>
      </c>
    </row>
    <row r="38" spans="1:5" x14ac:dyDescent="0.2">
      <c r="A38" s="114" t="s">
        <v>67</v>
      </c>
      <c r="B38" s="34">
        <v>2.2000000000000002</v>
      </c>
    </row>
    <row r="39" spans="1:5" x14ac:dyDescent="0.2">
      <c r="A39" s="114" t="s">
        <v>91</v>
      </c>
      <c r="B39" s="34">
        <v>2.2999999999999998</v>
      </c>
    </row>
    <row r="40" spans="1:5" x14ac:dyDescent="0.2">
      <c r="A40" s="114" t="s">
        <v>76</v>
      </c>
      <c r="B40" s="34">
        <v>1.9</v>
      </c>
    </row>
    <row r="41" spans="1:5" x14ac:dyDescent="0.2">
      <c r="A41" s="115" t="s">
        <v>68</v>
      </c>
      <c r="B41" s="36">
        <v>39.200000000000003</v>
      </c>
    </row>
    <row r="42" spans="1:5" x14ac:dyDescent="0.2">
      <c r="A42" s="100"/>
      <c r="B42" s="33"/>
    </row>
    <row r="43" spans="1:5" ht="11.25" customHeight="1" x14ac:dyDescent="0.2">
      <c r="A43" s="92" t="s">
        <v>107</v>
      </c>
      <c r="B43" s="101" t="s">
        <v>44</v>
      </c>
    </row>
    <row r="44" spans="1:5" ht="12.75" customHeight="1" x14ac:dyDescent="0.2">
      <c r="A44" s="116" t="s">
        <v>77</v>
      </c>
      <c r="B44" s="109">
        <v>15.5</v>
      </c>
      <c r="E44" s="96"/>
    </row>
    <row r="45" spans="1:5" ht="12.75" customHeight="1" x14ac:dyDescent="0.2">
      <c r="A45" s="117" t="s">
        <v>65</v>
      </c>
      <c r="B45" s="110">
        <v>7.7</v>
      </c>
      <c r="E45" s="96"/>
    </row>
    <row r="46" spans="1:5" ht="12.75" customHeight="1" x14ac:dyDescent="0.2">
      <c r="A46" s="117" t="s">
        <v>75</v>
      </c>
      <c r="B46" s="110">
        <v>7.1</v>
      </c>
      <c r="E46" s="96"/>
    </row>
    <row r="47" spans="1:5" ht="12.75" customHeight="1" x14ac:dyDescent="0.2">
      <c r="A47" s="117" t="s">
        <v>70</v>
      </c>
      <c r="B47" s="110">
        <v>6.3</v>
      </c>
      <c r="E47" s="96"/>
    </row>
    <row r="48" spans="1:5" ht="12.75" customHeight="1" x14ac:dyDescent="0.2">
      <c r="A48" s="117" t="s">
        <v>78</v>
      </c>
      <c r="B48" s="110">
        <v>3.5</v>
      </c>
      <c r="E48" s="96"/>
    </row>
    <row r="49" spans="1:5" ht="12.75" customHeight="1" x14ac:dyDescent="0.2">
      <c r="A49" s="117" t="s">
        <v>64</v>
      </c>
      <c r="B49" s="110">
        <v>3.5</v>
      </c>
      <c r="E49" s="96"/>
    </row>
    <row r="50" spans="1:5" ht="12.75" customHeight="1" x14ac:dyDescent="0.2">
      <c r="A50" s="117" t="s">
        <v>73</v>
      </c>
      <c r="B50" s="110">
        <v>2.9</v>
      </c>
      <c r="E50" s="96"/>
    </row>
    <row r="51" spans="1:5" ht="12.75" customHeight="1" x14ac:dyDescent="0.2">
      <c r="A51" s="117" t="s">
        <v>80</v>
      </c>
      <c r="B51" s="111">
        <v>2.6</v>
      </c>
      <c r="E51" s="96"/>
    </row>
    <row r="52" spans="1:5" ht="12.75" customHeight="1" x14ac:dyDescent="0.2">
      <c r="A52" s="117" t="s">
        <v>71</v>
      </c>
      <c r="B52" s="111">
        <v>2.6</v>
      </c>
      <c r="E52" s="96"/>
    </row>
    <row r="53" spans="1:5" ht="12.75" customHeight="1" x14ac:dyDescent="0.2">
      <c r="A53" s="117" t="s">
        <v>61</v>
      </c>
      <c r="B53" s="111">
        <v>2.5</v>
      </c>
      <c r="E53" s="96"/>
    </row>
    <row r="54" spans="1:5" ht="12.75" customHeight="1" x14ac:dyDescent="0.2">
      <c r="A54" s="117" t="s">
        <v>67</v>
      </c>
      <c r="B54" s="111">
        <v>2.4</v>
      </c>
      <c r="E54" s="96"/>
    </row>
    <row r="55" spans="1:5" ht="12.75" customHeight="1" x14ac:dyDescent="0.2">
      <c r="A55" s="117" t="s">
        <v>91</v>
      </c>
      <c r="B55" s="111">
        <v>2.2999999999999998</v>
      </c>
      <c r="E55" s="96"/>
    </row>
    <row r="56" spans="1:5" ht="12.75" customHeight="1" x14ac:dyDescent="0.2">
      <c r="A56" s="117" t="s">
        <v>76</v>
      </c>
      <c r="B56" s="111">
        <v>2.1</v>
      </c>
      <c r="E56" s="96"/>
    </row>
    <row r="57" spans="1:5" ht="12.75" customHeight="1" x14ac:dyDescent="0.2">
      <c r="A57" s="118" t="s">
        <v>68</v>
      </c>
      <c r="B57" s="112">
        <v>39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8"/>
  <sheetViews>
    <sheetView workbookViewId="0">
      <selection activeCell="A2" sqref="A2:M2"/>
    </sheetView>
  </sheetViews>
  <sheetFormatPr defaultRowHeight="12" x14ac:dyDescent="0.2"/>
  <cols>
    <col min="1" max="1" width="9.140625" style="3"/>
    <col min="2" max="2" width="9.85546875" style="3" customWidth="1"/>
    <col min="3" max="3" width="9.7109375" style="3" customWidth="1"/>
    <col min="4" max="4" width="10" style="3" customWidth="1"/>
    <col min="5" max="6" width="9.7109375" style="3" customWidth="1"/>
    <col min="7" max="7" width="9.5703125" style="3" customWidth="1"/>
    <col min="8" max="9" width="9.140625" style="3"/>
    <col min="10" max="10" width="10.7109375" style="3" customWidth="1"/>
    <col min="11" max="11" width="10.85546875" style="3" customWidth="1"/>
    <col min="12" max="12" width="10.42578125" style="3" customWidth="1"/>
    <col min="13" max="13" width="10.5703125" style="3" customWidth="1"/>
    <col min="14" max="16384" width="9.140625" style="3"/>
  </cols>
  <sheetData>
    <row r="2" spans="1:13" ht="12.75" x14ac:dyDescent="0.2">
      <c r="A2" s="142" t="s">
        <v>88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6" t="s">
        <v>0</v>
      </c>
      <c r="B22" s="37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-154</v>
      </c>
      <c r="C23" s="33">
        <v>-212.1</v>
      </c>
      <c r="D23" s="33">
        <v>-282</v>
      </c>
      <c r="E23" s="33">
        <v>-244.9</v>
      </c>
      <c r="F23" s="33">
        <v>-282.60000000000002</v>
      </c>
      <c r="G23" s="33">
        <v>-244.6</v>
      </c>
      <c r="H23" s="33">
        <v>-269.2</v>
      </c>
      <c r="I23" s="33">
        <v>-262.10000000000002</v>
      </c>
      <c r="J23" s="33">
        <v>-266.7</v>
      </c>
      <c r="K23" s="33">
        <v>-281.60000000000002</v>
      </c>
      <c r="L23" s="33">
        <v>-253.70000000000005</v>
      </c>
      <c r="M23" s="34">
        <v>-300.49999999999994</v>
      </c>
    </row>
    <row r="24" spans="1:13" x14ac:dyDescent="0.2">
      <c r="A24" s="28">
        <v>2019</v>
      </c>
      <c r="B24" s="33">
        <v>-138.30000000000001</v>
      </c>
      <c r="C24" s="33">
        <v>-217.9</v>
      </c>
      <c r="D24" s="33">
        <v>-276.60000000000002</v>
      </c>
      <c r="E24" s="33">
        <v>-300</v>
      </c>
      <c r="F24" s="33">
        <v>-271.10000000000002</v>
      </c>
      <c r="G24" s="33">
        <v>-243.2</v>
      </c>
      <c r="H24" s="33">
        <v>-278.89999999999998</v>
      </c>
      <c r="I24" s="33">
        <v>-258.5</v>
      </c>
      <c r="J24" s="33">
        <v>-262.89999999999998</v>
      </c>
      <c r="K24" s="33">
        <v>-257</v>
      </c>
      <c r="L24" s="33">
        <v>-237.5</v>
      </c>
      <c r="M24" s="34">
        <v>-321.39999999999998</v>
      </c>
    </row>
    <row r="25" spans="1:13" x14ac:dyDescent="0.2">
      <c r="A25" s="28">
        <v>2020</v>
      </c>
      <c r="B25" s="33">
        <v>-160.30000000000001</v>
      </c>
      <c r="C25" s="33">
        <v>-239.5</v>
      </c>
      <c r="D25" s="33">
        <v>-290.3</v>
      </c>
      <c r="E25" s="33">
        <v>-135.80000000000001</v>
      </c>
      <c r="F25" s="33">
        <v>-173.7</v>
      </c>
      <c r="G25" s="33">
        <v>-223.9</v>
      </c>
      <c r="H25" s="33">
        <v>-305.5</v>
      </c>
      <c r="I25" s="33">
        <v>-269.7</v>
      </c>
      <c r="J25" s="33">
        <v>-296</v>
      </c>
      <c r="K25" s="33">
        <v>-244.2</v>
      </c>
      <c r="L25" s="33">
        <v>-260.89999999999998</v>
      </c>
      <c r="M25" s="34">
        <v>-349</v>
      </c>
    </row>
    <row r="26" spans="1:13" x14ac:dyDescent="0.2">
      <c r="A26" s="28">
        <v>2021</v>
      </c>
      <c r="B26" s="33">
        <v>-201</v>
      </c>
      <c r="C26" s="33">
        <v>-294.39999999999998</v>
      </c>
      <c r="D26" s="33">
        <v>-370.8</v>
      </c>
      <c r="E26" s="33">
        <v>-344</v>
      </c>
      <c r="F26" s="33">
        <v>-361.7</v>
      </c>
      <c r="G26" s="33">
        <v>-362.8</v>
      </c>
      <c r="H26" s="33">
        <v>-321.3</v>
      </c>
      <c r="I26" s="33">
        <v>-338.6</v>
      </c>
      <c r="J26" s="33">
        <v>-376.3</v>
      </c>
      <c r="K26" s="33">
        <v>-294.60000000000002</v>
      </c>
      <c r="L26" s="33">
        <v>-337.6</v>
      </c>
      <c r="M26" s="34">
        <v>-429.2</v>
      </c>
    </row>
    <row r="27" spans="1:13" x14ac:dyDescent="0.2">
      <c r="A27" s="28">
        <v>2022</v>
      </c>
      <c r="B27" s="33">
        <v>-291.3</v>
      </c>
      <c r="C27" s="33">
        <v>-332.6</v>
      </c>
      <c r="D27" s="33">
        <v>-352.5</v>
      </c>
      <c r="E27" s="33">
        <v>-374.1</v>
      </c>
      <c r="F27" s="33">
        <v>-356.7</v>
      </c>
      <c r="G27" s="33">
        <v>-352</v>
      </c>
      <c r="H27" s="33">
        <v>-422.9</v>
      </c>
      <c r="I27" s="33">
        <v>-450.6</v>
      </c>
      <c r="J27" s="33">
        <v>-525.29999999999995</v>
      </c>
      <c r="K27" s="33">
        <v>-399.2</v>
      </c>
      <c r="L27" s="33">
        <v>-502.9</v>
      </c>
      <c r="M27" s="34">
        <v>-526.79999999999995</v>
      </c>
    </row>
    <row r="28" spans="1:13" x14ac:dyDescent="0.2">
      <c r="A28" s="29">
        <v>2023</v>
      </c>
      <c r="B28" s="10">
        <v>-402.2</v>
      </c>
      <c r="C28" s="10">
        <v>-396.5</v>
      </c>
      <c r="D28" s="35">
        <v>-436.2</v>
      </c>
      <c r="E28" s="35">
        <v>-373.32</v>
      </c>
      <c r="F28" s="35">
        <v>-372.7</v>
      </c>
      <c r="G28" s="35">
        <v>-348.9</v>
      </c>
      <c r="H28" s="35">
        <v>-335.3</v>
      </c>
      <c r="I28" s="35">
        <v>-377.3</v>
      </c>
      <c r="J28" s="35">
        <v>-354</v>
      </c>
      <c r="K28" s="35">
        <v>-371.9</v>
      </c>
      <c r="L28" s="35">
        <v>-353.1</v>
      </c>
      <c r="M28" s="36"/>
    </row>
  </sheetData>
  <mergeCells count="1">
    <mergeCell ref="A2:M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34"/>
  <sheetViews>
    <sheetView zoomScaleNormal="100" workbookViewId="0">
      <selection activeCell="A2" sqref="A2:F2"/>
    </sheetView>
  </sheetViews>
  <sheetFormatPr defaultRowHeight="12" x14ac:dyDescent="0.2"/>
  <cols>
    <col min="1" max="1" width="22.5703125" style="3" customWidth="1"/>
    <col min="2" max="2" width="21.5703125" style="3" customWidth="1"/>
    <col min="3" max="3" width="21.42578125" style="3" customWidth="1"/>
    <col min="4" max="4" width="22.140625" style="3" customWidth="1"/>
    <col min="5" max="16384" width="9.140625" style="3"/>
  </cols>
  <sheetData>
    <row r="2" spans="1:13" ht="12.75" x14ac:dyDescent="0.2">
      <c r="A2" s="146" t="s">
        <v>116</v>
      </c>
      <c r="B2" s="146"/>
      <c r="C2" s="146"/>
      <c r="D2" s="146"/>
      <c r="E2" s="146"/>
      <c r="F2" s="146"/>
      <c r="G2" s="39"/>
      <c r="H2" s="39"/>
      <c r="I2" s="39"/>
      <c r="J2" s="39"/>
      <c r="K2" s="39"/>
      <c r="L2" s="39"/>
      <c r="M2" s="39"/>
    </row>
    <row r="3" spans="1:13" x14ac:dyDescent="0.2">
      <c r="A3" s="73"/>
      <c r="B3" s="73"/>
      <c r="C3" s="73"/>
      <c r="D3" s="73"/>
      <c r="E3" s="73"/>
      <c r="F3" s="73"/>
      <c r="G3" s="39"/>
      <c r="H3" s="39"/>
      <c r="I3" s="39"/>
      <c r="J3" s="39"/>
      <c r="K3" s="39"/>
      <c r="L3" s="39"/>
      <c r="M3" s="39"/>
    </row>
    <row r="4" spans="1:13" ht="19.5" customHeight="1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7" spans="1:6" ht="15.75" customHeight="1" x14ac:dyDescent="0.2">
      <c r="A27" s="90" t="s">
        <v>51</v>
      </c>
      <c r="B27" s="21" t="s">
        <v>52</v>
      </c>
      <c r="C27" s="21" t="s">
        <v>53</v>
      </c>
      <c r="D27" s="22" t="s">
        <v>54</v>
      </c>
    </row>
    <row r="28" spans="1:6" ht="15.75" customHeight="1" x14ac:dyDescent="0.2">
      <c r="A28" s="88" t="s">
        <v>105</v>
      </c>
      <c r="B28" s="33">
        <v>2487.3000000000002</v>
      </c>
      <c r="C28" s="33">
        <v>5240.7</v>
      </c>
      <c r="D28" s="15">
        <v>-2753.3999999999996</v>
      </c>
    </row>
    <row r="29" spans="1:6" ht="15.75" customHeight="1" x14ac:dyDescent="0.2">
      <c r="A29" s="89" t="s">
        <v>104</v>
      </c>
      <c r="B29" s="33">
        <v>2560.9</v>
      </c>
      <c r="C29" s="33">
        <v>5302.8</v>
      </c>
      <c r="D29" s="15">
        <v>-2741.9</v>
      </c>
    </row>
    <row r="30" spans="1:6" ht="15.75" customHeight="1" x14ac:dyDescent="0.2">
      <c r="A30" s="89" t="s">
        <v>103</v>
      </c>
      <c r="B30" s="33">
        <v>2248.9</v>
      </c>
      <c r="C30" s="33">
        <v>4848.7</v>
      </c>
      <c r="D30" s="15">
        <v>-2599.7999999999997</v>
      </c>
    </row>
    <row r="31" spans="1:6" ht="15.75" customHeight="1" x14ac:dyDescent="0.2">
      <c r="A31" s="89" t="s">
        <v>102</v>
      </c>
      <c r="B31" s="33">
        <v>2819.5</v>
      </c>
      <c r="C31" s="33">
        <v>6422.6</v>
      </c>
      <c r="D31" s="15">
        <v>-3603.1000000000004</v>
      </c>
    </row>
    <row r="32" spans="1:6" ht="15.75" customHeight="1" x14ac:dyDescent="0.2">
      <c r="A32" s="89" t="s">
        <v>101</v>
      </c>
      <c r="B32" s="33">
        <v>3985.2</v>
      </c>
      <c r="C32" s="33">
        <v>8345.2000000000007</v>
      </c>
      <c r="D32" s="15">
        <v>-4360.0000000000009</v>
      </c>
    </row>
    <row r="33" spans="1:4" ht="15.75" customHeight="1" x14ac:dyDescent="0.2">
      <c r="A33" s="89" t="s">
        <v>100</v>
      </c>
      <c r="B33" s="33">
        <v>3737.3</v>
      </c>
      <c r="C33" s="33">
        <v>7858.7</v>
      </c>
      <c r="D33" s="15">
        <v>-4121.3999999999996</v>
      </c>
    </row>
    <row r="34" spans="1:4" x14ac:dyDescent="0.2">
      <c r="A34" s="1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38"/>
  <sheetViews>
    <sheetView workbookViewId="0">
      <selection activeCell="A2" sqref="A2:S2"/>
    </sheetView>
  </sheetViews>
  <sheetFormatPr defaultRowHeight="12" x14ac:dyDescent="0.2"/>
  <cols>
    <col min="1" max="1" width="17.85546875" style="3" customWidth="1"/>
    <col min="2" max="2" width="5" style="3" customWidth="1"/>
    <col min="3" max="3" width="5.85546875" style="3" customWidth="1"/>
    <col min="4" max="4" width="5.7109375" style="3" customWidth="1"/>
    <col min="5" max="5" width="5.85546875" style="3" customWidth="1"/>
    <col min="6" max="6" width="6.140625" style="3" customWidth="1"/>
    <col min="7" max="8" width="5.5703125" style="3" customWidth="1"/>
    <col min="9" max="9" width="5.42578125" style="3" customWidth="1"/>
    <col min="10" max="10" width="5.7109375" style="3" customWidth="1"/>
    <col min="11" max="11" width="5.5703125" style="3" customWidth="1"/>
    <col min="12" max="12" width="6.140625" style="3" customWidth="1"/>
    <col min="13" max="13" width="6.5703125" style="3" customWidth="1"/>
    <col min="14" max="16" width="6" style="3" customWidth="1"/>
    <col min="17" max="17" width="5.85546875" style="3" customWidth="1"/>
    <col min="18" max="18" width="6.42578125" style="3" customWidth="1"/>
    <col min="19" max="19" width="5.85546875" style="3" customWidth="1"/>
    <col min="20" max="20" width="6.42578125" style="3" customWidth="1"/>
    <col min="21" max="21" width="6" style="3" customWidth="1"/>
    <col min="22" max="22" width="5.85546875" style="3" customWidth="1"/>
    <col min="23" max="23" width="6.85546875" style="3" customWidth="1"/>
    <col min="24" max="24" width="6.140625" style="3" customWidth="1"/>
    <col min="25" max="25" width="7.42578125" style="3" customWidth="1"/>
    <col min="26" max="33" width="5.7109375" style="3" customWidth="1"/>
    <col min="34" max="35" width="6.140625" style="3" customWidth="1"/>
    <col min="36" max="36" width="6.28515625" style="3" customWidth="1"/>
    <col min="37" max="16384" width="9.140625" style="3"/>
  </cols>
  <sheetData>
    <row r="2" spans="1:19" ht="15.75" customHeight="1" x14ac:dyDescent="0.2">
      <c r="A2" s="142" t="s">
        <v>85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9" ht="14.25" customHeight="1" x14ac:dyDescent="0.2">
      <c r="A4" s="4"/>
    </row>
    <row r="5" spans="1:19" ht="14.25" customHeight="1" x14ac:dyDescent="0.2">
      <c r="A5" s="4"/>
    </row>
    <row r="6" spans="1:19" ht="15" customHeight="1" x14ac:dyDescent="0.2">
      <c r="A6" s="4"/>
    </row>
    <row r="7" spans="1:19" ht="16.5" customHeight="1" x14ac:dyDescent="0.2">
      <c r="A7" s="4"/>
    </row>
    <row r="8" spans="1:19" ht="15" customHeight="1" x14ac:dyDescent="0.2">
      <c r="A8" s="4"/>
    </row>
    <row r="9" spans="1:19" ht="14.25" customHeight="1" x14ac:dyDescent="0.2">
      <c r="A9" s="4"/>
    </row>
    <row r="10" spans="1:19" ht="13.5" customHeight="1" x14ac:dyDescent="0.2">
      <c r="A10" s="4"/>
    </row>
    <row r="11" spans="1:19" ht="17.25" customHeight="1" x14ac:dyDescent="0.2">
      <c r="A11" s="4"/>
    </row>
    <row r="12" spans="1:19" ht="17.25" customHeight="1" x14ac:dyDescent="0.2">
      <c r="A12" s="4"/>
    </row>
    <row r="13" spans="1:19" ht="16.5" customHeight="1" x14ac:dyDescent="0.2">
      <c r="A13" s="4"/>
    </row>
    <row r="14" spans="1:19" ht="15" customHeight="1" x14ac:dyDescent="0.2">
      <c r="A14" s="4"/>
    </row>
    <row r="15" spans="1:19" ht="15" customHeight="1" x14ac:dyDescent="0.2">
      <c r="A15" s="4"/>
    </row>
    <row r="16" spans="1:19" ht="15.75" customHeight="1" x14ac:dyDescent="0.2">
      <c r="A16" s="4"/>
    </row>
    <row r="17" spans="1:36" ht="22.5" customHeight="1" x14ac:dyDescent="0.2">
      <c r="A17" s="4"/>
    </row>
    <row r="18" spans="1:36" x14ac:dyDescent="0.2">
      <c r="A18" s="4"/>
    </row>
    <row r="19" spans="1:36" x14ac:dyDescent="0.2">
      <c r="A19" s="5"/>
    </row>
    <row r="20" spans="1:36" x14ac:dyDescent="0.2">
      <c r="A20" s="5"/>
    </row>
    <row r="21" spans="1:36" x14ac:dyDescent="0.2">
      <c r="A21" s="5"/>
    </row>
    <row r="22" spans="1:36" ht="19.5" customHeight="1" x14ac:dyDescent="0.2">
      <c r="A22" s="5"/>
    </row>
    <row r="23" spans="1:36" ht="15" customHeight="1" x14ac:dyDescent="0.2">
      <c r="A23" s="137"/>
      <c r="B23" s="139">
        <v>2021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1"/>
      <c r="N23" s="139">
        <v>2022</v>
      </c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1"/>
      <c r="Z23" s="143">
        <v>2023</v>
      </c>
      <c r="AA23" s="144"/>
      <c r="AB23" s="144"/>
      <c r="AC23" s="144"/>
      <c r="AD23" s="144"/>
      <c r="AE23" s="144"/>
      <c r="AF23" s="144"/>
      <c r="AG23" s="144"/>
      <c r="AH23" s="144"/>
      <c r="AI23" s="144"/>
      <c r="AJ23" s="145"/>
    </row>
    <row r="24" spans="1:36" x14ac:dyDescent="0.2">
      <c r="A24" s="138"/>
      <c r="B24" s="20" t="s">
        <v>13</v>
      </c>
      <c r="C24" s="54" t="s">
        <v>14</v>
      </c>
      <c r="D24" s="20" t="s">
        <v>15</v>
      </c>
      <c r="E24" s="20" t="s">
        <v>16</v>
      </c>
      <c r="F24" s="20" t="s">
        <v>17</v>
      </c>
      <c r="G24" s="20" t="s">
        <v>22</v>
      </c>
      <c r="H24" s="20" t="s">
        <v>18</v>
      </c>
      <c r="I24" s="20" t="s">
        <v>23</v>
      </c>
      <c r="J24" s="47" t="s">
        <v>19</v>
      </c>
      <c r="K24" s="27" t="s">
        <v>24</v>
      </c>
      <c r="L24" s="27" t="s">
        <v>20</v>
      </c>
      <c r="M24" s="27" t="s">
        <v>21</v>
      </c>
      <c r="N24" s="85" t="s">
        <v>13</v>
      </c>
      <c r="O24" s="85" t="s">
        <v>14</v>
      </c>
      <c r="P24" s="86" t="s">
        <v>15</v>
      </c>
      <c r="Q24" s="78" t="s">
        <v>16</v>
      </c>
      <c r="R24" s="57" t="s">
        <v>17</v>
      </c>
      <c r="S24" s="57" t="s">
        <v>22</v>
      </c>
      <c r="T24" s="57" t="s">
        <v>18</v>
      </c>
      <c r="U24" s="57" t="s">
        <v>23</v>
      </c>
      <c r="V24" s="57" t="s">
        <v>19</v>
      </c>
      <c r="W24" s="57" t="s">
        <v>24</v>
      </c>
      <c r="X24" s="57" t="s">
        <v>20</v>
      </c>
      <c r="Y24" s="57" t="s">
        <v>21</v>
      </c>
      <c r="Z24" s="57" t="s">
        <v>13</v>
      </c>
      <c r="AA24" s="57" t="s">
        <v>14</v>
      </c>
      <c r="AB24" s="78" t="s">
        <v>15</v>
      </c>
      <c r="AC24" s="21" t="s">
        <v>16</v>
      </c>
      <c r="AD24" s="104" t="s">
        <v>17</v>
      </c>
      <c r="AE24" s="85" t="s">
        <v>22</v>
      </c>
      <c r="AF24" s="85" t="s">
        <v>18</v>
      </c>
      <c r="AG24" s="85" t="s">
        <v>23</v>
      </c>
      <c r="AH24" s="2" t="s">
        <v>19</v>
      </c>
      <c r="AI24" s="85" t="s">
        <v>24</v>
      </c>
      <c r="AJ24" s="27" t="s">
        <v>20</v>
      </c>
    </row>
    <row r="25" spans="1:36" ht="28.5" customHeight="1" x14ac:dyDescent="0.2">
      <c r="A25" s="13" t="s">
        <v>55</v>
      </c>
      <c r="B25" s="15">
        <v>90.925213233797848</v>
      </c>
      <c r="C25" s="15">
        <v>114.41147354263464</v>
      </c>
      <c r="D25" s="15">
        <v>114.20579997969134</v>
      </c>
      <c r="E25" s="15">
        <v>84.167356355788357</v>
      </c>
      <c r="F25" s="15">
        <v>92.421884276527052</v>
      </c>
      <c r="G25" s="15">
        <v>112.45124175218632</v>
      </c>
      <c r="H25" s="15">
        <v>106.13290668113962</v>
      </c>
      <c r="I25" s="15">
        <v>98.163759117159898</v>
      </c>
      <c r="J25" s="15">
        <v>124.79747973247373</v>
      </c>
      <c r="K25" s="15">
        <v>119.44752327758337</v>
      </c>
      <c r="L25" s="15">
        <v>103.29810746017232</v>
      </c>
      <c r="M25" s="11">
        <v>89.310814590947814</v>
      </c>
      <c r="N25" s="55">
        <v>101.65548055101389</v>
      </c>
      <c r="O25" s="14">
        <v>101.84864374682041</v>
      </c>
      <c r="P25" s="14">
        <v>117.64360095679429</v>
      </c>
      <c r="Q25" s="56">
        <v>100.12867315249881</v>
      </c>
      <c r="R25" s="14">
        <v>104.95231951698101</v>
      </c>
      <c r="S25" s="14">
        <v>100.11263227721525</v>
      </c>
      <c r="T25" s="14">
        <v>81.219091406345484</v>
      </c>
      <c r="U25" s="14">
        <v>97.395817403540036</v>
      </c>
      <c r="V25" s="14">
        <v>96.775293757579718</v>
      </c>
      <c r="W25" s="14">
        <v>110.39404185134238</v>
      </c>
      <c r="X25" s="14">
        <v>100.990226814244</v>
      </c>
      <c r="Y25" s="11">
        <v>97.626571809884439</v>
      </c>
      <c r="Z25" s="55">
        <v>95.423145055942825</v>
      </c>
      <c r="AA25" s="14">
        <v>107.53426155303467</v>
      </c>
      <c r="AB25" s="14">
        <v>108.10569775638508</v>
      </c>
      <c r="AC25" s="15">
        <v>82.457500951649791</v>
      </c>
      <c r="AD25" s="14">
        <v>106.03224634475339</v>
      </c>
      <c r="AE25" s="14">
        <v>94.094313438764019</v>
      </c>
      <c r="AF25" s="14">
        <v>96.062601900370808</v>
      </c>
      <c r="AG25" s="14">
        <v>105.70970185102763</v>
      </c>
      <c r="AH25" s="14">
        <v>108.24618309689178</v>
      </c>
      <c r="AI25" s="14">
        <v>98.195823302702834</v>
      </c>
      <c r="AJ25" s="11">
        <v>110.91874480343407</v>
      </c>
    </row>
    <row r="26" spans="1:36" ht="40.5" customHeight="1" x14ac:dyDescent="0.2">
      <c r="A26" s="18" t="s">
        <v>56</v>
      </c>
      <c r="B26" s="19">
        <f>IF(219472.10441="","-",198437.26393/219472.10441*100)</f>
        <v>90.415711128050958</v>
      </c>
      <c r="C26" s="10">
        <f>IF(245324.45574="","-",227034.99772/245324.45574*100)</f>
        <v>92.544788099159774</v>
      </c>
      <c r="D26" s="10">
        <f>IF(210230.63314="","-",259287.13538/210230.63314*100)</f>
        <v>123.33461185332185</v>
      </c>
      <c r="E26" s="10">
        <f>IF(149859.83301="","-",218235.12722/149859.83301*100)</f>
        <v>145.62616468779689</v>
      </c>
      <c r="F26" s="10">
        <f>IF(155710.73078="","-",201697.01673/155710.73078*100)</f>
        <v>129.53315145310887</v>
      </c>
      <c r="G26" s="10">
        <f>IF(189578.77956="","-",226810.79989/189578.77956*100)</f>
        <v>119.63933960141166</v>
      </c>
      <c r="H26" s="10">
        <f>IF(191130.33065="","-",240720.89459/191130.33065*100)</f>
        <v>125.94594158412818</v>
      </c>
      <c r="I26" s="10">
        <f>IF(163909.5874="","-",236300.67911/163909.5874*100)</f>
        <v>144.1652577242715</v>
      </c>
      <c r="J26" s="10">
        <f>IF(212259.13319="","-",294897.29212/212259.13319*100)</f>
        <v>138.93267521074247</v>
      </c>
      <c r="K26" s="10">
        <f>IF(249353.22858="","-",352247.51165/249353.22858*100)</f>
        <v>141.26446794210585</v>
      </c>
      <c r="L26" s="10">
        <f>IF(262034.9772="","-",363865.01311/262034.9772*100)</f>
        <v>138.86123791492062</v>
      </c>
      <c r="M26" s="12">
        <f>IF(218242.28602="","-",324970.80722/218242.28602*100)</f>
        <v>148.90368550768355</v>
      </c>
      <c r="N26" s="19">
        <f>IF(198437.26393="","-",330345.74715/198437.26393*100)</f>
        <v>166.47364542706634</v>
      </c>
      <c r="O26" s="10">
        <f>IF(227034.99772="","-",336464.33268/227034.99772*100)</f>
        <v>148.19932435921535</v>
      </c>
      <c r="P26" s="10">
        <f>IF(259287.13538="","-",395828.7569/259287.13538*100)</f>
        <v>152.66039185472528</v>
      </c>
      <c r="Q26" s="10">
        <f>IF(218235.12722="","-",396338.08224/218235.12722*100)</f>
        <v>181.61058088529293</v>
      </c>
      <c r="R26" s="10">
        <f>IF(201697.01673="","-",415966.01044/201697.01673*100)</f>
        <v>206.23310011413275</v>
      </c>
      <c r="S26" s="10">
        <f>IF(226810.79989="","-",416434.52243/226810.79989*100)</f>
        <v>183.60436215205132</v>
      </c>
      <c r="T26" s="10">
        <f>IF(240720.89459="","-",338224.33542/240720.89459*100)</f>
        <v>140.50476839414773</v>
      </c>
      <c r="U26" s="10">
        <f>IF(236300.67911="","-",329416.35614/236300.67911*100)</f>
        <v>139.40559010693906</v>
      </c>
      <c r="V26" s="10">
        <f>IF(294897.29212="","-",318793.64634/294897.29212*100)</f>
        <v>108.10328031438013</v>
      </c>
      <c r="W26" s="10">
        <f>IF(352247.51165="","-",351929.19136/352247.51165*100)</f>
        <v>99.909631642673943</v>
      </c>
      <c r="X26" s="10">
        <f>IF(363865.01311="","-",355414.08858/363865.01311*100)</f>
        <v>97.67745613743709</v>
      </c>
      <c r="Y26" s="12">
        <f>IF(324970.80722="","-",346978.59041/324970.80722*100)</f>
        <v>106.77223390564465</v>
      </c>
      <c r="Z26" s="19">
        <f>IF(330357.20487="","-",331097.88364/330357.20487*100)</f>
        <v>100.22420542342689</v>
      </c>
      <c r="AA26" s="10">
        <f>IF(336464.33268="","-",356043.66419/336464.33268*100)</f>
        <v>105.81914027975773</v>
      </c>
      <c r="AB26" s="10">
        <f>IF(395828.7569="","-",384903.48749/395828.7569*100)</f>
        <v>97.239900027586913</v>
      </c>
      <c r="AC26" s="10">
        <f>IF(396338.08224="","-",317381.79686/396338.08224*100)</f>
        <v>80.07855189343411</v>
      </c>
      <c r="AD26" s="10">
        <f>IF(415966.01044="","-",336527.0487/415966.01044*100)</f>
        <v>80.902535364374799</v>
      </c>
      <c r="AE26" s="10">
        <f>IF(416434.52243="","-",316652.81601/416434.52243*100)</f>
        <v>76.039040702545819</v>
      </c>
      <c r="AF26" s="10">
        <f>IF(338224.33542="","-",304184.93405/338224.33542*100)</f>
        <v>89.935850911576011</v>
      </c>
      <c r="AG26" s="10">
        <f>IF(329416.35614="","-",321552.98686/329416.35614*100)</f>
        <v>97.612939025815066</v>
      </c>
      <c r="AH26" s="10">
        <f>IF(318793.64634="","-",348068.83491/318793.64634*100)</f>
        <v>109.18311544351715</v>
      </c>
      <c r="AI26" s="10">
        <f>IF(351929.19136="","-",341789.0581/351929.19136*100)</f>
        <v>97.118700719080934</v>
      </c>
      <c r="AJ26" s="12">
        <f>IF(355414.08858="","-",379108.13312/355414.08858*100)</f>
        <v>106.66660250713915</v>
      </c>
    </row>
    <row r="29" spans="1:36" ht="15.75" x14ac:dyDescent="0.25">
      <c r="N29" s="64"/>
      <c r="O29" s="80"/>
      <c r="P29" s="60"/>
      <c r="Q29" s="81"/>
      <c r="R29" s="60"/>
      <c r="S29" s="60"/>
      <c r="T29" s="60"/>
      <c r="U29" s="60"/>
      <c r="V29" s="60"/>
      <c r="W29" s="75"/>
      <c r="X29" s="75"/>
      <c r="Y29" s="75"/>
    </row>
    <row r="30" spans="1:36" ht="15.75" x14ac:dyDescent="0.25">
      <c r="N30" s="61"/>
      <c r="O30" s="82"/>
      <c r="P30" s="83"/>
      <c r="Q30" s="83"/>
      <c r="R30" s="83"/>
      <c r="S30" s="83"/>
      <c r="T30" s="83"/>
      <c r="U30" s="83"/>
      <c r="V30" s="83"/>
      <c r="W30" s="64"/>
      <c r="X30" s="64"/>
      <c r="Y30" s="79"/>
    </row>
    <row r="33" spans="14:21" ht="15.75" x14ac:dyDescent="0.25">
      <c r="N33" s="64"/>
      <c r="O33" s="65"/>
      <c r="P33" s="66"/>
      <c r="Q33" s="66"/>
      <c r="R33" s="66"/>
      <c r="S33" s="67"/>
      <c r="T33" s="46"/>
      <c r="U33" s="46"/>
    </row>
    <row r="34" spans="14:21" ht="15.75" x14ac:dyDescent="0.25">
      <c r="N34" s="66"/>
      <c r="O34" s="66"/>
      <c r="P34" s="66"/>
      <c r="Q34" s="66"/>
      <c r="R34" s="66"/>
      <c r="S34" s="67"/>
      <c r="T34" s="46"/>
      <c r="U34" s="46"/>
    </row>
    <row r="35" spans="14:21" ht="15.75" x14ac:dyDescent="0.25">
      <c r="N35" s="68"/>
      <c r="O35" s="68"/>
      <c r="P35" s="66"/>
      <c r="Q35" s="66"/>
      <c r="R35" s="68"/>
      <c r="S35" s="69"/>
      <c r="T35" s="69"/>
      <c r="U35" s="69"/>
    </row>
    <row r="36" spans="14:21" ht="15.75" x14ac:dyDescent="0.25">
      <c r="N36" s="68"/>
      <c r="O36" s="68"/>
      <c r="P36" s="66"/>
      <c r="Q36" s="66"/>
      <c r="R36" s="68"/>
      <c r="S36" s="69"/>
      <c r="T36" s="69"/>
      <c r="U36" s="69"/>
    </row>
    <row r="37" spans="14:21" ht="16.5" x14ac:dyDescent="0.25">
      <c r="N37" s="63"/>
      <c r="O37" s="65"/>
      <c r="P37" s="66"/>
      <c r="Q37" s="66"/>
      <c r="R37" s="66"/>
      <c r="S37" s="70"/>
      <c r="T37" s="46"/>
      <c r="U37" s="42"/>
    </row>
    <row r="38" spans="14:21" ht="15.75" x14ac:dyDescent="0.25">
      <c r="N38" s="66"/>
      <c r="O38" s="66"/>
      <c r="P38" s="66"/>
      <c r="Q38" s="66"/>
      <c r="R38" s="66"/>
      <c r="S38" s="67"/>
      <c r="T38" s="46"/>
      <c r="U38" s="46"/>
    </row>
  </sheetData>
  <mergeCells count="5">
    <mergeCell ref="A23:A24"/>
    <mergeCell ref="B23:M23"/>
    <mergeCell ref="N23:Y23"/>
    <mergeCell ref="A2:S2"/>
    <mergeCell ref="Z23:AJ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9"/>
  <sheetViews>
    <sheetView workbookViewId="0">
      <selection activeCell="A2" sqref="A2:G2"/>
    </sheetView>
  </sheetViews>
  <sheetFormatPr defaultRowHeight="12" x14ac:dyDescent="0.2"/>
  <cols>
    <col min="1" max="1" width="24.42578125" style="3" customWidth="1"/>
    <col min="2" max="7" width="14.28515625" style="3" customWidth="1"/>
    <col min="8" max="8" width="14.85546875" style="3" customWidth="1"/>
    <col min="9" max="16384" width="9.140625" style="3"/>
  </cols>
  <sheetData>
    <row r="2" spans="1:7" ht="12.75" x14ac:dyDescent="0.2">
      <c r="A2" s="146" t="s">
        <v>113</v>
      </c>
      <c r="B2" s="146"/>
      <c r="C2" s="146"/>
      <c r="D2" s="146"/>
      <c r="E2" s="146"/>
      <c r="F2" s="146"/>
      <c r="G2" s="146"/>
    </row>
    <row r="3" spans="1:7" ht="5.25" customHeight="1" x14ac:dyDescent="0.2">
      <c r="A3" s="73"/>
      <c r="B3" s="73"/>
      <c r="C3" s="73"/>
      <c r="D3" s="73"/>
      <c r="E3" s="73"/>
      <c r="F3" s="73"/>
      <c r="G3" s="73"/>
    </row>
    <row r="4" spans="1:7" ht="17.25" customHeight="1" x14ac:dyDescent="0.2">
      <c r="A4" s="73"/>
      <c r="B4" s="73"/>
      <c r="C4" s="73"/>
      <c r="D4" s="73"/>
      <c r="E4" s="73"/>
      <c r="F4" s="73"/>
      <c r="G4" s="73"/>
    </row>
    <row r="5" spans="1:7" ht="17.25" customHeight="1" x14ac:dyDescent="0.2">
      <c r="A5" s="4"/>
      <c r="B5" s="4"/>
      <c r="C5" s="4"/>
      <c r="D5" s="4"/>
      <c r="E5" s="4"/>
      <c r="F5" s="4"/>
      <c r="G5" s="4"/>
    </row>
    <row r="6" spans="1:7" ht="17.25" customHeight="1" x14ac:dyDescent="0.2">
      <c r="A6" s="4"/>
      <c r="B6" s="4"/>
      <c r="C6" s="4"/>
      <c r="D6" s="4"/>
      <c r="E6" s="4"/>
      <c r="F6" s="4"/>
      <c r="G6" s="4"/>
    </row>
    <row r="7" spans="1:7" ht="17.25" customHeight="1" x14ac:dyDescent="0.2">
      <c r="A7" s="4"/>
      <c r="B7" s="4"/>
      <c r="C7" s="4"/>
      <c r="D7" s="4"/>
      <c r="E7" s="4"/>
      <c r="F7" s="4"/>
      <c r="G7" s="4"/>
    </row>
    <row r="8" spans="1:7" ht="17.25" customHeight="1" x14ac:dyDescent="0.2">
      <c r="A8" s="4"/>
      <c r="B8" s="4"/>
      <c r="C8" s="4"/>
      <c r="D8" s="4"/>
      <c r="E8" s="4"/>
      <c r="F8" s="4"/>
      <c r="G8" s="4"/>
    </row>
    <row r="9" spans="1:7" ht="17.25" customHeight="1" x14ac:dyDescent="0.2">
      <c r="A9" s="4"/>
      <c r="B9" s="4"/>
      <c r="C9" s="4"/>
      <c r="D9" s="4"/>
      <c r="E9" s="4"/>
      <c r="F9" s="4"/>
      <c r="G9" s="4"/>
    </row>
    <row r="10" spans="1:7" ht="17.25" customHeight="1" x14ac:dyDescent="0.2">
      <c r="A10" s="4"/>
      <c r="B10" s="4"/>
      <c r="C10" s="4"/>
      <c r="D10" s="4"/>
      <c r="E10" s="4"/>
      <c r="F10" s="4"/>
      <c r="G10" s="4"/>
    </row>
    <row r="11" spans="1:7" ht="17.25" customHeight="1" x14ac:dyDescent="0.2">
      <c r="A11" s="4"/>
      <c r="B11" s="4"/>
      <c r="C11" s="4"/>
      <c r="D11" s="4"/>
      <c r="E11" s="4"/>
      <c r="F11" s="4"/>
      <c r="G11" s="4"/>
    </row>
    <row r="12" spans="1:7" ht="17.25" customHeight="1" x14ac:dyDescent="0.2">
      <c r="A12" s="4"/>
      <c r="B12" s="4"/>
      <c r="C12" s="4"/>
      <c r="D12" s="4"/>
      <c r="E12" s="4"/>
      <c r="F12" s="4"/>
      <c r="G12" s="4"/>
    </row>
    <row r="13" spans="1:7" ht="17.25" customHeight="1" x14ac:dyDescent="0.2">
      <c r="A13" s="4"/>
      <c r="B13" s="4"/>
      <c r="C13" s="4"/>
      <c r="D13" s="4"/>
      <c r="E13" s="4"/>
      <c r="F13" s="4"/>
      <c r="G13" s="4"/>
    </row>
    <row r="14" spans="1:7" ht="17.25" customHeight="1" x14ac:dyDescent="0.2">
      <c r="A14" s="4"/>
      <c r="B14" s="4"/>
      <c r="C14" s="4"/>
      <c r="D14" s="4"/>
      <c r="E14" s="4"/>
      <c r="F14" s="4"/>
      <c r="G14" s="4"/>
    </row>
    <row r="15" spans="1:7" ht="17.25" customHeight="1" x14ac:dyDescent="0.2">
      <c r="A15" s="4"/>
      <c r="B15" s="4"/>
      <c r="C15" s="4"/>
      <c r="D15" s="4"/>
      <c r="E15" s="4"/>
      <c r="F15" s="4"/>
      <c r="G15" s="4"/>
    </row>
    <row r="16" spans="1:7" ht="17.25" customHeight="1" x14ac:dyDescent="0.2">
      <c r="A16" s="4"/>
      <c r="B16" s="4"/>
      <c r="C16" s="4"/>
      <c r="D16" s="4"/>
      <c r="E16" s="4"/>
      <c r="F16" s="4"/>
      <c r="G16" s="4"/>
    </row>
    <row r="17" spans="1:7" ht="17.25" customHeight="1" x14ac:dyDescent="0.2">
      <c r="A17" s="4"/>
      <c r="B17" s="4"/>
      <c r="C17" s="4"/>
      <c r="D17" s="4"/>
      <c r="E17" s="4"/>
      <c r="F17" s="4"/>
      <c r="G17" s="4"/>
    </row>
    <row r="18" spans="1:7" ht="17.25" customHeight="1" x14ac:dyDescent="0.2">
      <c r="A18" s="4"/>
      <c r="B18" s="4"/>
      <c r="C18" s="4"/>
      <c r="D18" s="4"/>
      <c r="E18" s="4"/>
      <c r="F18" s="4"/>
      <c r="G18" s="4"/>
    </row>
    <row r="19" spans="1:7" ht="17.25" customHeight="1" x14ac:dyDescent="0.2">
      <c r="A19" s="4"/>
      <c r="B19" s="4"/>
      <c r="C19" s="4"/>
      <c r="D19" s="4"/>
      <c r="E19" s="4"/>
      <c r="F19" s="4"/>
      <c r="G19" s="4"/>
    </row>
    <row r="20" spans="1:7" ht="17.25" customHeight="1" x14ac:dyDescent="0.2">
      <c r="A20" s="4"/>
      <c r="B20" s="4"/>
      <c r="C20" s="4"/>
      <c r="D20" s="4"/>
      <c r="E20" s="4"/>
      <c r="F20" s="4"/>
      <c r="G20" s="4"/>
    </row>
    <row r="21" spans="1:7" ht="15" customHeight="1" x14ac:dyDescent="0.2">
      <c r="A21" s="4"/>
      <c r="B21" s="4"/>
      <c r="C21" s="4"/>
      <c r="D21" s="4"/>
      <c r="E21" s="4"/>
      <c r="F21" s="4"/>
      <c r="G21" s="4"/>
    </row>
    <row r="22" spans="1:7" ht="15" customHeight="1" x14ac:dyDescent="0.2"/>
    <row r="23" spans="1:7" ht="34.5" customHeight="1" x14ac:dyDescent="0.2">
      <c r="A23" s="38" t="s">
        <v>25</v>
      </c>
      <c r="B23" s="24" t="s">
        <v>100</v>
      </c>
      <c r="C23" s="24" t="s">
        <v>101</v>
      </c>
      <c r="D23" s="24" t="s">
        <v>102</v>
      </c>
      <c r="E23" s="24" t="s">
        <v>103</v>
      </c>
      <c r="F23" s="24" t="s">
        <v>104</v>
      </c>
      <c r="G23" s="24" t="s">
        <v>105</v>
      </c>
    </row>
    <row r="24" spans="1:7" x14ac:dyDescent="0.2">
      <c r="A24" s="93" t="s">
        <v>26</v>
      </c>
      <c r="B24" s="55">
        <v>13.3</v>
      </c>
      <c r="C24" s="14">
        <v>13.4</v>
      </c>
      <c r="D24" s="14">
        <v>8.8000000000000007</v>
      </c>
      <c r="E24" s="14">
        <v>7</v>
      </c>
      <c r="F24" s="14">
        <v>6.7</v>
      </c>
      <c r="G24" s="11">
        <v>6.7</v>
      </c>
    </row>
    <row r="25" spans="1:7" x14ac:dyDescent="0.2">
      <c r="A25" s="94" t="s">
        <v>27</v>
      </c>
      <c r="B25" s="123">
        <v>3.3</v>
      </c>
      <c r="C25" s="15">
        <v>7.7</v>
      </c>
      <c r="D25" s="15">
        <v>5.0999999999999996</v>
      </c>
      <c r="E25" s="15">
        <v>2.9</v>
      </c>
      <c r="F25" s="15">
        <v>4.5</v>
      </c>
      <c r="G25" s="122">
        <v>4.3</v>
      </c>
    </row>
    <row r="26" spans="1:7" x14ac:dyDescent="0.2">
      <c r="A26" s="94" t="s">
        <v>28</v>
      </c>
      <c r="B26" s="123">
        <v>81.099999999999994</v>
      </c>
      <c r="C26" s="15">
        <v>77.400000000000006</v>
      </c>
      <c r="D26" s="15">
        <v>84.9</v>
      </c>
      <c r="E26" s="15">
        <v>89</v>
      </c>
      <c r="F26" s="15">
        <v>87.1</v>
      </c>
      <c r="G26" s="122">
        <v>87.2</v>
      </c>
    </row>
    <row r="27" spans="1:7" x14ac:dyDescent="0.2">
      <c r="A27" s="94" t="s">
        <v>29</v>
      </c>
      <c r="B27" s="123">
        <v>1.1000000000000001</v>
      </c>
      <c r="C27" s="15">
        <v>1</v>
      </c>
      <c r="D27" s="15">
        <v>1.2</v>
      </c>
      <c r="E27" s="15">
        <v>1.1000000000000001</v>
      </c>
      <c r="F27" s="15">
        <v>1.6</v>
      </c>
      <c r="G27" s="122">
        <v>1.8</v>
      </c>
    </row>
    <row r="28" spans="1:7" x14ac:dyDescent="0.2">
      <c r="A28" s="94" t="s">
        <v>45</v>
      </c>
      <c r="B28" s="123">
        <v>0</v>
      </c>
      <c r="C28" s="15">
        <v>0</v>
      </c>
      <c r="D28" s="15">
        <v>0</v>
      </c>
      <c r="E28" s="15">
        <v>0</v>
      </c>
      <c r="F28" s="15">
        <v>0.1</v>
      </c>
      <c r="G28" s="122">
        <v>0</v>
      </c>
    </row>
    <row r="29" spans="1:7" x14ac:dyDescent="0.2">
      <c r="A29" s="32" t="s">
        <v>46</v>
      </c>
      <c r="B29" s="19">
        <v>1.2</v>
      </c>
      <c r="C29" s="10">
        <v>0.5</v>
      </c>
      <c r="D29" s="10">
        <v>0</v>
      </c>
      <c r="E29" s="10">
        <v>0</v>
      </c>
      <c r="F29" s="10">
        <v>0</v>
      </c>
      <c r="G29" s="12">
        <v>0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2"/>
  <sheetViews>
    <sheetView workbookViewId="0">
      <selection activeCell="A2" sqref="A2:G2"/>
    </sheetView>
  </sheetViews>
  <sheetFormatPr defaultRowHeight="12" x14ac:dyDescent="0.2"/>
  <cols>
    <col min="1" max="1" width="21.140625" style="3" bestFit="1" customWidth="1"/>
    <col min="2" max="7" width="14.28515625" style="3" customWidth="1"/>
    <col min="8" max="16384" width="9.140625" style="3"/>
  </cols>
  <sheetData>
    <row r="2" spans="1:13" ht="12.75" x14ac:dyDescent="0.2">
      <c r="A2" s="146" t="s">
        <v>114</v>
      </c>
      <c r="B2" s="146"/>
      <c r="C2" s="146"/>
      <c r="D2" s="146"/>
      <c r="E2" s="146"/>
      <c r="F2" s="146"/>
      <c r="G2" s="146"/>
      <c r="H2" s="39"/>
      <c r="I2" s="39"/>
      <c r="J2" s="39"/>
      <c r="K2" s="39"/>
      <c r="L2" s="39"/>
      <c r="M2" s="39"/>
    </row>
    <row r="3" spans="1:13" ht="11.25" customHeight="1" x14ac:dyDescent="0.2">
      <c r="A3" s="74"/>
      <c r="B3" s="74"/>
      <c r="C3" s="74"/>
      <c r="D3" s="74"/>
      <c r="E3" s="74"/>
      <c r="F3" s="74"/>
      <c r="G3" s="74"/>
      <c r="H3" s="39"/>
      <c r="I3" s="39"/>
      <c r="J3" s="39"/>
      <c r="K3" s="39"/>
      <c r="L3" s="39"/>
      <c r="M3" s="3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5"/>
    </row>
    <row r="20" spans="1:8" x14ac:dyDescent="0.2">
      <c r="A20" s="5"/>
    </row>
    <row r="21" spans="1:8" ht="36" customHeight="1" x14ac:dyDescent="0.2">
      <c r="A21" s="20"/>
      <c r="B21" s="9" t="s">
        <v>105</v>
      </c>
      <c r="C21" s="9" t="s">
        <v>104</v>
      </c>
      <c r="D21" s="9" t="s">
        <v>103</v>
      </c>
      <c r="E21" s="9" t="s">
        <v>102</v>
      </c>
      <c r="F21" s="9" t="s">
        <v>101</v>
      </c>
      <c r="G21" s="9" t="s">
        <v>100</v>
      </c>
    </row>
    <row r="22" spans="1:8" ht="15" customHeight="1" x14ac:dyDescent="0.2">
      <c r="A22" s="16" t="s">
        <v>30</v>
      </c>
      <c r="B22" s="126">
        <v>66.400000000000006</v>
      </c>
      <c r="C22" s="127">
        <v>63.9</v>
      </c>
      <c r="D22" s="128">
        <v>66.8</v>
      </c>
      <c r="E22" s="127">
        <v>61.3</v>
      </c>
      <c r="F22" s="127">
        <v>59.1</v>
      </c>
      <c r="G22" s="129">
        <v>65.2</v>
      </c>
      <c r="H22" s="6"/>
    </row>
    <row r="23" spans="1:8" ht="14.25" customHeight="1" x14ac:dyDescent="0.2">
      <c r="A23" s="17" t="s">
        <v>31</v>
      </c>
      <c r="B23" s="130">
        <v>15.5</v>
      </c>
      <c r="C23" s="131">
        <v>15.8</v>
      </c>
      <c r="D23" s="33">
        <v>15.1</v>
      </c>
      <c r="E23" s="33">
        <v>15</v>
      </c>
      <c r="F23" s="131">
        <v>23.3</v>
      </c>
      <c r="G23" s="132">
        <v>22.7</v>
      </c>
      <c r="H23" s="6"/>
    </row>
    <row r="24" spans="1:8" ht="15" customHeight="1" x14ac:dyDescent="0.2">
      <c r="A24" s="18" t="s">
        <v>32</v>
      </c>
      <c r="B24" s="133">
        <v>18.100000000000001</v>
      </c>
      <c r="C24" s="134">
        <v>20.3</v>
      </c>
      <c r="D24" s="35">
        <v>18.100000000000001</v>
      </c>
      <c r="E24" s="134">
        <v>23.7</v>
      </c>
      <c r="F24" s="134">
        <v>17.600000000000001</v>
      </c>
      <c r="G24" s="135">
        <v>12.1</v>
      </c>
      <c r="H24" s="6"/>
    </row>
    <row r="28" spans="1:8" x14ac:dyDescent="0.2">
      <c r="E28" s="3" t="s">
        <v>99</v>
      </c>
    </row>
    <row r="30" spans="1:8" ht="15.75" x14ac:dyDescent="0.2">
      <c r="B30" s="52"/>
      <c r="C30" s="52"/>
      <c r="D30" s="52"/>
      <c r="E30" s="53"/>
      <c r="F30" s="52"/>
      <c r="G30" s="52"/>
    </row>
    <row r="31" spans="1:8" ht="15.75" x14ac:dyDescent="0.2">
      <c r="B31" s="52"/>
      <c r="C31" s="52"/>
      <c r="D31" s="52"/>
      <c r="E31" s="53"/>
      <c r="F31" s="52"/>
      <c r="G31" s="52"/>
    </row>
    <row r="32" spans="1:8" ht="15.75" x14ac:dyDescent="0.2">
      <c r="B32" s="52"/>
      <c r="C32" s="52"/>
      <c r="D32" s="52"/>
      <c r="E32" s="53"/>
      <c r="F32" s="52"/>
      <c r="G32" s="52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47"/>
  <sheetViews>
    <sheetView workbookViewId="0">
      <selection activeCell="A2" sqref="A2:G2"/>
    </sheetView>
  </sheetViews>
  <sheetFormatPr defaultRowHeight="12" x14ac:dyDescent="0.2"/>
  <cols>
    <col min="1" max="1" width="21" style="3" customWidth="1"/>
    <col min="2" max="7" width="14.28515625" style="3" customWidth="1"/>
    <col min="8" max="16384" width="9.140625" style="3"/>
  </cols>
  <sheetData>
    <row r="2" spans="1:7" ht="18" customHeight="1" x14ac:dyDescent="0.2">
      <c r="A2" s="146" t="s">
        <v>115</v>
      </c>
      <c r="B2" s="146"/>
      <c r="C2" s="146"/>
      <c r="D2" s="146"/>
      <c r="E2" s="146"/>
      <c r="F2" s="146"/>
      <c r="G2" s="146"/>
    </row>
    <row r="3" spans="1:7" x14ac:dyDescent="0.2">
      <c r="A3" s="73"/>
      <c r="B3" s="73"/>
      <c r="C3" s="73"/>
      <c r="D3" s="73"/>
      <c r="E3" s="73"/>
      <c r="F3" s="73"/>
      <c r="G3" s="73"/>
    </row>
    <row r="4" spans="1:7" ht="13.5" customHeight="1" x14ac:dyDescent="0.2">
      <c r="A4" s="4"/>
      <c r="B4" s="4"/>
      <c r="C4" s="4"/>
      <c r="D4" s="4"/>
      <c r="E4" s="4"/>
      <c r="F4" s="4"/>
      <c r="G4" s="4"/>
    </row>
    <row r="5" spans="1:7" ht="13.5" customHeight="1" x14ac:dyDescent="0.2">
      <c r="A5" s="4"/>
      <c r="B5" s="4"/>
      <c r="C5" s="4"/>
      <c r="D5" s="4"/>
      <c r="E5" s="4"/>
      <c r="F5" s="4"/>
      <c r="G5" s="4"/>
    </row>
    <row r="6" spans="1:7" ht="13.5" customHeight="1" x14ac:dyDescent="0.2">
      <c r="A6" s="4"/>
      <c r="B6" s="4"/>
      <c r="C6" s="4"/>
      <c r="D6" s="4"/>
      <c r="E6" s="4"/>
      <c r="F6" s="4"/>
      <c r="G6" s="4"/>
    </row>
    <row r="7" spans="1:7" ht="13.5" customHeight="1" x14ac:dyDescent="0.2">
      <c r="A7" s="4"/>
      <c r="B7" s="4"/>
      <c r="C7" s="4"/>
      <c r="D7" s="4"/>
      <c r="E7" s="4"/>
      <c r="F7" s="4"/>
      <c r="G7" s="4"/>
    </row>
    <row r="8" spans="1:7" ht="13.5" customHeight="1" x14ac:dyDescent="0.2">
      <c r="A8" s="4"/>
      <c r="B8" s="4"/>
      <c r="C8" s="4"/>
      <c r="D8" s="4"/>
      <c r="E8" s="4"/>
      <c r="F8" s="4"/>
      <c r="G8" s="4"/>
    </row>
    <row r="9" spans="1:7" ht="13.5" customHeight="1" x14ac:dyDescent="0.2">
      <c r="A9" s="4"/>
      <c r="B9" s="4"/>
      <c r="C9" s="4"/>
      <c r="D9" s="4"/>
      <c r="E9" s="4"/>
      <c r="F9" s="4"/>
      <c r="G9" s="4"/>
    </row>
    <row r="10" spans="1:7" ht="13.5" customHeight="1" x14ac:dyDescent="0.2">
      <c r="A10" s="4"/>
      <c r="B10" s="4"/>
      <c r="C10" s="4"/>
      <c r="D10" s="4"/>
      <c r="E10" s="4"/>
      <c r="F10" s="4"/>
      <c r="G10" s="4"/>
    </row>
    <row r="11" spans="1:7" ht="13.5" customHeight="1" x14ac:dyDescent="0.2">
      <c r="A11" s="4"/>
      <c r="B11" s="4"/>
      <c r="C11" s="4"/>
      <c r="D11" s="4"/>
      <c r="E11" s="4"/>
      <c r="F11" s="4"/>
      <c r="G11" s="4"/>
    </row>
    <row r="12" spans="1:7" ht="13.5" customHeight="1" x14ac:dyDescent="0.2">
      <c r="A12" s="4"/>
      <c r="B12" s="4"/>
      <c r="C12" s="4"/>
      <c r="D12" s="4"/>
      <c r="E12" s="4"/>
      <c r="F12" s="4"/>
      <c r="G12" s="4"/>
    </row>
    <row r="13" spans="1:7" ht="13.5" customHeight="1" x14ac:dyDescent="0.2">
      <c r="A13" s="4"/>
      <c r="B13" s="4"/>
      <c r="C13" s="4"/>
      <c r="D13" s="4"/>
      <c r="E13" s="4"/>
      <c r="F13" s="4"/>
      <c r="G13" s="4"/>
    </row>
    <row r="14" spans="1:7" ht="13.5" customHeight="1" x14ac:dyDescent="0.2">
      <c r="A14" s="4"/>
      <c r="B14" s="4"/>
      <c r="C14" s="4"/>
      <c r="D14" s="4"/>
      <c r="E14" s="4"/>
      <c r="F14" s="4"/>
      <c r="G14" s="4"/>
    </row>
    <row r="15" spans="1:7" ht="13.5" customHeight="1" x14ac:dyDescent="0.2">
      <c r="A15" s="4"/>
      <c r="B15" s="4"/>
      <c r="C15" s="4"/>
      <c r="D15" s="4"/>
      <c r="E15" s="4"/>
      <c r="F15" s="4"/>
      <c r="G15" s="4"/>
    </row>
    <row r="16" spans="1:7" ht="13.5" customHeight="1" x14ac:dyDescent="0.2">
      <c r="A16" s="4"/>
      <c r="B16" s="4"/>
      <c r="C16" s="4"/>
      <c r="D16" s="4"/>
      <c r="E16" s="4"/>
      <c r="F16" s="4"/>
      <c r="G16" s="4"/>
    </row>
    <row r="17" spans="1:7" ht="13.5" customHeight="1" x14ac:dyDescent="0.2">
      <c r="A17" s="4"/>
      <c r="B17" s="4"/>
      <c r="C17" s="4"/>
      <c r="D17" s="4"/>
      <c r="E17" s="4"/>
      <c r="F17" s="4"/>
      <c r="G17" s="4"/>
    </row>
    <row r="18" spans="1:7" ht="13.5" customHeight="1" x14ac:dyDescent="0.2">
      <c r="A18" s="4"/>
      <c r="B18" s="4"/>
      <c r="C18" s="4"/>
      <c r="D18" s="4"/>
      <c r="E18" s="4"/>
      <c r="F18" s="4"/>
      <c r="G18" s="4"/>
    </row>
    <row r="19" spans="1:7" ht="13.5" customHeight="1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ht="13.5" customHeight="1" x14ac:dyDescent="0.2">
      <c r="A21" s="4"/>
      <c r="B21" s="4"/>
      <c r="C21" s="4"/>
      <c r="D21" s="4"/>
      <c r="E21" s="4"/>
      <c r="F21" s="4"/>
      <c r="G21" s="4"/>
    </row>
    <row r="22" spans="1:7" ht="13.5" customHeight="1" x14ac:dyDescent="0.2">
      <c r="A22" s="5"/>
    </row>
    <row r="23" spans="1:7" ht="13.5" customHeight="1" x14ac:dyDescent="0.2">
      <c r="A23" s="5"/>
    </row>
    <row r="24" spans="1:7" ht="14.25" customHeight="1" x14ac:dyDescent="0.2">
      <c r="A24" s="5"/>
    </row>
    <row r="25" spans="1:7" ht="38.25" customHeight="1" x14ac:dyDescent="0.2">
      <c r="A25" s="37"/>
      <c r="B25" s="9" t="s">
        <v>105</v>
      </c>
      <c r="C25" s="9" t="s">
        <v>104</v>
      </c>
      <c r="D25" s="9" t="s">
        <v>103</v>
      </c>
      <c r="E25" s="9" t="s">
        <v>102</v>
      </c>
      <c r="F25" s="9" t="s">
        <v>101</v>
      </c>
      <c r="G25" s="9" t="s">
        <v>100</v>
      </c>
    </row>
    <row r="26" spans="1:7" x14ac:dyDescent="0.2">
      <c r="A26" s="119" t="s">
        <v>33</v>
      </c>
      <c r="B26" s="14">
        <f>IF(OR(729714.30551="",729714.30551="***"),"-",729714.30551/2487345.59713*100)</f>
        <v>29.33706945878264</v>
      </c>
      <c r="C26" s="14">
        <f>IF(711134.61346="","-",711134.61346/2560872.65018*100)</f>
        <v>27.769229891615872</v>
      </c>
      <c r="D26" s="14">
        <f>IF(642816.95726="","-",642816.95726/2248863.79366*100)</f>
        <v>28.584076949090047</v>
      </c>
      <c r="E26" s="14">
        <f>IF(751578.24299="","-",751578.24299/2819533.73145*100)</f>
        <v>26.656118159064775</v>
      </c>
      <c r="F26" s="14">
        <f>IF(1144824.07017="","-",1144824.07017/3985166.5274*100)</f>
        <v>28.727132537593235</v>
      </c>
      <c r="G26" s="11">
        <f>IF(1307894.93095="","-",1307894.93095/3737310.64393*100)</f>
        <v>34.995617318411412</v>
      </c>
    </row>
    <row r="27" spans="1:7" x14ac:dyDescent="0.2">
      <c r="A27" s="120" t="s">
        <v>38</v>
      </c>
      <c r="B27" s="15">
        <f>IF(OR(72901.61265="",72901.61265="***"),"-",72901.61265/2487345.59713*100)</f>
        <v>2.9309000218593195</v>
      </c>
      <c r="C27" s="15">
        <f>IF(74024.81676="","-",74024.81676/2560872.65018*100)</f>
        <v>2.8906090568305656</v>
      </c>
      <c r="D27" s="15">
        <f>IF(59343.58736="","-",59343.58736/2248863.79366*100)</f>
        <v>2.6388253271408222</v>
      </c>
      <c r="E27" s="15">
        <f>IF(84260.16904="","-",84260.16904/2819533.73145*100)</f>
        <v>2.9884433762978095</v>
      </c>
      <c r="F27" s="15">
        <f>IF(632018.85914="","-",632018.85914/3985166.5274*100)</f>
        <v>15.859283540463274</v>
      </c>
      <c r="G27" s="122">
        <f>IF(566417.29921="","-",566417.29921/3737310.64393*100)</f>
        <v>15.15574575343245</v>
      </c>
    </row>
    <row r="28" spans="1:7" x14ac:dyDescent="0.2">
      <c r="A28" s="120" t="s">
        <v>36</v>
      </c>
      <c r="B28" s="15">
        <f>IF(OR(289694.73402="",289694.73402="***"),"-",289694.73402/2487345.59713*100)</f>
        <v>11.646742388925023</v>
      </c>
      <c r="C28" s="15">
        <f>IF(244046.34462="","-",244046.34462/2560872.65018*100)</f>
        <v>9.529811824217278</v>
      </c>
      <c r="D28" s="15">
        <f>IF(195165.16077="","-",195165.16077/2248863.79366*100)</f>
        <v>8.6783895636636554</v>
      </c>
      <c r="E28" s="15">
        <f>IF(220026.93342="","-",220026.93342/2819533.73145*100)</f>
        <v>7.8036638102870608</v>
      </c>
      <c r="F28" s="15">
        <f>IF(310091.92111="","-",310091.92111/3985166.5274*100)</f>
        <v>7.7811534092230268</v>
      </c>
      <c r="G28" s="122">
        <f>IF(236728.53304="","-",236728.53304/3737310.64393*100)</f>
        <v>6.3341947082853718</v>
      </c>
    </row>
    <row r="29" spans="1:7" x14ac:dyDescent="0.2">
      <c r="A29" s="120" t="s">
        <v>34</v>
      </c>
      <c r="B29" s="15">
        <f>IF(OR(204951.28243="",204951.28243="***"),"-",204951.28243/2487345.59713*100)</f>
        <v>8.2397589891200109</v>
      </c>
      <c r="C29" s="15">
        <f>IF(227676.84478="","-",227676.84478/2560872.65018*100)</f>
        <v>8.8905961319082749</v>
      </c>
      <c r="D29" s="15">
        <f>IF(209228.01611="","-",209228.01611/2248863.79366*100)</f>
        <v>9.3037211368627979</v>
      </c>
      <c r="E29" s="15">
        <f>IF(232012.55819="","-",232012.55819/2819533.73145*100)</f>
        <v>8.2287562515055654</v>
      </c>
      <c r="F29" s="15">
        <f>IF(217474.04604="","-",217474.04604/3985166.5274*100)</f>
        <v>5.4570880424885102</v>
      </c>
      <c r="G29" s="122">
        <f>IF(204994.36682="","-",204994.36682/3737310.64393*100)</f>
        <v>5.4850770072577237</v>
      </c>
    </row>
    <row r="30" spans="1:7" x14ac:dyDescent="0.2">
      <c r="A30" s="120" t="s">
        <v>58</v>
      </c>
      <c r="B30" s="15">
        <f>IF(OR(39436.68697="",39436.68697="***"),"-",39436.68697/2487345.59713*100)</f>
        <v>1.5854928649844093</v>
      </c>
      <c r="C30" s="15">
        <f>IF(58344.32534="","-",58344.32534/2560872.65018*100)</f>
        <v>2.2782985845039607</v>
      </c>
      <c r="D30" s="15">
        <f>IF(74250.26613="","-",74250.26613/2248863.79366*100)</f>
        <v>3.301679111884253</v>
      </c>
      <c r="E30" s="15">
        <f>IF(72846.58021="","-",72846.58021/2819533.73145*100)</f>
        <v>2.5836392520311233</v>
      </c>
      <c r="F30" s="15">
        <f>IF(96485.13645="","-",96485.13645/3985166.5274*100)</f>
        <v>2.4211067664705288</v>
      </c>
      <c r="G30" s="122">
        <f>IF(146791.99538="","-",146791.99538/3737310.64393*100)</f>
        <v>3.9277440214506671</v>
      </c>
    </row>
    <row r="31" spans="1:7" x14ac:dyDescent="0.2">
      <c r="A31" s="120" t="s">
        <v>92</v>
      </c>
      <c r="B31" s="15">
        <f>IF(OR(204607.79356="",204607.79356="***"),"-",204607.79356/2487345.59713*100)</f>
        <v>8.2259495341574063</v>
      </c>
      <c r="C31" s="15">
        <f>IF(234490.1799="","-",234490.1799/2560872.65018*100)</f>
        <v>9.1566513424054108</v>
      </c>
      <c r="D31" s="15">
        <f>IF(198046.17923="","-",198046.17923/2248863.79366*100)</f>
        <v>8.8064995215953985</v>
      </c>
      <c r="E31" s="15">
        <f>IF(251001.55473="","-",251001.55473/2819533.73145*100)</f>
        <v>8.9022362786529801</v>
      </c>
      <c r="F31" s="15">
        <f>IF(179327.0016="","-",179327.0016/3985166.5274*100)</f>
        <v>4.4998621856084995</v>
      </c>
      <c r="G31" s="122">
        <f>IF(134459.83008="","-",134459.83008/3737310.64393*100)</f>
        <v>3.5977697036874536</v>
      </c>
    </row>
    <row r="32" spans="1:7" x14ac:dyDescent="0.2">
      <c r="A32" s="120" t="s">
        <v>35</v>
      </c>
      <c r="B32" s="15">
        <f>IF(OR(87084.92031="",87084.92031="***"),"-",87084.92031/2487345.59713*100)</f>
        <v>3.5011186386999098</v>
      </c>
      <c r="C32" s="15">
        <f>IF(164832.9414="","-",164832.9414/2560872.65018*100)</f>
        <v>6.43659267431413</v>
      </c>
      <c r="D32" s="15">
        <f>IF(150316.63756="","-",150316.63756/2248863.79366*100)</f>
        <v>6.6841147953812445</v>
      </c>
      <c r="E32" s="15">
        <f>IF(273373.36749="","-",273373.36749/2819533.73145*100)</f>
        <v>9.6956941653403259</v>
      </c>
      <c r="F32" s="15">
        <f>IF(286756.5273="","-",286756.5273/3985166.5274*100)</f>
        <v>7.1955971056267387</v>
      </c>
      <c r="G32" s="122">
        <f>IF(126377.68549="","-",126377.68549/3737310.64393*100)</f>
        <v>3.3815140760444389</v>
      </c>
    </row>
    <row r="33" spans="1:7" x14ac:dyDescent="0.2">
      <c r="A33" s="120" t="s">
        <v>37</v>
      </c>
      <c r="B33" s="15">
        <f>IF(OR(90462.38661="",90462.38661="***"),"-",90462.38661/2487345.59713*100)</f>
        <v>3.6369046068378741</v>
      </c>
      <c r="C33" s="15">
        <f>IF(104207.06617="","-",104207.06617/2560872.65018*100)</f>
        <v>4.0692014170511541</v>
      </c>
      <c r="D33" s="15">
        <f>IF(100529.02284="","-",100529.02284/2248863.79366*100)</f>
        <v>4.4702139419653415</v>
      </c>
      <c r="E33" s="15">
        <f>IF(99486.35369="","-",99486.35369/2819533.73145*100)</f>
        <v>3.5284682917709662</v>
      </c>
      <c r="F33" s="15">
        <f>IF(113903.90359="","-",113903.90359/3985166.5274*100)</f>
        <v>2.8581968358625436</v>
      </c>
      <c r="G33" s="122">
        <f>IF(120135.86167="","-",120135.86167/3737310.64393*100)</f>
        <v>3.2145002948877206</v>
      </c>
    </row>
    <row r="34" spans="1:7" x14ac:dyDescent="0.2">
      <c r="A34" s="120" t="s">
        <v>39</v>
      </c>
      <c r="B34" s="15">
        <f>IF(OR(81245.68784="",81245.68784="***"),"-",81245.68784/2487345.59713*100)</f>
        <v>3.2663610530737892</v>
      </c>
      <c r="C34" s="15">
        <f>IF(73650.74697="","-",73650.74697/2560872.65018*100)</f>
        <v>2.8760019349194579</v>
      </c>
      <c r="D34" s="15">
        <f>IF(60401.05191="","-",60401.05191/2248863.79366*100)</f>
        <v>2.6858474968685404</v>
      </c>
      <c r="E34" s="15">
        <f>IF(60517.22835="","-",60517.22835/2819533.73145*100)</f>
        <v>2.1463558912231151</v>
      </c>
      <c r="F34" s="15">
        <f>IF(74661.53082="","-",74661.53082/3985166.5274*100)</f>
        <v>1.8734858457398176</v>
      </c>
      <c r="G34" s="122">
        <f>IF(79246.03641="","-",79246.03641/3737310.64393*100)</f>
        <v>2.1204027162876717</v>
      </c>
    </row>
    <row r="35" spans="1:7" x14ac:dyDescent="0.2">
      <c r="A35" s="120" t="s">
        <v>42</v>
      </c>
      <c r="B35" s="15">
        <f>IF(OR(45509.19357="",45509.19357="***"),"-",45509.19357/2487345.59713*100)</f>
        <v>1.8296288872165711</v>
      </c>
      <c r="C35" s="15">
        <f>IF(54215.36714="","-",54215.36714/2560872.65018*100)</f>
        <v>2.1170661155754575</v>
      </c>
      <c r="D35" s="15">
        <f>IF(54261.61928="","-",54261.61928/2248863.79366*100)</f>
        <v>2.4128459639474134</v>
      </c>
      <c r="E35" s="15">
        <f>IF(65448.73054="","-",65448.73054/2819533.73145*100)</f>
        <v>2.321260774785685</v>
      </c>
      <c r="F35" s="15">
        <f>IF(139470.08776="","-",139470.08776/3985166.5274*100)</f>
        <v>3.4997304830569522</v>
      </c>
      <c r="G35" s="122">
        <f>IF(79054.71256="","-",79054.71256/3737310.64393*100)</f>
        <v>2.1152834241487981</v>
      </c>
    </row>
    <row r="36" spans="1:7" x14ac:dyDescent="0.2">
      <c r="A36" s="120" t="s">
        <v>59</v>
      </c>
      <c r="B36" s="15">
        <f>IF(OR(19828.81241="",19828.81241="***"),"-",19828.81241/2487345.59713*100)</f>
        <v>0.7971876699755468</v>
      </c>
      <c r="C36" s="15">
        <f>IF(22297.37521="","-",22297.37521/2560872.65018*100)</f>
        <v>0.87069441771861433</v>
      </c>
      <c r="D36" s="15">
        <f>IF(23922.34371="","-",23922.34371/2248863.79366*100)</f>
        <v>1.0637524503458995</v>
      </c>
      <c r="E36" s="15">
        <f>IF(28862.08892="","-",28862.08892/2819533.73145*100)</f>
        <v>1.0236475839271875</v>
      </c>
      <c r="F36" s="15">
        <f>IF(44298.63841="","-",44298.63841/3985166.5274*100)</f>
        <v>1.111588138297982</v>
      </c>
      <c r="G36" s="122">
        <f>IF(55301.40293="","-",55301.40293/3737310.64393*100)</f>
        <v>1.47971116663311</v>
      </c>
    </row>
    <row r="37" spans="1:7" x14ac:dyDescent="0.2">
      <c r="A37" s="120" t="s">
        <v>41</v>
      </c>
      <c r="B37" s="15">
        <f>IF(OR(24966.74583="",24966.74583="***"),"-",24966.74583/2487345.59713*100)</f>
        <v>1.0037505788824697</v>
      </c>
      <c r="C37" s="15">
        <f>IF(32773.85563="","-",32773.85563/2560872.65018*100)</f>
        <v>1.2797924811956727</v>
      </c>
      <c r="D37" s="15">
        <f>IF(29684.68628="","-",29684.68628/2248863.79366*100)</f>
        <v>1.3199859575171744</v>
      </c>
      <c r="E37" s="15">
        <f>IF(44113.14106="","-",44113.14106/2819533.73145*100)</f>
        <v>1.5645544711151218</v>
      </c>
      <c r="F37" s="15">
        <f>IF(34470.63835="","-",34470.63835/3985166.5274*100)</f>
        <v>0.86497359929622097</v>
      </c>
      <c r="G37" s="122">
        <f>IF(54426.04549="","-",54426.04549/3737310.64393*100)</f>
        <v>1.4562890451291959</v>
      </c>
    </row>
    <row r="38" spans="1:7" x14ac:dyDescent="0.2">
      <c r="A38" s="120" t="s">
        <v>40</v>
      </c>
      <c r="B38" s="15">
        <f>IF(OR(7792.71575="",7792.71575="***"),"-",7792.71575/2487345.59713*100)</f>
        <v>0.31329445168341508</v>
      </c>
      <c r="C38" s="15">
        <f>IF(10064.4466="","-",10064.4466/2560872.65018*100)</f>
        <v>0.3930084769850849</v>
      </c>
      <c r="D38" s="15">
        <f>IF(24836.0357="","-",24836.0357/2248863.79366*100)</f>
        <v>1.1043815001165382</v>
      </c>
      <c r="E38" s="15">
        <f>IF(38829.35444="","-",38829.35444/2819533.73145*100)</f>
        <v>1.3771551660079362</v>
      </c>
      <c r="F38" s="15">
        <f>IF(49611.01437="","-",49611.01437/3985166.5274*100)</f>
        <v>1.2448918766355088</v>
      </c>
      <c r="G38" s="122">
        <f>IF(44134.56839="","-",44134.56839/3737310.64393*100)</f>
        <v>1.1809178469464858</v>
      </c>
    </row>
    <row r="39" spans="1:7" x14ac:dyDescent="0.2">
      <c r="A39" s="120" t="s">
        <v>74</v>
      </c>
      <c r="B39" s="15">
        <f>IF(OR(34298.569="",34298.569="***"),"-",34298.569/2487345.59713*100)</f>
        <v>1.3789225365214661</v>
      </c>
      <c r="C39" s="15">
        <f>IF(34510.21064="","-",34510.21064/2560872.65018*100)</f>
        <v>1.3475957360696686</v>
      </c>
      <c r="D39" s="15">
        <f>IF(33128.27041="","-",33128.27041/2248863.79366*100)</f>
        <v>1.4731114664834422</v>
      </c>
      <c r="E39" s="15">
        <f>IF(32766.39989="","-",32766.39989/2819533.73145*100)</f>
        <v>1.1621212232545004</v>
      </c>
      <c r="F39" s="15">
        <f>IF(61543.92478="","-",61543.92478/3985166.5274*100)</f>
        <v>1.5443250453112796</v>
      </c>
      <c r="G39" s="122">
        <f>IF(43086.24904="","-",43086.24904/3737310.64393*100)</f>
        <v>1.1528677475601092</v>
      </c>
    </row>
    <row r="40" spans="1:7" x14ac:dyDescent="0.2">
      <c r="A40" s="120" t="s">
        <v>81</v>
      </c>
      <c r="B40" s="15">
        <f>IF(OR(15245.00206="",15245.00206="***"),"-",15245.00206/2487345.59713*100)</f>
        <v>0.61290244819981188</v>
      </c>
      <c r="C40" s="15">
        <f>IF(9254.87877="","-",9254.87877/2560872.65018*100)</f>
        <v>0.36139550982160273</v>
      </c>
      <c r="D40" s="15">
        <f>IF(12802.5205="","-",12802.5205/2248863.79366*100)</f>
        <v>0.56928839070169057</v>
      </c>
      <c r="E40" s="15">
        <f>IF(13113.33087="","-",13113.33087/2819533.73145*100)</f>
        <v>0.46508863234121389</v>
      </c>
      <c r="F40" s="15">
        <f>IF(23333.50123="","-",23333.50123/3985166.5274*100)</f>
        <v>0.58550881298361279</v>
      </c>
      <c r="G40" s="122">
        <f>IF(39688.13519="","-",39688.13519/3737310.64393*100)</f>
        <v>1.0619437068861264</v>
      </c>
    </row>
    <row r="41" spans="1:7" x14ac:dyDescent="0.2">
      <c r="A41" s="120" t="s">
        <v>93</v>
      </c>
      <c r="B41" s="15">
        <f>IF(OR(45249.61835="",45249.61835="***"),"-",45249.61835/2487345.59713*100)</f>
        <v>1.8191930547251187</v>
      </c>
      <c r="C41" s="15">
        <f>IF(31202.22862="","-",31202.22862/2560872.65018*100)</f>
        <v>1.2184217211194333</v>
      </c>
      <c r="D41" s="15">
        <f>IF(27058.35895="","-",27058.35895/2248863.79366*100)</f>
        <v>1.2032013244324964</v>
      </c>
      <c r="E41" s="15">
        <f>IF(28854.58693="","-",28854.58693/2819533.73145*100)</f>
        <v>1.0233815119197376</v>
      </c>
      <c r="F41" s="15">
        <f>IF(34710.73497="","-",34710.73497/3985166.5274*100)</f>
        <v>0.87099835681511539</v>
      </c>
      <c r="G41" s="122">
        <f>IF(36500.90868="","-",36500.90868/3737310.64393*100)</f>
        <v>0.97666242273126025</v>
      </c>
    </row>
    <row r="42" spans="1:7" x14ac:dyDescent="0.2">
      <c r="A42" s="120" t="s">
        <v>43</v>
      </c>
      <c r="B42" s="15">
        <f>IF(OR(74505.91507="",74505.91507="***"),"-",74505.91507/2487345.59713*100)</f>
        <v>2.9953985950311024</v>
      </c>
      <c r="C42" s="15">
        <f>IF(46066.78645="","-",46066.78645/2560872.65018*100)</f>
        <v>1.7988706485174901</v>
      </c>
      <c r="D42" s="15">
        <f>IF(39095.27104="","-",39095.27104/2248863.79366*100)</f>
        <v>1.7384454830131304</v>
      </c>
      <c r="E42" s="15">
        <f>IF(57409.70377="","-",57409.70377/2819533.73145*100)</f>
        <v>2.036141760945557</v>
      </c>
      <c r="F42" s="15">
        <f>IF(59183.18607="","-",59183.18607/3985166.5274*100)</f>
        <v>1.4850869007125849</v>
      </c>
      <c r="G42" s="122">
        <f>IF(36364.01934="","-",36364.01934/3737310.64393*100)</f>
        <v>0.97299964612417433</v>
      </c>
    </row>
    <row r="43" spans="1:7" ht="12" customHeight="1" x14ac:dyDescent="0.2">
      <c r="A43" s="120" t="s">
        <v>57</v>
      </c>
      <c r="B43" s="15">
        <f>IF(OR(32203.40701="",32203.40701="***"),"-",32203.40701/2487345.59713*100)</f>
        <v>1.2946896903734484</v>
      </c>
      <c r="C43" s="15">
        <f>IF(35625.62534="","-",35625.62534/2560872.65018*100)</f>
        <v>1.3911517754502916</v>
      </c>
      <c r="D43" s="15">
        <f>IF(25849.03298="","-",25849.03298/2248863.79366*100)</f>
        <v>1.1494263482240956</v>
      </c>
      <c r="E43" s="15">
        <f>IF(35316.78253="","-",35316.78253/2819533.73145*100)</f>
        <v>1.2525752799501944</v>
      </c>
      <c r="F43" s="15">
        <f>IF(30269.56384="","-",30269.56384/3985166.5274*100)</f>
        <v>0.75955580856864346</v>
      </c>
      <c r="G43" s="122">
        <f>IF(34213.69767="","-",34213.69767/3737310.64393*100)</f>
        <v>0.91546304093208331</v>
      </c>
    </row>
    <row r="44" spans="1:7" x14ac:dyDescent="0.2">
      <c r="A44" s="120" t="s">
        <v>110</v>
      </c>
      <c r="B44" s="15">
        <f>IF(OR(52495.7271="",52495.7271="***"),"-",52495.7271/2487345.59713*100)</f>
        <v>2.1105119916014763</v>
      </c>
      <c r="C44" s="15">
        <f>IF(76992.99524="","-",76992.99524/2560872.65018*100)</f>
        <v>3.006514019140635</v>
      </c>
      <c r="D44" s="15">
        <f>IF(55259.94842="","-",55259.94842/2248863.79366*100)</f>
        <v>2.4572385653497082</v>
      </c>
      <c r="E44" s="15">
        <f>IF(102832.02411="","-",102832.02411/2819533.73145*100)</f>
        <v>3.6471287065296654</v>
      </c>
      <c r="F44" s="15">
        <f>IF(62264.92533="","-",62264.92533/3985166.5274*100)</f>
        <v>1.5624171512507117</v>
      </c>
      <c r="G44" s="122">
        <f>IF(29141.66996="","-",29141.66996/3737310.64393*100)</f>
        <v>0.77974973815277593</v>
      </c>
    </row>
    <row r="45" spans="1:7" x14ac:dyDescent="0.2">
      <c r="A45" s="120" t="s">
        <v>89</v>
      </c>
      <c r="B45" s="15">
        <f>IF(OR(8575.90671="",8575.90671="***"),"-",8575.90671/2487345.59713*100)</f>
        <v>0.34478146984863012</v>
      </c>
      <c r="C45" s="15">
        <f>IF(9459.48893="","-",9459.48893/2560872.65018*100)</f>
        <v>0.36938537062103055</v>
      </c>
      <c r="D45" s="15">
        <f>IF(10082.09339="","-",10082.09339/2248863.79366*100)</f>
        <v>0.44831943216941161</v>
      </c>
      <c r="E45" s="15">
        <f>IF(10342.6263="","-",10342.6263/2819533.73145*100)</f>
        <v>0.36682044923367896</v>
      </c>
      <c r="F45" s="15">
        <f>IF(14529.66145="","-",14529.66145/3985166.5274*100)</f>
        <v>0.3645935834826815</v>
      </c>
      <c r="G45" s="122">
        <f>IF(27169.20037="","-",27169.20037/3737310.64393*100)</f>
        <v>0.72697195814126925</v>
      </c>
    </row>
    <row r="46" spans="1:7" x14ac:dyDescent="0.2">
      <c r="A46" s="120" t="s">
        <v>90</v>
      </c>
      <c r="B46" s="15">
        <f>IF(OR(13855.40273="",13855.40273="***"),"-",13855.40273/2487345.59713*100)</f>
        <v>0.557035690817831</v>
      </c>
      <c r="C46" s="15">
        <f>IF(11497.22246="","-",11497.22246/2560872.65018*100)</f>
        <v>0.44895721226871155</v>
      </c>
      <c r="D46" s="15">
        <f>IF(11024.54337="","-",11024.54337/2248863.79366*100)</f>
        <v>0.49022726058734228</v>
      </c>
      <c r="E46" s="15">
        <f>IF(24261.03739="","-",24261.03739/2819533.73145*100)</f>
        <v>0.86046274670824008</v>
      </c>
      <c r="F46" s="15">
        <f>IF(17022.76415="","-",17022.76415/3985166.5274*100)</f>
        <v>0.42715314486759931</v>
      </c>
      <c r="G46" s="122">
        <f>IF(26568.29607="","-",26568.29607/3737310.64393*100)</f>
        <v>0.71089343651834869</v>
      </c>
    </row>
    <row r="47" spans="1:7" x14ac:dyDescent="0.2">
      <c r="A47" s="121" t="s">
        <v>96</v>
      </c>
      <c r="B47" s="10">
        <f>IF(OR(37491.77735="",37491.77735="***"),"-",37491.77735/2487345.59713*100)</f>
        <v>1.5073006900713566</v>
      </c>
      <c r="C47" s="10">
        <f>IF(28413.70117="","-",28413.70117/2560872.65018*100)</f>
        <v>1.1095319858253336</v>
      </c>
      <c r="D47" s="10">
        <f>IF(21538.35798="","-",21538.35798/2248863.79366*100)</f>
        <v>0.95774399680056077</v>
      </c>
      <c r="E47" s="10">
        <f>IF(20362.80964="","-",20362.80964/2819533.73145*100)</f>
        <v>0.72220486007550011</v>
      </c>
      <c r="F47" s="10">
        <f>IF(20160.19267="","-",20160.19267/3985166.5274*100)</f>
        <v>0.50588080902990273</v>
      </c>
      <c r="G47" s="12">
        <f>IF(21555.31281="","-",21555.31281/3737310.64393*100)</f>
        <v>0.57675999839642256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58"/>
  <sheetViews>
    <sheetView zoomScaleNormal="100"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2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8" ht="15" customHeight="1" x14ac:dyDescent="0.2">
      <c r="A2" s="148" t="s">
        <v>82</v>
      </c>
      <c r="B2" s="148"/>
      <c r="C2" s="148"/>
      <c r="D2" s="148"/>
      <c r="E2" s="148"/>
      <c r="F2" s="148"/>
      <c r="G2" s="148"/>
    </row>
    <row r="3" spans="1:8" ht="15" customHeight="1" x14ac:dyDescent="0.2">
      <c r="A3" s="98"/>
      <c r="B3" s="98"/>
      <c r="C3" s="98"/>
      <c r="D3" s="98"/>
      <c r="E3" s="98"/>
      <c r="F3" s="98"/>
      <c r="G3" s="98"/>
    </row>
    <row r="4" spans="1:8" ht="15" customHeight="1" x14ac:dyDescent="0.2">
      <c r="A4" s="48"/>
      <c r="B4" s="48"/>
      <c r="C4" s="48"/>
      <c r="D4" s="48"/>
      <c r="E4" s="48"/>
      <c r="F4" s="48"/>
      <c r="G4" s="48"/>
    </row>
    <row r="5" spans="1:8" ht="15" customHeight="1" x14ac:dyDescent="0.2">
      <c r="A5" s="48"/>
      <c r="B5" s="48"/>
      <c r="C5" s="48"/>
      <c r="D5" s="48"/>
      <c r="E5" s="48"/>
      <c r="F5" s="48"/>
      <c r="G5" s="48"/>
    </row>
    <row r="6" spans="1:8" x14ac:dyDescent="0.2">
      <c r="A6" s="147"/>
      <c r="B6" s="147"/>
      <c r="C6" s="147"/>
      <c r="D6" s="147"/>
      <c r="E6" s="147"/>
      <c r="F6" s="147"/>
      <c r="G6" s="147"/>
      <c r="H6" s="147"/>
    </row>
    <row r="28" spans="1:6" x14ac:dyDescent="0.2">
      <c r="A28" s="91" t="s">
        <v>106</v>
      </c>
      <c r="B28" s="37" t="s">
        <v>44</v>
      </c>
    </row>
    <row r="29" spans="1:6" ht="15" x14ac:dyDescent="0.2">
      <c r="A29" s="113" t="s">
        <v>65</v>
      </c>
      <c r="B29" s="108">
        <v>12.4</v>
      </c>
      <c r="C29" s="105"/>
      <c r="D29" s="95"/>
      <c r="E29" s="96"/>
      <c r="F29" s="96"/>
    </row>
    <row r="30" spans="1:6" ht="15" x14ac:dyDescent="0.2">
      <c r="A30" s="114" t="s">
        <v>60</v>
      </c>
      <c r="B30" s="34">
        <v>10.4</v>
      </c>
      <c r="C30" s="105"/>
      <c r="D30" s="95"/>
      <c r="E30" s="96"/>
      <c r="F30" s="96"/>
    </row>
    <row r="31" spans="1:6" ht="15" x14ac:dyDescent="0.2">
      <c r="A31" s="114" t="s">
        <v>79</v>
      </c>
      <c r="B31" s="34">
        <v>12.3</v>
      </c>
      <c r="C31" s="105"/>
      <c r="D31" s="95"/>
      <c r="E31" s="96"/>
      <c r="F31" s="96"/>
    </row>
    <row r="32" spans="1:6" ht="15" x14ac:dyDescent="0.2">
      <c r="A32" s="114" t="s">
        <v>61</v>
      </c>
      <c r="B32" s="34">
        <v>8.1999999999999993</v>
      </c>
      <c r="C32" s="105"/>
      <c r="D32" s="95"/>
      <c r="E32" s="96"/>
      <c r="F32" s="96"/>
    </row>
    <row r="33" spans="1:6" ht="15" x14ac:dyDescent="0.2">
      <c r="A33" s="114" t="s">
        <v>67</v>
      </c>
      <c r="B33" s="34">
        <v>6.8</v>
      </c>
      <c r="C33" s="105"/>
      <c r="D33" s="95"/>
      <c r="E33" s="96"/>
      <c r="F33" s="96"/>
    </row>
    <row r="34" spans="1:6" ht="15" x14ac:dyDescent="0.2">
      <c r="A34" s="114" t="s">
        <v>62</v>
      </c>
      <c r="B34" s="34">
        <v>9.4</v>
      </c>
      <c r="C34" s="105"/>
      <c r="D34" s="95"/>
      <c r="E34" s="96"/>
      <c r="F34" s="96"/>
    </row>
    <row r="35" spans="1:6" ht="15" x14ac:dyDescent="0.2">
      <c r="A35" s="114" t="s">
        <v>63</v>
      </c>
      <c r="B35" s="34">
        <v>8.6999999999999993</v>
      </c>
      <c r="C35" s="105"/>
      <c r="D35" s="95"/>
      <c r="E35" s="96"/>
      <c r="F35" s="96"/>
    </row>
    <row r="36" spans="1:6" ht="15" x14ac:dyDescent="0.2">
      <c r="A36" s="114" t="s">
        <v>69</v>
      </c>
      <c r="B36" s="34">
        <v>4.0999999999999996</v>
      </c>
      <c r="C36" s="105"/>
      <c r="D36" s="95"/>
      <c r="E36" s="96"/>
      <c r="F36" s="96"/>
    </row>
    <row r="37" spans="1:6" ht="15" x14ac:dyDescent="0.2">
      <c r="A37" s="114" t="s">
        <v>66</v>
      </c>
      <c r="B37" s="34">
        <v>3.4</v>
      </c>
      <c r="C37" s="105"/>
      <c r="D37" s="95"/>
      <c r="E37" s="96"/>
      <c r="F37" s="96"/>
    </row>
    <row r="38" spans="1:6" ht="15" x14ac:dyDescent="0.2">
      <c r="A38" s="114" t="s">
        <v>76</v>
      </c>
      <c r="B38" s="34">
        <v>2.2000000000000002</v>
      </c>
      <c r="C38" s="105"/>
      <c r="D38" s="95"/>
      <c r="E38" s="96"/>
      <c r="F38" s="96"/>
    </row>
    <row r="39" spans="1:6" ht="15" x14ac:dyDescent="0.2">
      <c r="A39" s="114" t="s">
        <v>78</v>
      </c>
      <c r="B39" s="34">
        <v>2.2000000000000002</v>
      </c>
      <c r="C39" s="105"/>
      <c r="D39" s="95"/>
      <c r="E39" s="96"/>
      <c r="F39" s="96"/>
    </row>
    <row r="40" spans="1:6" ht="15" x14ac:dyDescent="0.2">
      <c r="A40" s="114" t="s">
        <v>111</v>
      </c>
      <c r="B40" s="34">
        <v>1.3</v>
      </c>
      <c r="C40" s="105"/>
      <c r="D40" s="95"/>
      <c r="E40" s="96"/>
      <c r="F40" s="96"/>
    </row>
    <row r="41" spans="1:6" ht="15" x14ac:dyDescent="0.2">
      <c r="A41" s="114" t="s">
        <v>72</v>
      </c>
      <c r="B41" s="34">
        <v>2.1</v>
      </c>
      <c r="C41" s="103"/>
      <c r="D41" s="95"/>
      <c r="E41" s="97"/>
      <c r="F41" s="97"/>
    </row>
    <row r="42" spans="1:6" ht="15" x14ac:dyDescent="0.2">
      <c r="A42" s="115" t="s">
        <v>68</v>
      </c>
      <c r="B42" s="12">
        <v>16.5</v>
      </c>
      <c r="C42" s="103"/>
      <c r="D42" s="95"/>
      <c r="E42" s="97"/>
      <c r="F42" s="97"/>
    </row>
    <row r="43" spans="1:6" x14ac:dyDescent="0.2">
      <c r="A43" s="59"/>
      <c r="B43" s="77"/>
    </row>
    <row r="44" spans="1:6" x14ac:dyDescent="0.2">
      <c r="A44" s="106" t="s">
        <v>107</v>
      </c>
      <c r="B44" s="27" t="s">
        <v>44</v>
      </c>
    </row>
    <row r="45" spans="1:6" ht="15" x14ac:dyDescent="0.2">
      <c r="A45" s="113" t="s">
        <v>65</v>
      </c>
      <c r="B45" s="108">
        <v>15.5</v>
      </c>
      <c r="D45" s="96"/>
    </row>
    <row r="46" spans="1:6" ht="15" x14ac:dyDescent="0.2">
      <c r="A46" s="114" t="s">
        <v>60</v>
      </c>
      <c r="B46" s="34">
        <v>10.3</v>
      </c>
      <c r="D46" s="96"/>
    </row>
    <row r="47" spans="1:6" ht="15" x14ac:dyDescent="0.2">
      <c r="A47" s="114" t="s">
        <v>79</v>
      </c>
      <c r="B47" s="34">
        <v>10.3</v>
      </c>
      <c r="D47" s="96"/>
    </row>
    <row r="48" spans="1:6" ht="15" x14ac:dyDescent="0.2">
      <c r="A48" s="114" t="s">
        <v>61</v>
      </c>
      <c r="B48" s="34">
        <v>9.1</v>
      </c>
      <c r="D48" s="96"/>
    </row>
    <row r="49" spans="1:4" ht="15" x14ac:dyDescent="0.2">
      <c r="A49" s="114" t="s">
        <v>67</v>
      </c>
      <c r="B49" s="34">
        <v>7</v>
      </c>
      <c r="D49" s="96"/>
    </row>
    <row r="50" spans="1:4" ht="15" x14ac:dyDescent="0.2">
      <c r="A50" s="114" t="s">
        <v>62</v>
      </c>
      <c r="B50" s="34">
        <v>7</v>
      </c>
      <c r="D50" s="96"/>
    </row>
    <row r="51" spans="1:4" ht="15" x14ac:dyDescent="0.2">
      <c r="A51" s="114" t="s">
        <v>63</v>
      </c>
      <c r="B51" s="34">
        <v>6.1</v>
      </c>
      <c r="D51" s="96"/>
    </row>
    <row r="52" spans="1:4" ht="15" x14ac:dyDescent="0.2">
      <c r="A52" s="114" t="s">
        <v>69</v>
      </c>
      <c r="B52" s="34">
        <v>5</v>
      </c>
      <c r="D52" s="96"/>
    </row>
    <row r="53" spans="1:4" ht="15" x14ac:dyDescent="0.2">
      <c r="A53" s="114" t="s">
        <v>66</v>
      </c>
      <c r="B53" s="34">
        <v>3.6</v>
      </c>
      <c r="D53" s="96"/>
    </row>
    <row r="54" spans="1:4" ht="15" x14ac:dyDescent="0.2">
      <c r="A54" s="114" t="s">
        <v>76</v>
      </c>
      <c r="B54" s="34">
        <v>2.6</v>
      </c>
      <c r="D54" s="96"/>
    </row>
    <row r="55" spans="1:4" ht="15" x14ac:dyDescent="0.2">
      <c r="A55" s="114" t="s">
        <v>78</v>
      </c>
      <c r="B55" s="34">
        <v>2</v>
      </c>
      <c r="D55" s="96"/>
    </row>
    <row r="56" spans="1:4" ht="15" x14ac:dyDescent="0.2">
      <c r="A56" s="114" t="s">
        <v>111</v>
      </c>
      <c r="B56" s="34">
        <v>1.6</v>
      </c>
      <c r="D56" s="96"/>
    </row>
    <row r="57" spans="1:4" ht="15" x14ac:dyDescent="0.2">
      <c r="A57" s="100" t="s">
        <v>72</v>
      </c>
      <c r="B57" s="125">
        <v>1.5</v>
      </c>
      <c r="D57" s="97"/>
    </row>
    <row r="58" spans="1:4" x14ac:dyDescent="0.2">
      <c r="A58" s="124" t="s">
        <v>68</v>
      </c>
      <c r="B58" s="112">
        <v>18.399999999999999</v>
      </c>
    </row>
  </sheetData>
  <mergeCells count="2">
    <mergeCell ref="A6:H6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0"/>
  <sheetViews>
    <sheetView workbookViewId="0">
      <selection activeCell="A2" sqref="A2:M2"/>
    </sheetView>
  </sheetViews>
  <sheetFormatPr defaultRowHeight="12" x14ac:dyDescent="0.2"/>
  <cols>
    <col min="1" max="1" width="8.5703125" style="3" customWidth="1"/>
    <col min="2" max="2" width="9.7109375" style="3" customWidth="1"/>
    <col min="3" max="3" width="10" style="3" customWidth="1"/>
    <col min="4" max="4" width="9.5703125" style="3" customWidth="1"/>
    <col min="5" max="5" width="9.28515625" style="3" bestFit="1" customWidth="1"/>
    <col min="6" max="6" width="10.28515625" style="3" customWidth="1"/>
    <col min="7" max="7" width="9.28515625" style="3" bestFit="1" customWidth="1"/>
    <col min="8" max="8" width="10" style="3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46" t="s">
        <v>86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5" t="s">
        <v>0</v>
      </c>
      <c r="B22" s="25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374.3</v>
      </c>
      <c r="C23" s="33">
        <v>427.6</v>
      </c>
      <c r="D23" s="33">
        <v>524.1</v>
      </c>
      <c r="E23" s="33">
        <v>444.6</v>
      </c>
      <c r="F23" s="33">
        <v>505.6</v>
      </c>
      <c r="G23" s="33">
        <v>458.7</v>
      </c>
      <c r="H23" s="33">
        <v>488</v>
      </c>
      <c r="I23" s="33">
        <v>480.7</v>
      </c>
      <c r="J23" s="33">
        <v>474</v>
      </c>
      <c r="K23" s="33">
        <v>540.6</v>
      </c>
      <c r="L23" s="33">
        <v>522.6</v>
      </c>
      <c r="M23" s="34">
        <v>519.29999999999995</v>
      </c>
    </row>
    <row r="24" spans="1:13" x14ac:dyDescent="0.2">
      <c r="A24" s="28">
        <v>2019</v>
      </c>
      <c r="B24" s="33">
        <v>372.6</v>
      </c>
      <c r="C24" s="33">
        <v>459.3</v>
      </c>
      <c r="D24" s="33">
        <v>533.79999999999995</v>
      </c>
      <c r="E24" s="33">
        <v>515.6</v>
      </c>
      <c r="F24" s="33">
        <v>481.6</v>
      </c>
      <c r="G24" s="33">
        <v>445.4</v>
      </c>
      <c r="H24" s="33">
        <v>499.1</v>
      </c>
      <c r="I24" s="33">
        <v>464.3</v>
      </c>
      <c r="J24" s="33">
        <v>501.7</v>
      </c>
      <c r="K24" s="33">
        <v>525.29999999999995</v>
      </c>
      <c r="L24" s="33">
        <v>504.1</v>
      </c>
      <c r="M24" s="34">
        <v>539.70000000000005</v>
      </c>
    </row>
    <row r="25" spans="1:13" x14ac:dyDescent="0.2">
      <c r="A25" s="28">
        <v>2020</v>
      </c>
      <c r="B25" s="33">
        <v>379.8</v>
      </c>
      <c r="C25" s="33">
        <v>484.8</v>
      </c>
      <c r="D25" s="33">
        <v>500.5</v>
      </c>
      <c r="E25" s="33">
        <v>285.60000000000002</v>
      </c>
      <c r="F25" s="33">
        <v>329.4</v>
      </c>
      <c r="G25" s="33">
        <v>413.5</v>
      </c>
      <c r="H25" s="33">
        <v>496.6</v>
      </c>
      <c r="I25" s="33">
        <v>433.6</v>
      </c>
      <c r="J25" s="33">
        <v>508.3</v>
      </c>
      <c r="K25" s="33">
        <v>493.6</v>
      </c>
      <c r="L25" s="33">
        <v>522.9</v>
      </c>
      <c r="M25" s="34">
        <v>567.29999999999995</v>
      </c>
    </row>
    <row r="26" spans="1:13" x14ac:dyDescent="0.2">
      <c r="A26" s="28">
        <v>2021</v>
      </c>
      <c r="B26" s="33">
        <v>399.4</v>
      </c>
      <c r="C26" s="33">
        <v>521.4</v>
      </c>
      <c r="D26" s="33">
        <v>630.1</v>
      </c>
      <c r="E26" s="33">
        <v>562.20000000000005</v>
      </c>
      <c r="F26" s="33">
        <v>563.4</v>
      </c>
      <c r="G26" s="33">
        <v>589.6</v>
      </c>
      <c r="H26" s="33">
        <v>562</v>
      </c>
      <c r="I26" s="33">
        <v>574.9</v>
      </c>
      <c r="J26" s="33">
        <v>671.2</v>
      </c>
      <c r="K26" s="33">
        <v>646.79999999999995</v>
      </c>
      <c r="L26" s="33">
        <v>701.5</v>
      </c>
      <c r="M26" s="34">
        <v>754.2</v>
      </c>
    </row>
    <row r="27" spans="1:13" x14ac:dyDescent="0.2">
      <c r="A27" s="28">
        <v>2022</v>
      </c>
      <c r="B27" s="33">
        <v>621.70000000000005</v>
      </c>
      <c r="C27" s="33">
        <v>669.1</v>
      </c>
      <c r="D27" s="15">
        <v>748.3</v>
      </c>
      <c r="E27" s="15">
        <v>770.4</v>
      </c>
      <c r="F27" s="15">
        <v>772.7</v>
      </c>
      <c r="G27" s="33">
        <v>768.4</v>
      </c>
      <c r="H27" s="33">
        <v>761.1</v>
      </c>
      <c r="I27" s="33">
        <v>780</v>
      </c>
      <c r="J27" s="33">
        <v>844.1</v>
      </c>
      <c r="K27" s="33">
        <v>751.1</v>
      </c>
      <c r="L27" s="33">
        <v>858.3</v>
      </c>
      <c r="M27" s="34">
        <v>873.8</v>
      </c>
    </row>
    <row r="28" spans="1:13" x14ac:dyDescent="0.2">
      <c r="A28" s="29">
        <v>2023</v>
      </c>
      <c r="B28" s="10">
        <v>733.3</v>
      </c>
      <c r="C28" s="10">
        <v>752.5</v>
      </c>
      <c r="D28" s="10">
        <v>821.1</v>
      </c>
      <c r="E28" s="10">
        <v>690.6</v>
      </c>
      <c r="F28" s="10">
        <v>709.2</v>
      </c>
      <c r="G28" s="35">
        <v>665.6</v>
      </c>
      <c r="H28" s="35">
        <v>639.5</v>
      </c>
      <c r="I28" s="35">
        <v>698.9</v>
      </c>
      <c r="J28" s="35">
        <v>702.1</v>
      </c>
      <c r="K28" s="35">
        <v>713.7</v>
      </c>
      <c r="L28" s="35">
        <v>732.2</v>
      </c>
      <c r="M28" s="36"/>
    </row>
    <row r="29" spans="1:13" x14ac:dyDescent="0.2">
      <c r="E29" s="99"/>
    </row>
    <row r="30" spans="1:13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mergeCells count="1"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J32"/>
  <sheetViews>
    <sheetView workbookViewId="0">
      <selection activeCell="A2" sqref="A2:T2"/>
    </sheetView>
  </sheetViews>
  <sheetFormatPr defaultRowHeight="12" x14ac:dyDescent="0.2"/>
  <cols>
    <col min="1" max="1" width="19.140625" style="3" customWidth="1"/>
    <col min="2" max="2" width="6.7109375" style="3" customWidth="1"/>
    <col min="3" max="4" width="5.42578125" style="3" customWidth="1"/>
    <col min="5" max="5" width="5.5703125" style="3" customWidth="1"/>
    <col min="6" max="6" width="5.42578125" style="3" customWidth="1"/>
    <col min="7" max="7" width="6" style="3" customWidth="1"/>
    <col min="8" max="8" width="5.28515625" style="3" customWidth="1"/>
    <col min="9" max="11" width="5.7109375" style="3" customWidth="1"/>
    <col min="12" max="12" width="5.42578125" style="3" customWidth="1"/>
    <col min="13" max="14" width="5.5703125" style="3" customWidth="1"/>
    <col min="15" max="16" width="5.85546875" style="3" customWidth="1"/>
    <col min="17" max="17" width="5.5703125" style="3" customWidth="1"/>
    <col min="18" max="18" width="5.42578125" style="3" customWidth="1"/>
    <col min="19" max="19" width="6" style="3" customWidth="1"/>
    <col min="20" max="20" width="5.42578125" style="3" bestFit="1" customWidth="1"/>
    <col min="21" max="24" width="6" style="3" customWidth="1"/>
    <col min="25" max="25" width="6.42578125" style="3" customWidth="1"/>
    <col min="26" max="28" width="6.28515625" style="3" customWidth="1"/>
    <col min="29" max="30" width="6.7109375" style="3" customWidth="1"/>
    <col min="31" max="31" width="6.5703125" style="3" customWidth="1"/>
    <col min="32" max="32" width="6.140625" style="3" customWidth="1"/>
    <col min="33" max="34" width="5.85546875" style="3" customWidth="1"/>
    <col min="35" max="35" width="5.7109375" style="3" customWidth="1"/>
    <col min="36" max="36" width="5.42578125" style="3" customWidth="1"/>
    <col min="37" max="16384" width="9.140625" style="3"/>
  </cols>
  <sheetData>
    <row r="2" spans="1:20" ht="12.75" x14ac:dyDescent="0.2">
      <c r="A2" s="142" t="s">
        <v>87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3" spans="1:20" x14ac:dyDescent="0.2">
      <c r="A3" s="4"/>
    </row>
    <row r="4" spans="1:20" x14ac:dyDescent="0.2">
      <c r="A4" s="4"/>
    </row>
    <row r="5" spans="1:20" x14ac:dyDescent="0.2">
      <c r="A5" s="4"/>
    </row>
    <row r="6" spans="1:20" x14ac:dyDescent="0.2">
      <c r="A6" s="4"/>
    </row>
    <row r="7" spans="1:20" x14ac:dyDescent="0.2">
      <c r="A7" s="4"/>
    </row>
    <row r="8" spans="1:20" x14ac:dyDescent="0.2">
      <c r="A8" s="4"/>
    </row>
    <row r="9" spans="1:20" x14ac:dyDescent="0.2">
      <c r="A9" s="4"/>
    </row>
    <row r="10" spans="1:20" x14ac:dyDescent="0.2">
      <c r="A10" s="4"/>
    </row>
    <row r="11" spans="1:20" x14ac:dyDescent="0.2">
      <c r="A11" s="4"/>
    </row>
    <row r="12" spans="1:20" x14ac:dyDescent="0.2">
      <c r="A12" s="4"/>
    </row>
    <row r="13" spans="1:20" x14ac:dyDescent="0.2">
      <c r="A13" s="4"/>
    </row>
    <row r="14" spans="1:20" x14ac:dyDescent="0.2">
      <c r="A14" s="4"/>
    </row>
    <row r="15" spans="1:20" x14ac:dyDescent="0.2">
      <c r="A15" s="4"/>
    </row>
    <row r="16" spans="1:20" x14ac:dyDescent="0.2">
      <c r="A16" s="4"/>
    </row>
    <row r="17" spans="1:36" x14ac:dyDescent="0.2">
      <c r="A17" s="4"/>
    </row>
    <row r="18" spans="1:36" x14ac:dyDescent="0.2">
      <c r="A18" s="4"/>
    </row>
    <row r="19" spans="1:36" x14ac:dyDescent="0.2">
      <c r="A19" s="4"/>
    </row>
    <row r="20" spans="1:36" x14ac:dyDescent="0.2">
      <c r="A20" s="4"/>
    </row>
    <row r="21" spans="1:36" ht="15" customHeight="1" x14ac:dyDescent="0.2">
      <c r="A21" s="4"/>
    </row>
    <row r="22" spans="1:36" x14ac:dyDescent="0.2">
      <c r="A22" s="4"/>
    </row>
    <row r="23" spans="1:36" x14ac:dyDescent="0.2">
      <c r="A23" s="149"/>
      <c r="B23" s="139">
        <v>2021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1"/>
      <c r="N23" s="139">
        <v>2022</v>
      </c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1"/>
      <c r="Z23" s="143">
        <v>2023</v>
      </c>
      <c r="AA23" s="144"/>
      <c r="AB23" s="144"/>
      <c r="AC23" s="144"/>
      <c r="AD23" s="144"/>
      <c r="AE23" s="144"/>
      <c r="AF23" s="144"/>
      <c r="AG23" s="144"/>
      <c r="AH23" s="144"/>
      <c r="AI23" s="144"/>
      <c r="AJ23" s="145"/>
    </row>
    <row r="24" spans="1:36" x14ac:dyDescent="0.2">
      <c r="A24" s="150"/>
      <c r="B24" s="21" t="s">
        <v>13</v>
      </c>
      <c r="C24" s="21" t="s">
        <v>14</v>
      </c>
      <c r="D24" s="22" t="s">
        <v>15</v>
      </c>
      <c r="E24" s="21" t="s">
        <v>16</v>
      </c>
      <c r="F24" s="21" t="s">
        <v>17</v>
      </c>
      <c r="G24" s="21" t="s">
        <v>22</v>
      </c>
      <c r="H24" s="21" t="s">
        <v>18</v>
      </c>
      <c r="I24" s="21" t="s">
        <v>23</v>
      </c>
      <c r="J24" s="41" t="s">
        <v>19</v>
      </c>
      <c r="K24" s="29" t="s">
        <v>24</v>
      </c>
      <c r="L24" s="27" t="s">
        <v>20</v>
      </c>
      <c r="M24" s="27" t="s">
        <v>21</v>
      </c>
      <c r="N24" s="49" t="s">
        <v>13</v>
      </c>
      <c r="O24" s="49" t="s">
        <v>14</v>
      </c>
      <c r="P24" s="49" t="s">
        <v>15</v>
      </c>
      <c r="Q24" s="21" t="s">
        <v>16</v>
      </c>
      <c r="R24" s="21" t="s">
        <v>17</v>
      </c>
      <c r="S24" s="21" t="s">
        <v>22</v>
      </c>
      <c r="T24" s="21" t="s">
        <v>18</v>
      </c>
      <c r="U24" s="21" t="s">
        <v>23</v>
      </c>
      <c r="V24" s="21" t="s">
        <v>19</v>
      </c>
      <c r="W24" s="22" t="s">
        <v>24</v>
      </c>
      <c r="X24" s="87" t="s">
        <v>20</v>
      </c>
      <c r="Y24" s="87" t="s">
        <v>21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49" t="s">
        <v>22</v>
      </c>
      <c r="AF24" s="49" t="s">
        <v>18</v>
      </c>
      <c r="AG24" s="49" t="s">
        <v>23</v>
      </c>
      <c r="AH24" s="49" t="s">
        <v>19</v>
      </c>
      <c r="AI24" s="49" t="s">
        <v>24</v>
      </c>
      <c r="AJ24" s="85" t="s">
        <v>20</v>
      </c>
    </row>
    <row r="25" spans="1:36" ht="27.75" customHeight="1" x14ac:dyDescent="0.2">
      <c r="A25" s="16" t="s">
        <v>55</v>
      </c>
      <c r="B25" s="55">
        <v>70.397914008513311</v>
      </c>
      <c r="C25" s="14">
        <v>130.56565598353049</v>
      </c>
      <c r="D25" s="14">
        <v>120.83026196604835</v>
      </c>
      <c r="E25" s="56">
        <v>89.231037795592442</v>
      </c>
      <c r="F25" s="14">
        <v>100.2114807539604</v>
      </c>
      <c r="G25" s="14">
        <v>104.66057637383682</v>
      </c>
      <c r="H25" s="14">
        <v>95.30942393156748</v>
      </c>
      <c r="I25" s="14">
        <v>102.30310816744974</v>
      </c>
      <c r="J25" s="14">
        <v>116.7433114933096</v>
      </c>
      <c r="K25" s="14">
        <v>96.368466717330918</v>
      </c>
      <c r="L25" s="15">
        <v>108.45193596997535</v>
      </c>
      <c r="M25" s="11">
        <v>107.60757399325725</v>
      </c>
      <c r="N25" s="107">
        <v>82.42810256467493</v>
      </c>
      <c r="O25" s="14">
        <v>107.62832847463979</v>
      </c>
      <c r="P25" s="14">
        <v>111.83649823538117</v>
      </c>
      <c r="Q25" s="14">
        <v>102.95945766976527</v>
      </c>
      <c r="R25" s="14">
        <v>100.28989015201115</v>
      </c>
      <c r="S25" s="14">
        <v>99.449492493428721</v>
      </c>
      <c r="T25" s="14">
        <v>99.042771669685536</v>
      </c>
      <c r="U25" s="14">
        <v>102.48436324688166</v>
      </c>
      <c r="V25" s="14">
        <v>108.22806008303567</v>
      </c>
      <c r="W25" s="14">
        <v>88.98329870179748</v>
      </c>
      <c r="X25" s="14">
        <v>114.26713676539435</v>
      </c>
      <c r="Y25" s="11">
        <v>101.80088194210491</v>
      </c>
      <c r="Z25" s="55">
        <v>83.926621848561766</v>
      </c>
      <c r="AA25" s="14">
        <v>102.61098940878497</v>
      </c>
      <c r="AB25" s="14">
        <v>109.12124896586097</v>
      </c>
      <c r="AC25" s="14">
        <v>84.108871928407495</v>
      </c>
      <c r="AD25" s="14">
        <v>102.68878207006242</v>
      </c>
      <c r="AE25" s="14">
        <v>93.851597003176721</v>
      </c>
      <c r="AF25" s="14">
        <v>96.086512164873767</v>
      </c>
      <c r="AG25" s="14">
        <v>109.27507416248771</v>
      </c>
      <c r="AH25" s="14">
        <v>100.47049386929925</v>
      </c>
      <c r="AI25" s="14">
        <v>101.64405035986022</v>
      </c>
      <c r="AJ25" s="11">
        <v>102.58910273439675</v>
      </c>
    </row>
    <row r="26" spans="1:36" ht="42" customHeight="1" x14ac:dyDescent="0.2">
      <c r="A26" s="18" t="s">
        <v>56</v>
      </c>
      <c r="B26" s="19">
        <f>IF(379831.59944="","-",399368.86107/379831.59944*100)</f>
        <v>105.14366410240868</v>
      </c>
      <c r="C26" s="10">
        <f>IF(484785.07909="","-",521438.57325/484785.07909*100)</f>
        <v>107.56077192573727</v>
      </c>
      <c r="D26" s="10">
        <f>IF(500496.7331="","-",630055.59405/500496.7331*100)</f>
        <v>125.88605526903886</v>
      </c>
      <c r="E26" s="10">
        <f>IF(285604.18681="","-",562205.14526/285604.18681*100)</f>
        <v>196.84765533007069</v>
      </c>
      <c r="F26" s="10">
        <f>IF(329360.04715="","-",563394.10094/329360.04715*100)</f>
        <v>171.05720800538208</v>
      </c>
      <c r="G26" s="10">
        <f>IF(413539.17419="","-",589651.5133/413539.17419*100)</f>
        <v>142.58661575531545</v>
      </c>
      <c r="H26" s="10">
        <f>IF(496638.96559="","-",561993.46053/496638.96559*100)</f>
        <v>113.15935709199938</v>
      </c>
      <c r="I26" s="10">
        <f>IF(433625.62616="","-",574936.77782/433625.62616*100)</f>
        <v>132.58828425602752</v>
      </c>
      <c r="J26" s="10">
        <f>IF(508337.58442="","-",671200.23342/508337.58442*100)</f>
        <v>132.03828597207149</v>
      </c>
      <c r="K26" s="10">
        <f>IF(493580.30765="","-",646825.37355/493580.30765*100)</f>
        <v>131.0476458490858</v>
      </c>
      <c r="L26" s="10">
        <f>IF(522886.87074="","-",701494.63996/522886.87074*100)</f>
        <v>134.15801375299989</v>
      </c>
      <c r="M26" s="12">
        <f>IF(567302.1235="","-",754196.91196/567302.1235*100)</f>
        <v>132.94448949123316</v>
      </c>
      <c r="N26" s="19">
        <f>IF(399368.86107="","-",621670.20413/399368.86107*100)</f>
        <v>155.66316373900662</v>
      </c>
      <c r="O26" s="10">
        <f>IF(521438.57325="","-",669093.24933/521438.57325*100)</f>
        <v>128.31679197795137</v>
      </c>
      <c r="P26" s="10">
        <f>IF(630055.59405="","-",748290.45998/630055.59405*100)</f>
        <v>118.765783058918</v>
      </c>
      <c r="Q26" s="10">
        <f>IF(562205.14526="","-",770435.79939/562205.14526*100)</f>
        <v>137.03819786880473</v>
      </c>
      <c r="R26" s="10">
        <f>IF(563394.10094="","-",772669.2169/563394.10094*100)</f>
        <v>137.1454219365863</v>
      </c>
      <c r="S26" s="10">
        <f>IF(589651.5133="","-",768415.61486/589651.5133*100)</f>
        <v>130.31690711002199</v>
      </c>
      <c r="T26" s="10">
        <f>IF(561993.46053="","-",761060.1229/561993.46053*100)</f>
        <v>135.42152646798874</v>
      </c>
      <c r="U26" s="10">
        <f>IF(574936.77782="","-",779967.62088/574936.77782*100)</f>
        <v>135.66145895856928</v>
      </c>
      <c r="V26" s="10">
        <f>IF(671200.23342="","-",844143.83056/671200.23342*100)</f>
        <v>125.76631957631956</v>
      </c>
      <c r="W26" s="10">
        <f>IF(646825.37355="","-",751147.02622/646825.37355*100)</f>
        <v>116.12825608516977</v>
      </c>
      <c r="X26" s="10">
        <f>IF(701494.63996="","-",858314.19976/701494.63996*100)</f>
        <v>122.3550617306131</v>
      </c>
      <c r="Y26" s="12">
        <f>IF(754196.91196="","-",873771.42519/754196.91196*100)</f>
        <v>115.85454823982914</v>
      </c>
      <c r="Z26" s="19">
        <f>IF(621670.20413="","-",733326.83984/621670.20413*100)</f>
        <v>117.96075072735046</v>
      </c>
      <c r="AA26" s="10">
        <f>IF(669093.24933="","-",752473.92596/669093.24933*100)</f>
        <v>112.46174232268726</v>
      </c>
      <c r="AB26" s="10">
        <f>IF(748290.45998="","-",821108.94615/748290.45998*100)</f>
        <v>109.73131291449928</v>
      </c>
      <c r="AC26" s="10">
        <f>IF(770435.79939="","-",690625.47191/770435.79939*100)</f>
        <v>89.640885386791396</v>
      </c>
      <c r="AD26" s="10">
        <f>IF(772669.2169="","-",709194.88577/772669.2169*100)</f>
        <v>91.785057597523661</v>
      </c>
      <c r="AE26" s="10">
        <f>IF(768415.61486="","-",665590.72616/768415.61486*100)</f>
        <v>86.618584173522549</v>
      </c>
      <c r="AF26" s="10">
        <f>IF(761060.1229="","-",639542.91406/761060.1229*100)</f>
        <v>84.03316568775648</v>
      </c>
      <c r="AG26" s="10">
        <f>IF(779967.62088="","-",698860.99364/779967.62088*100)</f>
        <v>89.601282788060971</v>
      </c>
      <c r="AH26" s="10">
        <f>IF(844143.83056="","-",702149.09177/844143.83056*100)</f>
        <v>83.178845399391065</v>
      </c>
      <c r="AI26" s="10">
        <f>IF(751147.02622="","-",713692.77644/751147.02622*100)</f>
        <v>95.013725878876059</v>
      </c>
      <c r="AJ26" s="12">
        <f>IF(858314.19976="","-",732171.01563/858314.19976*100)</f>
        <v>85.303379092962487</v>
      </c>
    </row>
    <row r="27" spans="1:36" x14ac:dyDescent="0.2">
      <c r="A27" s="7"/>
      <c r="B27" s="8"/>
      <c r="C27" s="8"/>
      <c r="D27" s="8"/>
      <c r="E27" s="8"/>
      <c r="F27" s="8"/>
      <c r="G27" s="8"/>
      <c r="H27" s="8"/>
    </row>
    <row r="28" spans="1:36" x14ac:dyDescent="0.2">
      <c r="A28" s="7"/>
      <c r="B28" s="8"/>
      <c r="C28" s="8"/>
      <c r="D28" s="8"/>
      <c r="E28" s="8"/>
      <c r="F28" s="8"/>
      <c r="G28" s="8"/>
      <c r="H28" s="8"/>
      <c r="N28" s="58"/>
      <c r="O28" s="15"/>
      <c r="P28" s="15"/>
      <c r="Q28" s="15"/>
      <c r="R28" s="15"/>
      <c r="S28" s="15"/>
      <c r="T28" s="15"/>
      <c r="U28" s="15"/>
      <c r="V28" s="15"/>
      <c r="W28" s="84"/>
      <c r="X28" s="84"/>
      <c r="Y28" s="84"/>
    </row>
    <row r="29" spans="1:36" x14ac:dyDescent="0.2"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36" ht="15.75" x14ac:dyDescent="0.25">
      <c r="N30" s="62"/>
      <c r="O30" s="62"/>
      <c r="P30" s="62"/>
      <c r="Q30" s="15"/>
      <c r="R30" s="15"/>
      <c r="S30" s="15"/>
      <c r="T30" s="15"/>
      <c r="U30" s="15"/>
      <c r="V30" s="67"/>
      <c r="W30" s="76"/>
    </row>
    <row r="31" spans="1:36" ht="15.75" x14ac:dyDescent="0.25">
      <c r="G31" s="42"/>
      <c r="H31" s="42"/>
      <c r="I31" s="45"/>
      <c r="J31" s="42"/>
      <c r="K31" s="42"/>
      <c r="L31" s="42"/>
      <c r="M31" s="45"/>
      <c r="N31" s="42"/>
      <c r="O31" s="45"/>
      <c r="P31" s="42"/>
      <c r="Q31" s="45"/>
      <c r="R31" s="42"/>
      <c r="S31" s="45"/>
      <c r="T31" s="42"/>
      <c r="U31" s="45"/>
      <c r="V31" s="42"/>
      <c r="W31" s="46"/>
      <c r="X31" s="42"/>
      <c r="Y31" s="42"/>
      <c r="Z31" s="42"/>
      <c r="AA31" s="45"/>
      <c r="AB31" s="42"/>
      <c r="AC31" s="44"/>
    </row>
    <row r="32" spans="1:36" ht="15.75" x14ac:dyDescent="0.2">
      <c r="L32" s="45"/>
    </row>
  </sheetData>
  <mergeCells count="5">
    <mergeCell ref="A23:A24"/>
    <mergeCell ref="B23:M23"/>
    <mergeCell ref="N23:Y23"/>
    <mergeCell ref="A2:T2"/>
    <mergeCell ref="Z23:AJ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Figura 1</vt:lpstr>
      <vt:lpstr>Figura 2</vt:lpstr>
      <vt:lpstr>Sheet1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Corina Vicol</cp:lastModifiedBy>
  <cp:lastPrinted>2023-11-15T16:00:27Z</cp:lastPrinted>
  <dcterms:created xsi:type="dcterms:W3CDTF">2017-02-13T11:50:10Z</dcterms:created>
  <dcterms:modified xsi:type="dcterms:W3CDTF">2024-01-16T06:11:11Z</dcterms:modified>
</cp:coreProperties>
</file>