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8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tables/table1.xml" ContentType="application/vnd.openxmlformats-officedocument.spreadsheetml.tab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CorinaVicol\Desktop\COMERT\"/>
    </mc:Choice>
  </mc:AlternateContent>
  <xr:revisionPtr revIDLastSave="0" documentId="13_ncr:1_{5F7F0080-7AB2-40D0-BEF4-AF4B45BE6774}" xr6:coauthVersionLast="47" xr6:coauthVersionMax="47" xr10:uidLastSave="{00000000-0000-0000-0000-000000000000}"/>
  <bookViews>
    <workbookView xWindow="-108" yWindow="-108" windowWidth="23256" windowHeight="12576" tabRatio="857" xr2:uid="{00000000-000D-0000-FFFF-FFFF00000000}"/>
  </bookViews>
  <sheets>
    <sheet name="Figura 1" sheetId="1" r:id="rId1"/>
    <sheet name="Figura 2" sheetId="2" r:id="rId2"/>
    <sheet name="Sheet1" sheetId="18" state="hidden" r:id="rId3"/>
    <sheet name="Figura 3" sheetId="3" r:id="rId4"/>
    <sheet name="Figura 4" sheetId="4" r:id="rId5"/>
    <sheet name="Figura 5" sheetId="5" r:id="rId6"/>
    <sheet name="Figura 6" sheetId="17" r:id="rId7"/>
    <sheet name="Figura 7" sheetId="7" r:id="rId8"/>
    <sheet name="Figura 8" sheetId="8" r:id="rId9"/>
    <sheet name="Figura 9" sheetId="9" r:id="rId10"/>
    <sheet name="Figura 10" sheetId="10" r:id="rId11"/>
    <sheet name="Figura 11" sheetId="16" r:id="rId12"/>
    <sheet name="Figura 12" sheetId="12" r:id="rId13"/>
    <sheet name="Figura 13" sheetId="13" r:id="rId14"/>
    <sheet name="Figura 14" sheetId="14" r:id="rId15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16" l="1"/>
  <c r="F46" i="16"/>
  <c r="E46" i="16"/>
  <c r="D46" i="16"/>
  <c r="C46" i="16"/>
  <c r="B46" i="16"/>
  <c r="G45" i="16"/>
  <c r="F45" i="16"/>
  <c r="E45" i="16"/>
  <c r="D45" i="16"/>
  <c r="C45" i="16"/>
  <c r="B45" i="16"/>
  <c r="G44" i="16"/>
  <c r="F44" i="16"/>
  <c r="E44" i="16"/>
  <c r="D44" i="16"/>
  <c r="C44" i="16"/>
  <c r="B44" i="16"/>
  <c r="G43" i="16"/>
  <c r="F43" i="16"/>
  <c r="E43" i="16"/>
  <c r="D43" i="16"/>
  <c r="C43" i="16"/>
  <c r="B43" i="16"/>
  <c r="G42" i="16"/>
  <c r="F42" i="16"/>
  <c r="E42" i="16"/>
  <c r="D42" i="16"/>
  <c r="C42" i="16"/>
  <c r="B42" i="16"/>
  <c r="G41" i="16"/>
  <c r="F41" i="16"/>
  <c r="E41" i="16"/>
  <c r="D41" i="16"/>
  <c r="C41" i="16"/>
  <c r="B41" i="16"/>
  <c r="G40" i="16"/>
  <c r="F40" i="16"/>
  <c r="E40" i="16"/>
  <c r="D40" i="16"/>
  <c r="C40" i="16"/>
  <c r="B40" i="16"/>
  <c r="G39" i="16"/>
  <c r="F39" i="16"/>
  <c r="E39" i="16"/>
  <c r="D39" i="16"/>
  <c r="C39" i="16"/>
  <c r="B39" i="16"/>
  <c r="G38" i="16"/>
  <c r="F38" i="16"/>
  <c r="E38" i="16"/>
  <c r="D38" i="16"/>
  <c r="C38" i="16"/>
  <c r="B38" i="16"/>
  <c r="G37" i="16"/>
  <c r="F37" i="16"/>
  <c r="E37" i="16"/>
  <c r="D37" i="16"/>
  <c r="C37" i="16"/>
  <c r="B37" i="16"/>
  <c r="G36" i="16"/>
  <c r="F36" i="16"/>
  <c r="E36" i="16"/>
  <c r="D36" i="16"/>
  <c r="C36" i="16"/>
  <c r="B36" i="16"/>
  <c r="G35" i="16"/>
  <c r="F35" i="16"/>
  <c r="E35" i="16"/>
  <c r="D35" i="16"/>
  <c r="C35" i="16"/>
  <c r="B35" i="16"/>
  <c r="G34" i="16"/>
  <c r="F34" i="16"/>
  <c r="E34" i="16"/>
  <c r="D34" i="16"/>
  <c r="C34" i="16"/>
  <c r="B34" i="16"/>
  <c r="G33" i="16"/>
  <c r="F33" i="16"/>
  <c r="E33" i="16"/>
  <c r="D33" i="16"/>
  <c r="C33" i="16"/>
  <c r="B33" i="16"/>
  <c r="G32" i="16"/>
  <c r="F32" i="16"/>
  <c r="E32" i="16"/>
  <c r="D32" i="16"/>
  <c r="C32" i="16"/>
  <c r="B32" i="16"/>
  <c r="G31" i="16"/>
  <c r="F31" i="16"/>
  <c r="E31" i="16"/>
  <c r="D31" i="16"/>
  <c r="C31" i="16"/>
  <c r="B31" i="16"/>
  <c r="G30" i="16"/>
  <c r="F30" i="16"/>
  <c r="E30" i="16"/>
  <c r="D30" i="16"/>
  <c r="C30" i="16"/>
  <c r="B30" i="16"/>
  <c r="G29" i="16"/>
  <c r="F29" i="16"/>
  <c r="E29" i="16"/>
  <c r="D29" i="16"/>
  <c r="C29" i="16"/>
  <c r="B29" i="16"/>
  <c r="G28" i="16"/>
  <c r="F28" i="16"/>
  <c r="E28" i="16"/>
  <c r="D28" i="16"/>
  <c r="C28" i="16"/>
  <c r="B28" i="16"/>
  <c r="G27" i="16"/>
  <c r="F27" i="16"/>
  <c r="E27" i="16"/>
  <c r="D27" i="16"/>
  <c r="C27" i="16"/>
  <c r="B27" i="16"/>
  <c r="G26" i="16"/>
  <c r="F26" i="16"/>
  <c r="E26" i="16"/>
  <c r="D26" i="16"/>
  <c r="C26" i="16"/>
  <c r="B26" i="16"/>
  <c r="G25" i="16"/>
  <c r="F25" i="16"/>
  <c r="E25" i="16"/>
  <c r="D25" i="16"/>
  <c r="C25" i="16"/>
  <c r="B25" i="16"/>
  <c r="AG26" i="8"/>
  <c r="G46" i="5" l="1"/>
  <c r="F46" i="5"/>
  <c r="E46" i="5"/>
  <c r="D46" i="5"/>
  <c r="C46" i="5"/>
  <c r="B46" i="5"/>
  <c r="G45" i="5"/>
  <c r="F45" i="5"/>
  <c r="E45" i="5"/>
  <c r="D45" i="5"/>
  <c r="C45" i="5"/>
  <c r="B45" i="5"/>
  <c r="G44" i="5"/>
  <c r="F44" i="5"/>
  <c r="E44" i="5"/>
  <c r="D44" i="5"/>
  <c r="C44" i="5"/>
  <c r="B44" i="5"/>
  <c r="G43" i="5"/>
  <c r="F43" i="5"/>
  <c r="E43" i="5"/>
  <c r="D43" i="5"/>
  <c r="C43" i="5"/>
  <c r="B43" i="5"/>
  <c r="G42" i="5"/>
  <c r="F42" i="5"/>
  <c r="E42" i="5"/>
  <c r="D42" i="5"/>
  <c r="C42" i="5"/>
  <c r="B42" i="5"/>
  <c r="G41" i="5"/>
  <c r="F41" i="5"/>
  <c r="E41" i="5"/>
  <c r="D41" i="5"/>
  <c r="C41" i="5"/>
  <c r="B41" i="5"/>
  <c r="G40" i="5"/>
  <c r="F40" i="5"/>
  <c r="E40" i="5"/>
  <c r="D40" i="5"/>
  <c r="C40" i="5"/>
  <c r="B40" i="5"/>
  <c r="G39" i="5"/>
  <c r="F39" i="5"/>
  <c r="E39" i="5"/>
  <c r="D39" i="5"/>
  <c r="C39" i="5"/>
  <c r="B39" i="5"/>
  <c r="G38" i="5"/>
  <c r="F38" i="5"/>
  <c r="E38" i="5"/>
  <c r="D38" i="5"/>
  <c r="C38" i="5"/>
  <c r="B38" i="5"/>
  <c r="G37" i="5"/>
  <c r="F37" i="5"/>
  <c r="E37" i="5"/>
  <c r="D37" i="5"/>
  <c r="C37" i="5"/>
  <c r="B37" i="5"/>
  <c r="G36" i="5"/>
  <c r="F36" i="5"/>
  <c r="E36" i="5"/>
  <c r="D36" i="5"/>
  <c r="C36" i="5"/>
  <c r="B36" i="5"/>
  <c r="G35" i="5"/>
  <c r="F35" i="5"/>
  <c r="E35" i="5"/>
  <c r="D35" i="5"/>
  <c r="C35" i="5"/>
  <c r="B35" i="5"/>
  <c r="G34" i="5"/>
  <c r="F34" i="5"/>
  <c r="E34" i="5"/>
  <c r="D34" i="5"/>
  <c r="C34" i="5"/>
  <c r="B34" i="5"/>
  <c r="G33" i="5"/>
  <c r="F33" i="5"/>
  <c r="E33" i="5"/>
  <c r="D33" i="5"/>
  <c r="C33" i="5"/>
  <c r="B33" i="5"/>
  <c r="G32" i="5"/>
  <c r="F32" i="5"/>
  <c r="E32" i="5"/>
  <c r="D32" i="5"/>
  <c r="C32" i="5"/>
  <c r="B32" i="5"/>
  <c r="G31" i="5"/>
  <c r="F31" i="5"/>
  <c r="E31" i="5"/>
  <c r="D31" i="5"/>
  <c r="C31" i="5"/>
  <c r="B31" i="5"/>
  <c r="G30" i="5"/>
  <c r="F30" i="5"/>
  <c r="E30" i="5"/>
  <c r="D30" i="5"/>
  <c r="C30" i="5"/>
  <c r="B30" i="5"/>
  <c r="G29" i="5"/>
  <c r="F29" i="5"/>
  <c r="E29" i="5"/>
  <c r="D29" i="5"/>
  <c r="C29" i="5"/>
  <c r="B29" i="5"/>
  <c r="G28" i="5"/>
  <c r="F28" i="5"/>
  <c r="E28" i="5"/>
  <c r="D28" i="5"/>
  <c r="C28" i="5"/>
  <c r="B28" i="5"/>
  <c r="G27" i="5"/>
  <c r="F27" i="5"/>
  <c r="E27" i="5"/>
  <c r="D27" i="5"/>
  <c r="C27" i="5"/>
  <c r="B27" i="5"/>
  <c r="G26" i="5"/>
  <c r="F26" i="5"/>
  <c r="E26" i="5"/>
  <c r="D26" i="5"/>
  <c r="C26" i="5"/>
  <c r="B26" i="5"/>
  <c r="AG26" i="2" l="1"/>
  <c r="AF26" i="2"/>
  <c r="AE26" i="2"/>
  <c r="AD26" i="2"/>
  <c r="AF26" i="8" l="1"/>
  <c r="AE26" i="8"/>
  <c r="AA26" i="2" l="1"/>
  <c r="AD26" i="8" l="1"/>
  <c r="AC26" i="8"/>
  <c r="AB26" i="8"/>
  <c r="AA26" i="8"/>
  <c r="Z26" i="8"/>
  <c r="AC26" i="2" l="1"/>
  <c r="AB26" i="2"/>
  <c r="Z26" i="2"/>
  <c r="Y26" i="8" l="1"/>
  <c r="X26" i="8"/>
  <c r="Y26" i="2"/>
  <c r="X26" i="2"/>
  <c r="W26" i="8"/>
  <c r="V26" i="8"/>
  <c r="U26" i="8"/>
  <c r="T26" i="8"/>
  <c r="S26" i="8"/>
  <c r="R26" i="8"/>
  <c r="Q26" i="8"/>
  <c r="P26" i="8"/>
  <c r="O26" i="8"/>
  <c r="N26" i="8"/>
  <c r="Q26" i="2" l="1"/>
  <c r="W26" i="2"/>
  <c r="V26" i="2"/>
  <c r="U26" i="2"/>
  <c r="T26" i="2"/>
  <c r="S26" i="2"/>
  <c r="R26" i="2"/>
  <c r="P26" i="2"/>
  <c r="O26" i="2"/>
  <c r="N26" i="2"/>
  <c r="L26" i="8" l="1"/>
  <c r="M26" i="8" l="1"/>
  <c r="K26" i="8"/>
  <c r="J26" i="8"/>
  <c r="I26" i="8"/>
  <c r="H26" i="8"/>
  <c r="G26" i="8"/>
  <c r="F26" i="8"/>
  <c r="E26" i="8"/>
  <c r="D26" i="8"/>
  <c r="C26" i="8"/>
  <c r="B26" i="8"/>
  <c r="M26" i="2" l="1"/>
  <c r="L26" i="2"/>
  <c r="K26" i="2"/>
  <c r="J26" i="2"/>
  <c r="I26" i="2"/>
  <c r="H26" i="2"/>
  <c r="G26" i="2"/>
  <c r="F26" i="2"/>
  <c r="E26" i="2"/>
  <c r="D26" i="2"/>
  <c r="C26" i="2"/>
  <c r="B26" i="2"/>
</calcChain>
</file>

<file path=xl/sharedStrings.xml><?xml version="1.0" encoding="utf-8"?>
<sst xmlns="http://schemas.openxmlformats.org/spreadsheetml/2006/main" count="293" uniqueCount="117">
  <si>
    <t xml:space="preserve"> 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</si>
  <si>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</si>
  <si>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</si>
  <si>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</si>
  <si>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</si>
  <si>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</si>
  <si>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</si>
  <si>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</si>
  <si>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</si>
  <si>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</si>
  <si>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</si>
  <si>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</si>
  <si>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</si>
  <si>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I</t>
  </si>
  <si>
    <t>II</t>
  </si>
  <si>
    <t>III</t>
  </si>
  <si>
    <t>IV</t>
  </si>
  <si>
    <t>V</t>
  </si>
  <si>
    <t>VII</t>
  </si>
  <si>
    <t>IX</t>
  </si>
  <si>
    <t>XI</t>
  </si>
  <si>
    <t>XII</t>
  </si>
  <si>
    <t>VI</t>
  </si>
  <si>
    <t>VIII</t>
  </si>
  <si>
    <t>X</t>
  </si>
  <si>
    <t>Moduri de transport</t>
  </si>
  <si>
    <t>Transport maritim</t>
  </si>
  <si>
    <t>Transport feroviar</t>
  </si>
  <si>
    <t>Transport rutier</t>
  </si>
  <si>
    <t>Transport aerian</t>
  </si>
  <si>
    <t xml:space="preserve">Ţările Uniunii Europene </t>
  </si>
  <si>
    <t xml:space="preserve">Ţările CSI </t>
  </si>
  <si>
    <t xml:space="preserve">Celelalte ţări ale lumii </t>
  </si>
  <si>
    <t>România</t>
  </si>
  <si>
    <t>Germania</t>
  </si>
  <si>
    <t>Turcia</t>
  </si>
  <si>
    <t>Italia</t>
  </si>
  <si>
    <t>Polonia</t>
  </si>
  <si>
    <t>Ucraina</t>
  </si>
  <si>
    <t>Belarus</t>
  </si>
  <si>
    <t>Ungaria</t>
  </si>
  <si>
    <t>Spania</t>
  </si>
  <si>
    <t>Bulgaria</t>
  </si>
  <si>
    <t xml:space="preserve">Regatul Unit </t>
  </si>
  <si>
    <t>%</t>
  </si>
  <si>
    <t>Expedieri poştale</t>
  </si>
  <si>
    <t>Instalaţii fixe de transport</t>
  </si>
  <si>
    <t>Autopropulsie</t>
  </si>
  <si>
    <t>Ţările Uniunii Europene - total</t>
  </si>
  <si>
    <t>Ţările CSI - total</t>
  </si>
  <si>
    <t>Celelalte ţări ale lumii - total</t>
  </si>
  <si>
    <t>Perioada</t>
  </si>
  <si>
    <t>Export</t>
  </si>
  <si>
    <t>Import</t>
  </si>
  <si>
    <t>Balanţa Comercială</t>
  </si>
  <si>
    <t>În % faţă de luna precedentă</t>
  </si>
  <si>
    <t>În % faţă de luna corespunzătoare din anul precedent</t>
  </si>
  <si>
    <t>Grecia</t>
  </si>
  <si>
    <t>Cehia</t>
  </si>
  <si>
    <t>S.U.A.</t>
  </si>
  <si>
    <t>Cereale şi preparate pe bază de cereale</t>
  </si>
  <si>
    <t>Legume şi fructe</t>
  </si>
  <si>
    <t>Seminţe şi fructe oleaginoase</t>
  </si>
  <si>
    <t xml:space="preserve">Grăsimi şi uleiuri vegetale </t>
  </si>
  <si>
    <t>Produse medicinale şi farmaceutice</t>
  </si>
  <si>
    <t xml:space="preserve">Maşini şi aparate electrice </t>
  </si>
  <si>
    <t>Mobilă şi părţile ei</t>
  </si>
  <si>
    <t>Îmbrăcăminte şi accesorii</t>
  </si>
  <si>
    <t>Alte mărfuri</t>
  </si>
  <si>
    <t>Băuturi alcoolice şi nealcoolice</t>
  </si>
  <si>
    <t>Gaz şi produse industriale obţinute din gaz</t>
  </si>
  <si>
    <t xml:space="preserve">Maşini şi aparate specializate </t>
  </si>
  <si>
    <t xml:space="preserve">Vehicule rutiere </t>
  </si>
  <si>
    <t xml:space="preserve">Maşini şi aparate industriale </t>
  </si>
  <si>
    <t>Netherlands</t>
  </si>
  <si>
    <t>Vehicule rutiere</t>
  </si>
  <si>
    <t>Articole din minerale nemetalice</t>
  </si>
  <si>
    <t xml:space="preserve">Petrol, produse petroliere </t>
  </si>
  <si>
    <t xml:space="preserve">Fire, tesături, articole textile </t>
  </si>
  <si>
    <t>Petrol, produse petroliere</t>
  </si>
  <si>
    <t xml:space="preserve">Aparate şi echipamente de telecomunicaţii </t>
  </si>
  <si>
    <t>Kazahstan</t>
  </si>
  <si>
    <r>
      <rPr>
        <b/>
        <sz val="10"/>
        <color theme="1"/>
        <rFont val="Arial"/>
        <family val="2"/>
        <charset val="204"/>
      </rPr>
      <t xml:space="preserve">Figura 6. </t>
    </r>
    <r>
      <rPr>
        <b/>
        <i/>
        <sz val="10"/>
        <color theme="1"/>
        <rFont val="Arial"/>
        <family val="2"/>
        <charset val="204"/>
      </rPr>
      <t>Structura exporturilor, pe grupe de mărfuri (%)</t>
    </r>
  </si>
  <si>
    <r>
      <t xml:space="preserve">Figura 12. </t>
    </r>
    <r>
      <rPr>
        <b/>
        <i/>
        <sz val="10"/>
        <color theme="1"/>
        <rFont val="Arial"/>
        <family val="2"/>
        <charset val="204"/>
      </rPr>
      <t>Structura importurilor, pe grupe de mărfuri (%)</t>
    </r>
  </si>
  <si>
    <r>
      <t xml:space="preserve">Figura 1. </t>
    </r>
    <r>
      <rPr>
        <b/>
        <i/>
        <sz val="10"/>
        <color theme="1"/>
        <rFont val="Arial"/>
        <family val="2"/>
        <charset val="204"/>
      </rPr>
      <t>Evoluţia lunară a exporturilor de mărfuri, în anii 2018-2023 (milioane dolari SUA)</t>
    </r>
  </si>
  <si>
    <r>
      <t xml:space="preserve">Figura 2. </t>
    </r>
    <r>
      <rPr>
        <b/>
        <i/>
        <sz val="10"/>
        <color indexed="8"/>
        <rFont val="Arial"/>
        <family val="2"/>
        <charset val="204"/>
      </rPr>
      <t>Evoluţia lunară a indicilor valorici ai exporturilor de mărfuri, în anii 2021-2023 (%)</t>
    </r>
  </si>
  <si>
    <r>
      <rPr>
        <b/>
        <sz val="10"/>
        <color indexed="8"/>
        <rFont val="Arial"/>
        <family val="2"/>
        <charset val="204"/>
      </rPr>
      <t>Figura 7.</t>
    </r>
    <r>
      <rPr>
        <b/>
        <i/>
        <sz val="10"/>
        <color indexed="8"/>
        <rFont val="Arial"/>
        <family val="2"/>
        <charset val="204"/>
      </rPr>
      <t xml:space="preserve"> Evoluţia lunară a importurilor de mărfuri, în anii 2018-2023 (milioane dolari SUA)</t>
    </r>
  </si>
  <si>
    <r>
      <t xml:space="preserve">Figura 8. </t>
    </r>
    <r>
      <rPr>
        <b/>
        <i/>
        <sz val="10"/>
        <color indexed="8"/>
        <rFont val="Arial"/>
        <family val="2"/>
        <charset val="204"/>
      </rPr>
      <t>Evoluţia lunară a indicilor valorici ai importurilor de mărfuri, în anii 2021-2023 (%)</t>
    </r>
  </si>
  <si>
    <r>
      <t xml:space="preserve">Figura 13. </t>
    </r>
    <r>
      <rPr>
        <b/>
        <i/>
        <sz val="10"/>
        <color indexed="8"/>
        <rFont val="Arial"/>
        <family val="2"/>
        <charset val="204"/>
      </rPr>
      <t>Evoluţia lunară a balanţei comerciale, în anii 2018-2023 (milioane dolari SUA)</t>
    </r>
  </si>
  <si>
    <t>Cipru</t>
  </si>
  <si>
    <t>Liban</t>
  </si>
  <si>
    <t>Articole prelucrate din metal</t>
  </si>
  <si>
    <t>Federația Rusă</t>
  </si>
  <si>
    <t>Franța</t>
  </si>
  <si>
    <t>China</t>
  </si>
  <si>
    <t>India</t>
  </si>
  <si>
    <t>Austria</t>
  </si>
  <si>
    <t>Japonia</t>
  </si>
  <si>
    <t>Slovacia</t>
  </si>
  <si>
    <t>Ianuarie-august 2023</t>
  </si>
  <si>
    <t>Ianuarie-august 2022</t>
  </si>
  <si>
    <t>Ianuarie-august 2021</t>
  </si>
  <si>
    <t>Ianuarie-august 2020</t>
  </si>
  <si>
    <t>Ianuarie-august 2019</t>
  </si>
  <si>
    <t>Ianuarie-august 2018</t>
  </si>
  <si>
    <t xml:space="preserve">   Ianuarie-august 2022</t>
  </si>
  <si>
    <t xml:space="preserve">   Ianuarie-august 2023</t>
  </si>
  <si>
    <r>
      <t xml:space="preserve">Figura 9. </t>
    </r>
    <r>
      <rPr>
        <b/>
        <i/>
        <sz val="10"/>
        <color rgb="FF000000"/>
        <rFont val="Arial"/>
        <family val="2"/>
        <charset val="204"/>
      </rPr>
      <t>Structura importurilor de mărfuri, în ianuarie-august 2018-2023, după modul de transport (%)</t>
    </r>
  </si>
  <si>
    <r>
      <rPr>
        <b/>
        <sz val="10"/>
        <color rgb="FF000000"/>
        <rFont val="Arial"/>
        <family val="2"/>
        <charset val="204"/>
      </rPr>
      <t>Figura 3</t>
    </r>
    <r>
      <rPr>
        <b/>
        <i/>
        <sz val="10"/>
        <color indexed="8"/>
        <rFont val="Arial"/>
        <family val="2"/>
        <charset val="204"/>
      </rPr>
      <t>. Structura exporturilor de mărfuri, în ianuarie-august 2018-2023, după modul de transport (%)</t>
    </r>
  </si>
  <si>
    <r>
      <rPr>
        <b/>
        <sz val="10"/>
        <color rgb="FF000000"/>
        <rFont val="Arial"/>
        <family val="2"/>
        <charset val="204"/>
      </rPr>
      <t>Figura 4.</t>
    </r>
    <r>
      <rPr>
        <b/>
        <i/>
        <sz val="10"/>
        <color indexed="8"/>
        <rFont val="Arial"/>
        <family val="2"/>
        <charset val="204"/>
      </rPr>
      <t xml:space="preserve"> Structura exporturilor de mărfuri, în ianuarie-august 2018-2023, pe grupe de ţări (%)</t>
    </r>
  </si>
  <si>
    <r>
      <rPr>
        <b/>
        <sz val="10"/>
        <color rgb="FF000000"/>
        <rFont val="Arial"/>
        <family val="2"/>
        <charset val="204"/>
      </rPr>
      <t>Figura 5</t>
    </r>
    <r>
      <rPr>
        <b/>
        <i/>
        <sz val="10"/>
        <color indexed="8"/>
        <rFont val="Arial"/>
        <family val="2"/>
        <charset val="204"/>
      </rPr>
      <t>. Structura exporturilor, în ianuarie-august 2018-2023, pe principalele ţări de destinaţie a mărfurilor (%)</t>
    </r>
  </si>
  <si>
    <r>
      <t xml:space="preserve">    </t>
    </r>
    <r>
      <rPr>
        <b/>
        <sz val="10"/>
        <color theme="1"/>
        <rFont val="Arial"/>
        <family val="2"/>
        <charset val="204"/>
      </rPr>
      <t>Figura 10.</t>
    </r>
    <r>
      <rPr>
        <b/>
        <i/>
        <sz val="10"/>
        <color theme="1"/>
        <rFont val="Arial"/>
        <family val="2"/>
        <charset val="204"/>
      </rPr>
      <t xml:space="preserve"> Structura importurilor de mărfuri, în ianuarie-august 2018-2023, pe grupe de ţări (%)</t>
    </r>
  </si>
  <si>
    <r>
      <t xml:space="preserve">Figura 11. </t>
    </r>
    <r>
      <rPr>
        <b/>
        <i/>
        <sz val="10"/>
        <color rgb="FF000000"/>
        <rFont val="Arial"/>
        <family val="2"/>
        <charset val="204"/>
      </rPr>
      <t>Structura importurilor, în ianuarie-august 2018-2023, pe principalele ţări de origine a mărfurilor (%)</t>
    </r>
  </si>
  <si>
    <r>
      <rPr>
        <b/>
        <sz val="10"/>
        <color rgb="FF000000"/>
        <rFont val="Arial"/>
        <family val="2"/>
        <charset val="204"/>
      </rPr>
      <t>Figura 14.</t>
    </r>
    <r>
      <rPr>
        <b/>
        <i/>
        <sz val="10"/>
        <color indexed="8"/>
        <rFont val="Arial"/>
        <family val="2"/>
        <charset val="204"/>
      </rPr>
      <t xml:space="preserve"> Tendinţele comerţului internaţional cu mărfuri, în ianuarie-august 2018-2023 (milioane dolari SUA)</t>
    </r>
  </si>
  <si>
    <t>Franta</t>
  </si>
  <si>
    <t>Elvetia</t>
  </si>
  <si>
    <t>Regatul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</si>
</sst>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0"/>
  </numFmts>
  <fonts count="3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38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i/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i/>
      <sz val="9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rgb="FF008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b/>
      <sz val="12"/>
      <color rgb="FF008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1"/>
      <color rgb="FF0066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1"/>
      <color rgb="FF0000FF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0" fontId="32" fillId="0" borderId="0"/>
    <xf numFmtId="0" fontId="32" fillId="0" borderId="0"/>
  </cellStyleXfs>
  <cellXfs count="163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wrapText="1" indent="1"/>
    </xf>
    <xf numFmtId="165" fontId="4" fillId="0" borderId="2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0" fontId="6" fillId="0" borderId="12" xfId="0" applyFont="1" applyBorder="1" applyAlignment="1">
      <alignment horizontal="left" wrapText="1" indent="1"/>
    </xf>
    <xf numFmtId="0" fontId="6" fillId="0" borderId="13" xfId="0" applyFont="1" applyBorder="1" applyAlignment="1">
      <alignment horizontal="left" wrapText="1" indent="1"/>
    </xf>
    <xf numFmtId="0" fontId="6" fillId="0" borderId="8" xfId="0" applyFont="1" applyBorder="1" applyAlignment="1">
      <alignment horizontal="left" wrapText="1" indent="1"/>
    </xf>
    <xf numFmtId="165" fontId="4" fillId="0" borderId="9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2" fontId="3" fillId="0" borderId="4" xfId="0" applyNumberFormat="1" applyFont="1" applyBorder="1" applyAlignment="1">
      <alignment horizontal="left" indent="1"/>
    </xf>
    <xf numFmtId="2" fontId="3" fillId="0" borderId="5" xfId="0" applyNumberFormat="1" applyFont="1" applyBorder="1" applyAlignment="1">
      <alignment horizontal="left" indent="1"/>
    </xf>
    <xf numFmtId="2" fontId="3" fillId="0" borderId="6" xfId="0" applyNumberFormat="1" applyFont="1" applyBorder="1" applyAlignment="1">
      <alignment horizontal="left" indent="1"/>
    </xf>
    <xf numFmtId="165" fontId="2" fillId="0" borderId="0" xfId="0" applyNumberFormat="1" applyFont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5" fontId="2" fillId="0" borderId="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indent="1"/>
    </xf>
    <xf numFmtId="0" fontId="8" fillId="0" borderId="0" xfId="0" applyFont="1"/>
    <xf numFmtId="0" fontId="8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/>
    </xf>
    <xf numFmtId="0" fontId="3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166" fontId="15" fillId="0" borderId="0" xfId="0" applyNumberFormat="1" applyFont="1" applyAlignment="1">
      <alignment horizontal="center" vertical="top"/>
    </xf>
    <xf numFmtId="166" fontId="15" fillId="0" borderId="0" xfId="0" applyNumberFormat="1" applyFont="1" applyAlignment="1">
      <alignment horizontal="center" vertical="center"/>
    </xf>
    <xf numFmtId="165" fontId="16" fillId="0" borderId="0" xfId="0" applyNumberFormat="1" applyFont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/>
    </xf>
    <xf numFmtId="165" fontId="4" fillId="0" borderId="0" xfId="0" applyNumberFormat="1" applyFont="1" applyAlignment="1">
      <alignment horizontal="center" wrapText="1"/>
    </xf>
    <xf numFmtId="38" fontId="4" fillId="0" borderId="0" xfId="0" applyNumberFormat="1" applyFont="1" applyAlignment="1">
      <alignment horizontal="left" vertical="top" wrapText="1" indent="1"/>
    </xf>
    <xf numFmtId="165" fontId="18" fillId="0" borderId="0" xfId="0" applyNumberFormat="1" applyFont="1" applyAlignment="1">
      <alignment horizontal="center"/>
    </xf>
    <xf numFmtId="165" fontId="19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wrapText="1"/>
    </xf>
    <xf numFmtId="165" fontId="11" fillId="0" borderId="0" xfId="0" applyNumberFormat="1" applyFont="1" applyAlignment="1">
      <alignment horizontal="center"/>
    </xf>
    <xf numFmtId="165" fontId="23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0" fontId="24" fillId="0" borderId="0" xfId="0" applyFont="1"/>
    <xf numFmtId="164" fontId="2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4" fontId="19" fillId="0" borderId="0" xfId="0" applyNumberFormat="1" applyFont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top"/>
    </xf>
    <xf numFmtId="0" fontId="6" fillId="0" borderId="11" xfId="0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/>
    </xf>
    <xf numFmtId="165" fontId="29" fillId="0" borderId="0" xfId="0" applyNumberFormat="1" applyFont="1" applyAlignment="1">
      <alignment horizontal="center"/>
    </xf>
    <xf numFmtId="165" fontId="30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vertical="top" wrapText="1"/>
    </xf>
    <xf numFmtId="164" fontId="30" fillId="0" borderId="0" xfId="0" applyNumberFormat="1" applyFont="1" applyAlignment="1">
      <alignment horizontal="center"/>
    </xf>
    <xf numFmtId="164" fontId="29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4" fontId="4" fillId="0" borderId="10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164" fontId="2" fillId="0" borderId="11" xfId="0" applyNumberFormat="1" applyFont="1" applyBorder="1" applyAlignment="1">
      <alignment horizontal="center" vertical="center"/>
    </xf>
    <xf numFmtId="165" fontId="4" fillId="0" borderId="11" xfId="0" applyNumberFormat="1" applyFont="1" applyBorder="1" applyAlignment="1">
      <alignment horizontal="center" vertical="top"/>
    </xf>
    <xf numFmtId="38" fontId="15" fillId="0" borderId="0" xfId="0" applyNumberFormat="1" applyFont="1" applyAlignment="1">
      <alignment horizontal="left" vertical="top" wrapText="1"/>
    </xf>
    <xf numFmtId="164" fontId="31" fillId="0" borderId="0" xfId="0" applyNumberFormat="1" applyFont="1" applyAlignment="1">
      <alignment horizontal="center" vertical="center"/>
    </xf>
    <xf numFmtId="165" fontId="15" fillId="0" borderId="0" xfId="0" applyNumberFormat="1" applyFont="1" applyAlignment="1">
      <alignment horizontal="center" vertical="top"/>
    </xf>
    <xf numFmtId="0" fontId="26" fillId="0" borderId="0" xfId="0" applyFont="1" applyAlignment="1">
      <alignment horizontal="center"/>
    </xf>
    <xf numFmtId="0" fontId="33" fillId="0" borderId="0" xfId="0" applyFont="1"/>
    <xf numFmtId="38" fontId="4" fillId="0" borderId="0" xfId="0" applyNumberFormat="1" applyFont="1" applyAlignment="1">
      <alignment horizontal="left" wrapText="1" indent="1"/>
    </xf>
    <xf numFmtId="0" fontId="17" fillId="0" borderId="1" xfId="0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top"/>
    </xf>
    <xf numFmtId="38" fontId="4" fillId="0" borderId="4" xfId="0" applyNumberFormat="1" applyFont="1" applyBorder="1" applyAlignment="1">
      <alignment horizontal="left" vertical="top" wrapText="1" indent="1"/>
    </xf>
    <xf numFmtId="38" fontId="4" fillId="0" borderId="5" xfId="0" applyNumberFormat="1" applyFont="1" applyBorder="1" applyAlignment="1">
      <alignment horizontal="left" vertical="top" wrapText="1" indent="1"/>
    </xf>
    <xf numFmtId="38" fontId="4" fillId="0" borderId="6" xfId="0" applyNumberFormat="1" applyFont="1" applyBorder="1" applyAlignment="1">
      <alignment horizontal="left" vertical="top" wrapText="1" indent="1"/>
    </xf>
    <xf numFmtId="16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5" fontId="4" fillId="0" borderId="0" xfId="0" applyNumberFormat="1" applyFont="1" applyAlignment="1">
      <alignment horizontal="center" vertical="top"/>
    </xf>
    <xf numFmtId="165" fontId="4" fillId="0" borderId="2" xfId="0" applyNumberFormat="1" applyFont="1" applyBorder="1" applyAlignment="1">
      <alignment horizontal="center" vertical="top"/>
    </xf>
    <xf numFmtId="165" fontId="4" fillId="0" borderId="4" xfId="0" applyNumberFormat="1" applyFont="1" applyBorder="1" applyAlignment="1">
      <alignment horizontal="center" vertical="top"/>
    </xf>
    <xf numFmtId="165" fontId="4" fillId="0" borderId="5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center" vertical="top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38" fontId="6" fillId="0" borderId="0" xfId="0" applyNumberFormat="1" applyFont="1" applyAlignment="1">
      <alignment horizontal="left" wrapText="1" indent="1"/>
    </xf>
    <xf numFmtId="38" fontId="6" fillId="0" borderId="3" xfId="0" applyNumberFormat="1" applyFont="1" applyBorder="1" applyAlignment="1">
      <alignment horizontal="left" wrapText="1" indent="1"/>
    </xf>
    <xf numFmtId="38" fontId="6" fillId="0" borderId="2" xfId="0" applyNumberFormat="1" applyFont="1" applyBorder="1" applyAlignment="1">
      <alignment horizontal="left" wrapText="1" indent="1"/>
    </xf>
    <xf numFmtId="0" fontId="25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</cellXfs>
  <cellStyles count="5">
    <cellStyle name="Normal" xfId="0" builtinId="0"/>
    <cellStyle name="Normal 2" xfId="1" xr:uid="{00000000-0005-0000-0000-000000000000}"/>
    <cellStyle name="Normal 3" xfId="2" xr:uid="{00000000-0005-0000-0000-000001000000}"/>
    <cellStyle name="Normal 5" xfId="3" xr:uid="{00000000-0005-0000-0000-000002000000}"/>
    <cellStyle name="Normal 6" xfId="4" xr:uid="{00000000-0005-0000-0000-000003000000}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5" formatCode="#,##0.0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04"/>
        <scheme val="none"/>
      </font>
      <numFmt numFmtId="164" formatCode="0.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  <protection locked="1" hidden="0"/>
    </dxf>
    <dxf>
      <font>
        <b/>
        <i val="0"/>
        <strike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FFC000"/>
      <color rgb="FF7CAFDD"/>
      <color rgb="FF43682B"/>
      <color rgb="FF264478"/>
      <color rgb="FF997300"/>
      <color rgb="FF636363"/>
      <color rgb="FF9E480E"/>
      <color rgb="FF255E91"/>
      <color rgb="FF70AD47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1834308329E-2"/>
          <c:y val="8.2707060720548939E-2"/>
          <c:w val="0.93883343365230676"/>
          <c:h val="0.7093322975883620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'Figura 1'!$B$21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rgbClr val="ED7D31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1'!$B$22:$B$27</c:f>
              <c:numCache>
                <c:formatCode>#,##0.0</c:formatCode>
                <c:ptCount val="6"/>
                <c:pt idx="0">
                  <c:v>220.3</c:v>
                </c:pt>
                <c:pt idx="1">
                  <c:v>234.3</c:v>
                </c:pt>
                <c:pt idx="2">
                  <c:v>219.5</c:v>
                </c:pt>
                <c:pt idx="3">
                  <c:v>198.4</c:v>
                </c:pt>
                <c:pt idx="4">
                  <c:v>330.4</c:v>
                </c:pt>
                <c:pt idx="5">
                  <c:v>331.1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520-4AA7-9226-374D1498C729}"/>
            </c:ext>
          </c:extLst>
        </c:ser>
        <c:ser>
          <c:idx val="3"/>
          <c:order val="1"/>
          <c:tx>
            <c:strRef>
              <c:f>'Figura 1'!$C$21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1'!$C$22:$C$27</c:f>
              <c:numCache>
                <c:formatCode>#,##0.0</c:formatCode>
                <c:ptCount val="6"/>
                <c:pt idx="0">
                  <c:v>215.5</c:v>
                </c:pt>
                <c:pt idx="1">
                  <c:v>241.4</c:v>
                </c:pt>
                <c:pt idx="2">
                  <c:v>245.3</c:v>
                </c:pt>
                <c:pt idx="3">
                  <c:v>227</c:v>
                </c:pt>
                <c:pt idx="4">
                  <c:v>336.5</c:v>
                </c:pt>
                <c:pt idx="5">
                  <c:v>356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520-4AA7-9226-374D1498C729}"/>
            </c:ext>
          </c:extLst>
        </c:ser>
        <c:ser>
          <c:idx val="4"/>
          <c:order val="2"/>
          <c:tx>
            <c:strRef>
              <c:f>'Figura 1'!$D$21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1'!$D$22:$D$27</c:f>
              <c:numCache>
                <c:formatCode>#,##0.0</c:formatCode>
                <c:ptCount val="6"/>
                <c:pt idx="0">
                  <c:v>242.1</c:v>
                </c:pt>
                <c:pt idx="1">
                  <c:v>257.2</c:v>
                </c:pt>
                <c:pt idx="2">
                  <c:v>210.2</c:v>
                </c:pt>
                <c:pt idx="3">
                  <c:v>259.3</c:v>
                </c:pt>
                <c:pt idx="4">
                  <c:v>395.8</c:v>
                </c:pt>
                <c:pt idx="5">
                  <c:v>384.9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520-4AA7-9226-374D1498C729}"/>
            </c:ext>
          </c:extLst>
        </c:ser>
        <c:ser>
          <c:idx val="5"/>
          <c:order val="3"/>
          <c:tx>
            <c:strRef>
              <c:f>'Figura 1'!$E$21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1'!$E$22:$E$27</c:f>
              <c:numCache>
                <c:formatCode>#,##0.0</c:formatCode>
                <c:ptCount val="6"/>
                <c:pt idx="0">
                  <c:v>199.7</c:v>
                </c:pt>
                <c:pt idx="1">
                  <c:v>215.6</c:v>
                </c:pt>
                <c:pt idx="2">
                  <c:v>149.80000000000001</c:v>
                </c:pt>
                <c:pt idx="3">
                  <c:v>218.2</c:v>
                </c:pt>
                <c:pt idx="4">
                  <c:v>396.3</c:v>
                </c:pt>
                <c:pt idx="5">
                  <c:v>317.10000000000002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520-4AA7-9226-374D1498C729}"/>
            </c:ext>
          </c:extLst>
        </c:ser>
        <c:ser>
          <c:idx val="6"/>
          <c:order val="4"/>
          <c:tx>
            <c:strRef>
              <c:f>'Figura 1'!$F$21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rgbClr val="70AD47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1'!$F$22:$F$27</c:f>
              <c:numCache>
                <c:formatCode>#,##0.0</c:formatCode>
                <c:ptCount val="6"/>
                <c:pt idx="0">
                  <c:v>223</c:v>
                </c:pt>
                <c:pt idx="1">
                  <c:v>210.5</c:v>
                </c:pt>
                <c:pt idx="2">
                  <c:v>155.69999999999999</c:v>
                </c:pt>
                <c:pt idx="3">
                  <c:v>201.7</c:v>
                </c:pt>
                <c:pt idx="4">
                  <c:v>416</c:v>
                </c:pt>
                <c:pt idx="5">
                  <c:v>336.5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520-4AA7-9226-374D1498C729}"/>
            </c:ext>
          </c:extLst>
        </c:ser>
        <c:ser>
          <c:idx val="7"/>
          <c:order val="5"/>
          <c:tx>
            <c:strRef>
              <c:f>'Figura 1'!$G$21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rgbClr val="255E91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1'!$G$22:$G$27</c:f>
              <c:numCache>
                <c:formatCode>#,##0.0</c:formatCode>
                <c:ptCount val="6"/>
                <c:pt idx="0">
                  <c:v>214.1</c:v>
                </c:pt>
                <c:pt idx="1">
                  <c:v>202.2</c:v>
                </c:pt>
                <c:pt idx="2">
                  <c:v>189.6</c:v>
                </c:pt>
                <c:pt idx="3">
                  <c:v>226.8</c:v>
                </c:pt>
                <c:pt idx="4">
                  <c:v>416.4</c:v>
                </c:pt>
                <c:pt idx="5">
                  <c:v>316.60000000000002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520-4AA7-9226-374D1498C729}"/>
            </c:ext>
          </c:extLst>
        </c:ser>
        <c:ser>
          <c:idx val="8"/>
          <c:order val="6"/>
          <c:tx>
            <c:strRef>
              <c:f>'Figura 1'!$H$21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rgbClr val="9E480E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1'!$H$22:$H$27</c:f>
              <c:numCache>
                <c:formatCode>#,##0.0</c:formatCode>
                <c:ptCount val="6"/>
                <c:pt idx="0">
                  <c:v>218.8</c:v>
                </c:pt>
                <c:pt idx="1">
                  <c:v>220.2</c:v>
                </c:pt>
                <c:pt idx="2">
                  <c:v>191.1</c:v>
                </c:pt>
                <c:pt idx="3">
                  <c:v>240.7</c:v>
                </c:pt>
                <c:pt idx="4">
                  <c:v>338.2</c:v>
                </c:pt>
                <c:pt idx="5">
                  <c:v>304.2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520-4AA7-9226-374D1498C729}"/>
            </c:ext>
          </c:extLst>
        </c:ser>
        <c:ser>
          <c:idx val="9"/>
          <c:order val="7"/>
          <c:tx>
            <c:strRef>
              <c:f>'Figura 1'!$I$21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rgbClr val="636363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1'!$I$22:$I$27</c:f>
              <c:numCache>
                <c:formatCode>#,##0.0</c:formatCode>
                <c:ptCount val="6"/>
                <c:pt idx="0">
                  <c:v>218.6</c:v>
                </c:pt>
                <c:pt idx="1">
                  <c:v>205.8</c:v>
                </c:pt>
                <c:pt idx="2">
                  <c:v>163.9</c:v>
                </c:pt>
                <c:pt idx="3">
                  <c:v>236.3</c:v>
                </c:pt>
                <c:pt idx="4">
                  <c:v>329.4</c:v>
                </c:pt>
                <c:pt idx="5">
                  <c:v>321.60000000000002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520-4AA7-9226-374D1498C729}"/>
            </c:ext>
          </c:extLst>
        </c:ser>
        <c:ser>
          <c:idx val="10"/>
          <c:order val="8"/>
          <c:tx>
            <c:strRef>
              <c:f>'Figura 1'!$J$21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rgbClr val="997300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1'!$J$22:$J$27</c:f>
              <c:numCache>
                <c:formatCode>#,##0.0</c:formatCode>
                <c:ptCount val="6"/>
                <c:pt idx="0">
                  <c:v>207.3</c:v>
                </c:pt>
                <c:pt idx="1">
                  <c:v>238.8</c:v>
                </c:pt>
                <c:pt idx="2">
                  <c:v>212.3</c:v>
                </c:pt>
                <c:pt idx="3">
                  <c:v>294.89999999999998</c:v>
                </c:pt>
                <c:pt idx="4">
                  <c:v>318.8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520-4AA7-9226-374D1498C729}"/>
            </c:ext>
          </c:extLst>
        </c:ser>
        <c:ser>
          <c:idx val="11"/>
          <c:order val="9"/>
          <c:tx>
            <c:strRef>
              <c:f>'Figura 1'!$K$21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rgbClr val="264478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1'!$K$22:$K$27</c:f>
              <c:numCache>
                <c:formatCode>#,##0.0</c:formatCode>
                <c:ptCount val="6"/>
                <c:pt idx="0">
                  <c:v>259</c:v>
                </c:pt>
                <c:pt idx="1">
                  <c:v>268.3</c:v>
                </c:pt>
                <c:pt idx="2">
                  <c:v>249.4</c:v>
                </c:pt>
                <c:pt idx="3">
                  <c:v>352.2</c:v>
                </c:pt>
                <c:pt idx="4">
                  <c:v>352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520-4AA7-9226-374D1498C729}"/>
            </c:ext>
          </c:extLst>
        </c:ser>
        <c:ser>
          <c:idx val="12"/>
          <c:order val="10"/>
          <c:tx>
            <c:strRef>
              <c:f>'Figura 1'!$L$21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rgbClr val="43682B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1'!$L$22:$L$27</c:f>
              <c:numCache>
                <c:formatCode>#,##0.0</c:formatCode>
                <c:ptCount val="6"/>
                <c:pt idx="0">
                  <c:v>268.89999999999998</c:v>
                </c:pt>
                <c:pt idx="1">
                  <c:v>266.60000000000002</c:v>
                </c:pt>
                <c:pt idx="2">
                  <c:v>262</c:v>
                </c:pt>
                <c:pt idx="3">
                  <c:v>363.9</c:v>
                </c:pt>
                <c:pt idx="4">
                  <c:v>355.8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06-4ABF-AE3A-BDB053FBE632}"/>
            </c:ext>
          </c:extLst>
        </c:ser>
        <c:ser>
          <c:idx val="0"/>
          <c:order val="11"/>
          <c:tx>
            <c:strRef>
              <c:f>'Figura 1'!$M$21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rgbClr val="7CAFDD"/>
            </a:solidFill>
            <a:ln>
              <a:noFill/>
            </a:ln>
            <a:effectLst/>
          </c:spPr>
          <c:invertIfNegative val="0"/>
          <c:cat>
            <c:numRef>
              <c:f>'Figura 1'!$A$22:$A$27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1'!$M$22:$M$27</c:f>
              <c:numCache>
                <c:formatCode>#,##0.0</c:formatCode>
                <c:ptCount val="6"/>
                <c:pt idx="0">
                  <c:v>218.8</c:v>
                </c:pt>
                <c:pt idx="1">
                  <c:v>218.3</c:v>
                </c:pt>
                <c:pt idx="2">
                  <c:v>218.3</c:v>
                </c:pt>
                <c:pt idx="3">
                  <c:v>325</c:v>
                </c:pt>
                <c:pt idx="4">
                  <c:v>349.5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06-4ABF-AE3A-BDB053FBE6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961216"/>
        <c:axId val="93828160"/>
      </c:barChart>
      <c:catAx>
        <c:axId val="9396121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828160"/>
        <c:crosses val="autoZero"/>
        <c:auto val="0"/>
        <c:lblAlgn val="ctr"/>
        <c:lblOffset val="100"/>
        <c:tickLblSkip val="1"/>
        <c:noMultiLvlLbl val="0"/>
      </c:catAx>
      <c:valAx>
        <c:axId val="93828160"/>
        <c:scaling>
          <c:orientation val="minMax"/>
          <c:max val="500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396121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1116886173981615"/>
          <c:w val="1"/>
          <c:h val="8.87628732507091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89044942487555"/>
          <c:y val="2.0914980564138343E-2"/>
          <c:w val="0.76089631576667616"/>
          <c:h val="0.774795840393368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9'!$B$23</c:f>
              <c:strCache>
                <c:ptCount val="1"/>
                <c:pt idx="0">
                  <c:v>Ianuarie-august 2023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9'!$B$24:$B$30</c:f>
              <c:numCache>
                <c:formatCode>0.0</c:formatCode>
                <c:ptCount val="7"/>
                <c:pt idx="0">
                  <c:v>7.7</c:v>
                </c:pt>
                <c:pt idx="1">
                  <c:v>3.9</c:v>
                </c:pt>
                <c:pt idx="2">
                  <c:v>78.7</c:v>
                </c:pt>
                <c:pt idx="3">
                  <c:v>1.9</c:v>
                </c:pt>
                <c:pt idx="4">
                  <c:v>0.1</c:v>
                </c:pt>
                <c:pt idx="5">
                  <c:v>7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54-4901-8F26-F774DF753091}"/>
            </c:ext>
          </c:extLst>
        </c:ser>
        <c:ser>
          <c:idx val="1"/>
          <c:order val="1"/>
          <c:tx>
            <c:strRef>
              <c:f>'Figura 9'!$C$23</c:f>
              <c:strCache>
                <c:ptCount val="1"/>
                <c:pt idx="0">
                  <c:v>Ianuarie-august 2022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9'!$C$24:$C$30</c:f>
              <c:numCache>
                <c:formatCode>0.0</c:formatCode>
                <c:ptCount val="7"/>
                <c:pt idx="0">
                  <c:v>7.4</c:v>
                </c:pt>
                <c:pt idx="1">
                  <c:v>4.8</c:v>
                </c:pt>
                <c:pt idx="2">
                  <c:v>76.8</c:v>
                </c:pt>
                <c:pt idx="3">
                  <c:v>1.6</c:v>
                </c:pt>
                <c:pt idx="4">
                  <c:v>0.1</c:v>
                </c:pt>
                <c:pt idx="5">
                  <c:v>8.6999999999999993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54-4901-8F26-F774DF753091}"/>
            </c:ext>
          </c:extLst>
        </c:ser>
        <c:ser>
          <c:idx val="2"/>
          <c:order val="2"/>
          <c:tx>
            <c:strRef>
              <c:f>'Figura 9'!$D$23</c:f>
              <c:strCache>
                <c:ptCount val="1"/>
                <c:pt idx="0">
                  <c:v>Ianuarie-august 2021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9'!$D$24:$D$30</c:f>
              <c:numCache>
                <c:formatCode>0.0</c:formatCode>
                <c:ptCount val="7"/>
                <c:pt idx="0">
                  <c:v>2.8</c:v>
                </c:pt>
                <c:pt idx="1">
                  <c:v>4.8</c:v>
                </c:pt>
                <c:pt idx="2">
                  <c:v>85.9</c:v>
                </c:pt>
                <c:pt idx="3">
                  <c:v>2.4</c:v>
                </c:pt>
                <c:pt idx="4">
                  <c:v>0.2</c:v>
                </c:pt>
                <c:pt idx="5">
                  <c:v>3.3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254-4901-8F26-F774DF753091}"/>
            </c:ext>
          </c:extLst>
        </c:ser>
        <c:ser>
          <c:idx val="3"/>
          <c:order val="3"/>
          <c:tx>
            <c:strRef>
              <c:f>'Figura 9'!$E$23</c:f>
              <c:strCache>
                <c:ptCount val="1"/>
                <c:pt idx="0">
                  <c:v>Ianuarie-august 2020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9'!$E$24:$E$30</c:f>
              <c:numCache>
                <c:formatCode>0.0</c:formatCode>
                <c:ptCount val="7"/>
                <c:pt idx="0">
                  <c:v>1.6</c:v>
                </c:pt>
                <c:pt idx="1">
                  <c:v>5.3</c:v>
                </c:pt>
                <c:pt idx="2">
                  <c:v>86.4</c:v>
                </c:pt>
                <c:pt idx="3">
                  <c:v>2.2999999999999998</c:v>
                </c:pt>
                <c:pt idx="4">
                  <c:v>0.3</c:v>
                </c:pt>
                <c:pt idx="5">
                  <c:v>3.6</c:v>
                </c:pt>
                <c:pt idx="6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254-4901-8F26-F774DF753091}"/>
            </c:ext>
          </c:extLst>
        </c:ser>
        <c:ser>
          <c:idx val="4"/>
          <c:order val="4"/>
          <c:tx>
            <c:strRef>
              <c:f>'Figura 9'!$F$23</c:f>
              <c:strCache>
                <c:ptCount val="1"/>
                <c:pt idx="0">
                  <c:v>Ianuarie-august 2019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9'!$F$24:$F$30</c:f>
              <c:numCache>
                <c:formatCode>0.0</c:formatCode>
                <c:ptCount val="7"/>
                <c:pt idx="0">
                  <c:v>2.1</c:v>
                </c:pt>
                <c:pt idx="1">
                  <c:v>4.8</c:v>
                </c:pt>
                <c:pt idx="2">
                  <c:v>84.7</c:v>
                </c:pt>
                <c:pt idx="3">
                  <c:v>2.6</c:v>
                </c:pt>
                <c:pt idx="4">
                  <c:v>0.2</c:v>
                </c:pt>
                <c:pt idx="5">
                  <c:v>4.9000000000000004</c:v>
                </c:pt>
                <c:pt idx="6">
                  <c:v>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254-4901-8F26-F774DF753091}"/>
            </c:ext>
          </c:extLst>
        </c:ser>
        <c:ser>
          <c:idx val="5"/>
          <c:order val="5"/>
          <c:tx>
            <c:strRef>
              <c:f>'Figura 9'!$G$23</c:f>
              <c:strCache>
                <c:ptCount val="1"/>
                <c:pt idx="0">
                  <c:v>Ianuarie-august 2018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9'!$A$24:$A$30</c:f>
              <c:strCache>
                <c:ptCount val="7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  <c:pt idx="6">
                  <c:v>Autopropulsie</c:v>
                </c:pt>
              </c:strCache>
            </c:strRef>
          </c:cat>
          <c:val>
            <c:numRef>
              <c:f>'Figura 9'!$G$24:$G$30</c:f>
              <c:numCache>
                <c:formatCode>0.0</c:formatCode>
                <c:ptCount val="7"/>
                <c:pt idx="0">
                  <c:v>3</c:v>
                </c:pt>
                <c:pt idx="1">
                  <c:v>5.6</c:v>
                </c:pt>
                <c:pt idx="2">
                  <c:v>83.4</c:v>
                </c:pt>
                <c:pt idx="3">
                  <c:v>2.6</c:v>
                </c:pt>
                <c:pt idx="4">
                  <c:v>0.3</c:v>
                </c:pt>
                <c:pt idx="5">
                  <c:v>4.5</c:v>
                </c:pt>
                <c:pt idx="6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54-4901-8F26-F774DF753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8382464"/>
        <c:axId val="128386752"/>
      </c:barChart>
      <c:catAx>
        <c:axId val="1283824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86752"/>
        <c:crossesAt val="0"/>
        <c:auto val="1"/>
        <c:lblAlgn val="ctr"/>
        <c:lblOffset val="100"/>
        <c:noMultiLvlLbl val="0"/>
      </c:catAx>
      <c:valAx>
        <c:axId val="128386752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82464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4093957289017331"/>
          <c:y val="0.91909764444001463"/>
          <c:w val="0.75850221087991299"/>
          <c:h val="7.92840293697465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8069977473288278E-2"/>
          <c:y val="6.8484183803067242E-2"/>
          <c:w val="0.93986930373860744"/>
          <c:h val="0.6722075567892142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10'!$A$23</c:f>
              <c:strCache>
                <c:ptCount val="1"/>
                <c:pt idx="0">
                  <c:v>Ţările Uniunii Europene -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Ianuarie-august 2018</c:v>
                </c:pt>
                <c:pt idx="1">
                  <c:v>Ianuarie-august 2019</c:v>
                </c:pt>
                <c:pt idx="2">
                  <c:v>Ianuarie-august 2020</c:v>
                </c:pt>
                <c:pt idx="3">
                  <c:v>Ianuarie-august 2021</c:v>
                </c:pt>
                <c:pt idx="4">
                  <c:v>Ianuarie-august 2022</c:v>
                </c:pt>
                <c:pt idx="5">
                  <c:v>Ianuarie-august 2023</c:v>
                </c:pt>
              </c:strCache>
            </c:strRef>
          </c:cat>
          <c:val>
            <c:numRef>
              <c:f>'Figura 10'!$B$23:$G$23</c:f>
              <c:numCache>
                <c:formatCode>0.0</c:formatCode>
                <c:ptCount val="6"/>
                <c:pt idx="0">
                  <c:v>49.5</c:v>
                </c:pt>
                <c:pt idx="1">
                  <c:v>49</c:v>
                </c:pt>
                <c:pt idx="2">
                  <c:v>45.8</c:v>
                </c:pt>
                <c:pt idx="3">
                  <c:v>46.5</c:v>
                </c:pt>
                <c:pt idx="4">
                  <c:v>46.1</c:v>
                </c:pt>
                <c:pt idx="5">
                  <c:v>48.8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9-4350-AC6F-7B3B9B8C79B6}"/>
            </c:ext>
          </c:extLst>
        </c:ser>
        <c:ser>
          <c:idx val="1"/>
          <c:order val="1"/>
          <c:tx>
            <c:strRef>
              <c:f>'Figura 10'!$A$24</c:f>
              <c:strCache>
                <c:ptCount val="1"/>
                <c:pt idx="0">
                  <c:v>Ţările CSI -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Ianuarie-august 2018</c:v>
                </c:pt>
                <c:pt idx="1">
                  <c:v>Ianuarie-august 2019</c:v>
                </c:pt>
                <c:pt idx="2">
                  <c:v>Ianuarie-august 2020</c:v>
                </c:pt>
                <c:pt idx="3">
                  <c:v>Ianuarie-august 2021</c:v>
                </c:pt>
                <c:pt idx="4">
                  <c:v>Ianuarie-august 2022</c:v>
                </c:pt>
                <c:pt idx="5">
                  <c:v>Ianuarie-august 2023</c:v>
                </c:pt>
              </c:strCache>
            </c:strRef>
          </c:cat>
          <c:val>
            <c:numRef>
              <c:f>'Figura 10'!$B$24:$G$24</c:f>
              <c:numCache>
                <c:formatCode>0.0</c:formatCode>
                <c:ptCount val="6"/>
                <c:pt idx="0">
                  <c:v>24</c:v>
                </c:pt>
                <c:pt idx="1">
                  <c:v>24.4</c:v>
                </c:pt>
                <c:pt idx="2">
                  <c:v>25.3</c:v>
                </c:pt>
                <c:pt idx="3">
                  <c:v>23.9</c:v>
                </c:pt>
                <c:pt idx="4">
                  <c:v>25.4</c:v>
                </c:pt>
                <c:pt idx="5">
                  <c:v>18.8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9-4350-AC6F-7B3B9B8C79B6}"/>
            </c:ext>
          </c:extLst>
        </c:ser>
        <c:ser>
          <c:idx val="2"/>
          <c:order val="2"/>
          <c:tx>
            <c:strRef>
              <c:f>'Figura 10'!$A$25</c:f>
              <c:strCache>
                <c:ptCount val="1"/>
                <c:pt idx="0">
                  <c:v>Celelalte ţări ale lumii - 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10'!$B$22:$G$22</c:f>
              <c:strCache>
                <c:ptCount val="6"/>
                <c:pt idx="0">
                  <c:v>Ianuarie-august 2018</c:v>
                </c:pt>
                <c:pt idx="1">
                  <c:v>Ianuarie-august 2019</c:v>
                </c:pt>
                <c:pt idx="2">
                  <c:v>Ianuarie-august 2020</c:v>
                </c:pt>
                <c:pt idx="3">
                  <c:v>Ianuarie-august 2021</c:v>
                </c:pt>
                <c:pt idx="4">
                  <c:v>Ianuarie-august 2022</c:v>
                </c:pt>
                <c:pt idx="5">
                  <c:v>Ianuarie-august 2023</c:v>
                </c:pt>
              </c:strCache>
            </c:strRef>
          </c:cat>
          <c:val>
            <c:numRef>
              <c:f>'Figura 10'!$B$25:$G$25</c:f>
              <c:numCache>
                <c:formatCode>0.0</c:formatCode>
                <c:ptCount val="6"/>
                <c:pt idx="0">
                  <c:v>26.5</c:v>
                </c:pt>
                <c:pt idx="1">
                  <c:v>26.6</c:v>
                </c:pt>
                <c:pt idx="2">
                  <c:v>28.9</c:v>
                </c:pt>
                <c:pt idx="3">
                  <c:v>29.6</c:v>
                </c:pt>
                <c:pt idx="4">
                  <c:v>28.5</c:v>
                </c:pt>
                <c:pt idx="5">
                  <c:v>32.4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49-4350-AC6F-7B3B9B8C7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721920"/>
        <c:axId val="128389056"/>
      </c:barChart>
      <c:catAx>
        <c:axId val="128721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89056"/>
        <c:crosses val="autoZero"/>
        <c:auto val="0"/>
        <c:lblAlgn val="ctr"/>
        <c:lblOffset val="100"/>
        <c:noMultiLvlLbl val="0"/>
      </c:catAx>
      <c:valAx>
        <c:axId val="128389056"/>
        <c:scaling>
          <c:orientation val="minMax"/>
          <c:max val="100"/>
        </c:scaling>
        <c:delete val="0"/>
        <c:axPos val="l"/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721920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3.7397860259691489E-2"/>
          <c:y val="0.88875314479330003"/>
          <c:w val="0.93105796047794498"/>
          <c:h val="8.1371100132598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76130067074949E-2"/>
          <c:y val="1.687438654655703E-2"/>
          <c:w val="0.93291119860017502"/>
          <c:h val="0.67551676195514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11'!$B$24</c:f>
              <c:strCache>
                <c:ptCount val="1"/>
                <c:pt idx="0">
                  <c:v>Ianuarie-august 2018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Slovacia</c:v>
                </c:pt>
                <c:pt idx="20">
                  <c:v>Netherlands</c:v>
                </c:pt>
                <c:pt idx="21">
                  <c:v>Regatul Unit</c:v>
                </c:pt>
              </c:strCache>
            </c:strRef>
          </c:cat>
          <c:val>
            <c:numRef>
              <c:f>'Figura 11'!$B$25:$B$46</c:f>
              <c:numCache>
                <c:formatCode>#,##0.0</c:formatCode>
                <c:ptCount val="22"/>
                <c:pt idx="0">
                  <c:v>14.599213019198039</c:v>
                </c:pt>
                <c:pt idx="1">
                  <c:v>9.8100661792689063</c:v>
                </c:pt>
                <c:pt idx="2">
                  <c:v>10.45213769236279</c:v>
                </c:pt>
                <c:pt idx="3">
                  <c:v>5.7749620512955024</c:v>
                </c:pt>
                <c:pt idx="4">
                  <c:v>8.5180130577344659</c:v>
                </c:pt>
                <c:pt idx="5">
                  <c:v>7.0885863291102167</c:v>
                </c:pt>
                <c:pt idx="6">
                  <c:v>11.715566407842728</c:v>
                </c:pt>
                <c:pt idx="7">
                  <c:v>3.4933043043328631</c:v>
                </c:pt>
                <c:pt idx="8">
                  <c:v>0.53165218388669067</c:v>
                </c:pt>
                <c:pt idx="9">
                  <c:v>2.5732853997356084</c:v>
                </c:pt>
                <c:pt idx="10">
                  <c:v>2.0971876257119733</c:v>
                </c:pt>
                <c:pt idx="11">
                  <c:v>1.4674160139141783</c:v>
                </c:pt>
                <c:pt idx="12">
                  <c:v>1.13239090443918</c:v>
                </c:pt>
                <c:pt idx="13">
                  <c:v>0.45457542456005501</c:v>
                </c:pt>
                <c:pt idx="14">
                  <c:v>1.322577632368658</c:v>
                </c:pt>
                <c:pt idx="15">
                  <c:v>1.3996867630675738</c:v>
                </c:pt>
                <c:pt idx="16">
                  <c:v>0.98447463937080537</c:v>
                </c:pt>
                <c:pt idx="17">
                  <c:v>1.892483151391755</c:v>
                </c:pt>
                <c:pt idx="18">
                  <c:v>2.0167274612622825</c:v>
                </c:pt>
                <c:pt idx="19">
                  <c:v>0.52947597552122894</c:v>
                </c:pt>
                <c:pt idx="20">
                  <c:v>1.0662201805877509</c:v>
                </c:pt>
                <c:pt idx="21">
                  <c:v>1.0619926448834289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D-4027-9176-5A5FABFE2538}"/>
            </c:ext>
          </c:extLst>
        </c:ser>
        <c:ser>
          <c:idx val="1"/>
          <c:order val="1"/>
          <c:tx>
            <c:strRef>
              <c:f>'Figura 11'!$C$24</c:f>
              <c:strCache>
                <c:ptCount val="1"/>
                <c:pt idx="0">
                  <c:v>Ianuarie-august 2019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Slovacia</c:v>
                </c:pt>
                <c:pt idx="20">
                  <c:v>Netherlands</c:v>
                </c:pt>
                <c:pt idx="21">
                  <c:v>Regatul Unit</c:v>
                </c:pt>
              </c:strCache>
            </c:strRef>
          </c:cat>
          <c:val>
            <c:numRef>
              <c:f>'Figura 11'!$C$25:$C$46</c:f>
              <c:numCache>
                <c:formatCode>#,##0.0</c:formatCode>
                <c:ptCount val="22"/>
                <c:pt idx="0">
                  <c:v>14.519438321578217</c:v>
                </c:pt>
                <c:pt idx="1">
                  <c:v>9.9241966251802278</c:v>
                </c:pt>
                <c:pt idx="2">
                  <c:v>10.105055503520973</c:v>
                </c:pt>
                <c:pt idx="3">
                  <c:v>6.4111985745276519</c:v>
                </c:pt>
                <c:pt idx="4">
                  <c:v>8.4463215555396758</c:v>
                </c:pt>
                <c:pt idx="5">
                  <c:v>7.0026901639391239</c:v>
                </c:pt>
                <c:pt idx="6">
                  <c:v>11.767492118790871</c:v>
                </c:pt>
                <c:pt idx="7">
                  <c:v>3.3709757120663228</c:v>
                </c:pt>
                <c:pt idx="8">
                  <c:v>0.64458141136881231</c:v>
                </c:pt>
                <c:pt idx="9">
                  <c:v>2.5604855739320764</c:v>
                </c:pt>
                <c:pt idx="10">
                  <c:v>1.9927627337223148</c:v>
                </c:pt>
                <c:pt idx="11">
                  <c:v>1.9433547142248149</c:v>
                </c:pt>
                <c:pt idx="12">
                  <c:v>0.89847349900110896</c:v>
                </c:pt>
                <c:pt idx="13">
                  <c:v>0.40102048609641228</c:v>
                </c:pt>
                <c:pt idx="14">
                  <c:v>1.3246708402001548</c:v>
                </c:pt>
                <c:pt idx="15">
                  <c:v>1.4481368501112153</c:v>
                </c:pt>
                <c:pt idx="16">
                  <c:v>0.84504855997512773</c:v>
                </c:pt>
                <c:pt idx="17">
                  <c:v>1.6669187426624936</c:v>
                </c:pt>
                <c:pt idx="18">
                  <c:v>2.2689764619152704</c:v>
                </c:pt>
                <c:pt idx="19">
                  <c:v>0.56892984861357965</c:v>
                </c:pt>
                <c:pt idx="20">
                  <c:v>1.0297841502781713</c:v>
                </c:pt>
                <c:pt idx="21">
                  <c:v>1.0060797070116194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5D-4027-9176-5A5FABFE2538}"/>
            </c:ext>
          </c:extLst>
        </c:ser>
        <c:ser>
          <c:idx val="2"/>
          <c:order val="2"/>
          <c:tx>
            <c:strRef>
              <c:f>'Figura 11'!$D$24</c:f>
              <c:strCache>
                <c:ptCount val="1"/>
                <c:pt idx="0">
                  <c:v>Ianuarie-august 2020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Slovacia</c:v>
                </c:pt>
                <c:pt idx="20">
                  <c:v>Netherlands</c:v>
                </c:pt>
                <c:pt idx="21">
                  <c:v>Regatul Unit</c:v>
                </c:pt>
              </c:strCache>
            </c:strRef>
          </c:cat>
          <c:val>
            <c:numRef>
              <c:f>'Figura 11'!$D$25:$D$46</c:f>
              <c:numCache>
                <c:formatCode>#,##0.0</c:formatCode>
                <c:ptCount val="22"/>
                <c:pt idx="0">
                  <c:v>12.00386199748146</c:v>
                </c:pt>
                <c:pt idx="1">
                  <c:v>9.8347155920201388</c:v>
                </c:pt>
                <c:pt idx="2">
                  <c:v>11.325852351835694</c:v>
                </c:pt>
                <c:pt idx="3">
                  <c:v>6.7858627873301973</c:v>
                </c:pt>
                <c:pt idx="4">
                  <c:v>8.2013956789908047</c:v>
                </c:pt>
                <c:pt idx="5">
                  <c:v>6.5771839672634131</c:v>
                </c:pt>
                <c:pt idx="6">
                  <c:v>11.509992423402888</c:v>
                </c:pt>
                <c:pt idx="7">
                  <c:v>3.9299996563316313</c:v>
                </c:pt>
                <c:pt idx="8">
                  <c:v>0.77133709136146777</c:v>
                </c:pt>
                <c:pt idx="9">
                  <c:v>2.4522034988149977</c:v>
                </c:pt>
                <c:pt idx="10">
                  <c:v>1.9592294963984225</c:v>
                </c:pt>
                <c:pt idx="11">
                  <c:v>1.618289550987325</c:v>
                </c:pt>
                <c:pt idx="12">
                  <c:v>1.1564882735183302</c:v>
                </c:pt>
                <c:pt idx="13">
                  <c:v>0.4833711977288751</c:v>
                </c:pt>
                <c:pt idx="14">
                  <c:v>1.2888120876214164</c:v>
                </c:pt>
                <c:pt idx="15">
                  <c:v>1.4959187165198062</c:v>
                </c:pt>
                <c:pt idx="16">
                  <c:v>1.0261804642512633</c:v>
                </c:pt>
                <c:pt idx="17">
                  <c:v>1.1026452385715388</c:v>
                </c:pt>
                <c:pt idx="18">
                  <c:v>2.0580589199935293</c:v>
                </c:pt>
                <c:pt idx="19">
                  <c:v>0.53493147885247649</c:v>
                </c:pt>
                <c:pt idx="20">
                  <c:v>1.0523962837139349</c:v>
                </c:pt>
                <c:pt idx="21">
                  <c:v>0.90586501809462161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D-4027-9176-5A5FABFE2538}"/>
            </c:ext>
          </c:extLst>
        </c:ser>
        <c:ser>
          <c:idx val="3"/>
          <c:order val="3"/>
          <c:tx>
            <c:strRef>
              <c:f>'Figura 11'!$E$24</c:f>
              <c:strCache>
                <c:ptCount val="1"/>
                <c:pt idx="0">
                  <c:v>Ianuarie-august 2021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Slovacia</c:v>
                </c:pt>
                <c:pt idx="20">
                  <c:v>Netherlands</c:v>
                </c:pt>
                <c:pt idx="21">
                  <c:v>Regatul Unit</c:v>
                </c:pt>
              </c:strCache>
            </c:strRef>
          </c:cat>
          <c:val>
            <c:numRef>
              <c:f>'Figura 11'!$E$25:$E$46</c:f>
              <c:numCache>
                <c:formatCode>#,##0.0</c:formatCode>
                <c:ptCount val="22"/>
                <c:pt idx="0">
                  <c:v>12.362629381367038</c:v>
                </c:pt>
                <c:pt idx="1">
                  <c:v>9.2590501694345324</c:v>
                </c:pt>
                <c:pt idx="2">
                  <c:v>11.662770265798423</c:v>
                </c:pt>
                <c:pt idx="3">
                  <c:v>7.1284741156553073</c:v>
                </c:pt>
                <c:pt idx="4">
                  <c:v>8.0801332155978685</c:v>
                </c:pt>
                <c:pt idx="5">
                  <c:v>6.6376881475542406</c:v>
                </c:pt>
                <c:pt idx="6">
                  <c:v>12.176325883806006</c:v>
                </c:pt>
                <c:pt idx="7">
                  <c:v>3.8050840812017088</c:v>
                </c:pt>
                <c:pt idx="8">
                  <c:v>0.66346057082419874</c:v>
                </c:pt>
                <c:pt idx="9">
                  <c:v>2.5783145492973931</c:v>
                </c:pt>
                <c:pt idx="10">
                  <c:v>1.8542762021866868</c:v>
                </c:pt>
                <c:pt idx="11">
                  <c:v>1.7053943027334186</c:v>
                </c:pt>
                <c:pt idx="12">
                  <c:v>1.3150720346012466</c:v>
                </c:pt>
                <c:pt idx="13">
                  <c:v>0.45753716201867967</c:v>
                </c:pt>
                <c:pt idx="14">
                  <c:v>1.5784035402812824</c:v>
                </c:pt>
                <c:pt idx="15">
                  <c:v>1.397317636472025</c:v>
                </c:pt>
                <c:pt idx="16">
                  <c:v>0.95904629975394429</c:v>
                </c:pt>
                <c:pt idx="17">
                  <c:v>1.5160070363253912</c:v>
                </c:pt>
                <c:pt idx="18">
                  <c:v>1.8697490890336728</c:v>
                </c:pt>
                <c:pt idx="19">
                  <c:v>0.58056997108760555</c:v>
                </c:pt>
                <c:pt idx="20">
                  <c:v>1.0864974950311728</c:v>
                </c:pt>
                <c:pt idx="21">
                  <c:v>0.94664776349700241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5D-4027-9176-5A5FABFE2538}"/>
            </c:ext>
          </c:extLst>
        </c:ser>
        <c:ser>
          <c:idx val="4"/>
          <c:order val="4"/>
          <c:tx>
            <c:strRef>
              <c:f>'Figura 11'!$F$24</c:f>
              <c:strCache>
                <c:ptCount val="1"/>
                <c:pt idx="0">
                  <c:v>Ianuarie-august 2022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Slovacia</c:v>
                </c:pt>
                <c:pt idx="20">
                  <c:v>Netherlands</c:v>
                </c:pt>
                <c:pt idx="21">
                  <c:v>Regatul Unit</c:v>
                </c:pt>
              </c:strCache>
            </c:strRef>
          </c:cat>
          <c:val>
            <c:numRef>
              <c:f>'Figura 11'!$F$25:$F$46</c:f>
              <c:numCache>
                <c:formatCode>#,##0.0</c:formatCode>
                <c:ptCount val="22"/>
                <c:pt idx="0">
                  <c:v>16.788224880224359</c:v>
                </c:pt>
                <c:pt idx="1">
                  <c:v>9.7266436468600173</c:v>
                </c:pt>
                <c:pt idx="2">
                  <c:v>10.1286691472363</c:v>
                </c:pt>
                <c:pt idx="3">
                  <c:v>6.9330646358515295</c:v>
                </c:pt>
                <c:pt idx="4">
                  <c:v>6.5285021437931201</c:v>
                </c:pt>
                <c:pt idx="5">
                  <c:v>5.0631233275681424</c:v>
                </c:pt>
                <c:pt idx="6">
                  <c:v>13.577396917457433</c:v>
                </c:pt>
                <c:pt idx="7">
                  <c:v>3.3361286441210019</c:v>
                </c:pt>
                <c:pt idx="8">
                  <c:v>2.9327226106398192</c:v>
                </c:pt>
                <c:pt idx="9">
                  <c:v>2.1748582807929178</c:v>
                </c:pt>
                <c:pt idx="10">
                  <c:v>2.035927476923864</c:v>
                </c:pt>
                <c:pt idx="11">
                  <c:v>1.4907633876335438</c:v>
                </c:pt>
                <c:pt idx="12">
                  <c:v>1.476766264106929</c:v>
                </c:pt>
                <c:pt idx="13">
                  <c:v>0.75099804848234697</c:v>
                </c:pt>
                <c:pt idx="14">
                  <c:v>1.5387308829204984</c:v>
                </c:pt>
                <c:pt idx="15">
                  <c:v>1.2075464010942769</c:v>
                </c:pt>
                <c:pt idx="16">
                  <c:v>0.78363458428171062</c:v>
                </c:pt>
                <c:pt idx="17">
                  <c:v>0.93332941615129406</c:v>
                </c:pt>
                <c:pt idx="18">
                  <c:v>1.1824087285646239</c:v>
                </c:pt>
                <c:pt idx="19">
                  <c:v>0.58548232894286822</c:v>
                </c:pt>
                <c:pt idx="20">
                  <c:v>1.0024464296679449</c:v>
                </c:pt>
                <c:pt idx="21">
                  <c:v>0.80508026642651753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D-4027-9176-5A5FABFE2538}"/>
            </c:ext>
          </c:extLst>
        </c:ser>
        <c:ser>
          <c:idx val="5"/>
          <c:order val="5"/>
          <c:tx>
            <c:strRef>
              <c:f>'Figura 11'!$G$24</c:f>
              <c:strCache>
                <c:ptCount val="1"/>
                <c:pt idx="0">
                  <c:v>Ianuarie-august 2023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11'!$A$25:$A$46</c:f>
              <c:strCache>
                <c:ptCount val="22"/>
                <c:pt idx="0">
                  <c:v>România</c:v>
                </c:pt>
                <c:pt idx="1">
                  <c:v>Ucraina</c:v>
                </c:pt>
                <c:pt idx="2">
                  <c:v>China</c:v>
                </c:pt>
                <c:pt idx="3">
                  <c:v>Turcia</c:v>
                </c:pt>
                <c:pt idx="4">
                  <c:v>Germania</c:v>
                </c:pt>
                <c:pt idx="5">
                  <c:v>Italia</c:v>
                </c:pt>
                <c:pt idx="6">
                  <c:v>Federația Rusă</c:v>
                </c:pt>
                <c:pt idx="7">
                  <c:v>Polonia</c:v>
                </c:pt>
                <c:pt idx="8">
                  <c:v>India</c:v>
                </c:pt>
                <c:pt idx="9">
                  <c:v>Franța</c:v>
                </c:pt>
                <c:pt idx="10">
                  <c:v>Ungaria</c:v>
                </c:pt>
                <c:pt idx="11">
                  <c:v>Cehia</c:v>
                </c:pt>
                <c:pt idx="12">
                  <c:v>Bulgaria</c:v>
                </c:pt>
                <c:pt idx="13">
                  <c:v>Grecia</c:v>
                </c:pt>
                <c:pt idx="14">
                  <c:v>S.U.A.</c:v>
                </c:pt>
                <c:pt idx="15">
                  <c:v>Spania</c:v>
                </c:pt>
                <c:pt idx="16">
                  <c:v>Japonia</c:v>
                </c:pt>
                <c:pt idx="17">
                  <c:v>Austria</c:v>
                </c:pt>
                <c:pt idx="18">
                  <c:v>Belarus</c:v>
                </c:pt>
                <c:pt idx="19">
                  <c:v>Slovacia</c:v>
                </c:pt>
                <c:pt idx="20">
                  <c:v>Netherlands</c:v>
                </c:pt>
                <c:pt idx="21">
                  <c:v>Regatul Unit</c:v>
                </c:pt>
              </c:strCache>
            </c:strRef>
          </c:cat>
          <c:val>
            <c:numRef>
              <c:f>'Figura 11'!$G$25:$G$46</c:f>
              <c:numCache>
                <c:formatCode>#,##0.0</c:formatCode>
                <c:ptCount val="22"/>
                <c:pt idx="0">
                  <c:v>15.583116511751467</c:v>
                </c:pt>
                <c:pt idx="1">
                  <c:v>12.135158839359788</c:v>
                </c:pt>
                <c:pt idx="2">
                  <c:v>11.13001864762378</c:v>
                </c:pt>
                <c:pt idx="3">
                  <c:v>8.731031408501412</c:v>
                </c:pt>
                <c:pt idx="4">
                  <c:v>7.1230162981349334</c:v>
                </c:pt>
                <c:pt idx="5">
                  <c:v>5.4948364914264278</c:v>
                </c:pt>
                <c:pt idx="6">
                  <c:v>4.1161898968661106</c:v>
                </c:pt>
                <c:pt idx="7">
                  <c:v>3.6280103614236072</c:v>
                </c:pt>
                <c:pt idx="8">
                  <c:v>2.5824447039064751</c:v>
                </c:pt>
                <c:pt idx="9">
                  <c:v>2.5093862404083072</c:v>
                </c:pt>
                <c:pt idx="10">
                  <c:v>2.1497338775836408</c:v>
                </c:pt>
                <c:pt idx="11">
                  <c:v>1.7683579274231098</c:v>
                </c:pt>
                <c:pt idx="12">
                  <c:v>1.6731588622698044</c:v>
                </c:pt>
                <c:pt idx="13">
                  <c:v>1.5001651137354415</c:v>
                </c:pt>
                <c:pt idx="14">
                  <c:v>1.4011812663697281</c:v>
                </c:pt>
                <c:pt idx="15">
                  <c:v>1.3877381181351627</c:v>
                </c:pt>
                <c:pt idx="16">
                  <c:v>1.0772918267709868</c:v>
                </c:pt>
                <c:pt idx="17">
                  <c:v>1.0499140653662811</c:v>
                </c:pt>
                <c:pt idx="18">
                  <c:v>1.0348459769564373</c:v>
                </c:pt>
                <c:pt idx="19">
                  <c:v>0.94446611895322352</c:v>
                </c:pt>
                <c:pt idx="20">
                  <c:v>0.94085617966080337</c:v>
                </c:pt>
                <c:pt idx="21">
                  <c:v>0.89017560777795157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5D-4027-9176-5A5FABFE25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7567872"/>
        <c:axId val="128391360"/>
      </c:barChart>
      <c:catAx>
        <c:axId val="12756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391360"/>
        <c:crosses val="autoZero"/>
        <c:auto val="1"/>
        <c:lblAlgn val="ctr"/>
        <c:lblOffset val="100"/>
        <c:noMultiLvlLbl val="0"/>
      </c:catAx>
      <c:valAx>
        <c:axId val="1283913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7567872"/>
        <c:crosses val="autoZero"/>
        <c:crossBetween val="between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21961138683081816"/>
          <c:y val="0.87203727441046597"/>
          <c:w val="0.75813786434590413"/>
          <c:h val="7.97284447971135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en-US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august 202</a:t>
            </a:r>
            <a:r>
              <a:rPr lang="ro-RO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3</a:t>
            </a:r>
            <a:endParaRPr lang="en-US" sz="9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6581800272677584"/>
          <c:y val="1.203643662189285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342054211186989"/>
          <c:y val="0.12491082658988956"/>
          <c:w val="0.52192988462254575"/>
          <c:h val="0.63180986033255537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1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D3-4FE3-A741-BA04960B80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3D3-4FE3-A741-BA04960B805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3D3-4FE3-A741-BA04960B805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3D3-4FE3-A741-BA04960B805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3D3-4FE3-A741-BA04960B805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3D3-4FE3-A741-BA04960B805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3D3-4FE3-A741-BA04960B805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3D3-4FE3-A741-BA04960B805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FCD-4C13-890E-399C32D1EBE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FCD-4C13-890E-399C32D1EBE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FCD-4C13-890E-399C32D1EBED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B027-44E0-9897-C542FAFF950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028B-4A15-95E9-C59FB398DFD6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DB53-4333-94CE-1214A088B112}"/>
              </c:ext>
            </c:extLst>
          </c:dPt>
          <c:dLbls>
            <c:dLbl>
              <c:idx val="0"/>
              <c:layout>
                <c:manualLayout>
                  <c:x val="-3.9664378337147331E-2"/>
                  <c:y val="2.65707645043801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D3-4FE3-A741-BA04960B8052}"/>
                </c:ext>
              </c:extLst>
            </c:dLbl>
            <c:dLbl>
              <c:idx val="1"/>
              <c:layout>
                <c:manualLayout>
                  <c:x val="-3.2036613272311214E-2"/>
                  <c:y val="-6.883616807898346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984744469870327"/>
                      <c:h val="0.1695880587355650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B3D3-4FE3-A741-BA04960B8052}"/>
                </c:ext>
              </c:extLst>
            </c:dLbl>
            <c:dLbl>
              <c:idx val="2"/>
              <c:layout>
                <c:manualLayout>
                  <c:x val="-7.6277650648361207E-3"/>
                  <c:y val="-0.10098903107626075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94801107527461"/>
                      <c:h val="0.1684044470881109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B3D3-4FE3-A741-BA04960B8052}"/>
                </c:ext>
              </c:extLst>
            </c:dLbl>
            <c:dLbl>
              <c:idx val="3"/>
              <c:layout>
                <c:manualLayout>
                  <c:x val="2.2883415316792496E-2"/>
                  <c:y val="-0.1128221993758876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35545385202132"/>
                      <c:h val="0.127473830477072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B3D3-4FE3-A741-BA04960B8052}"/>
                </c:ext>
              </c:extLst>
            </c:dLbl>
            <c:dLbl>
              <c:idx val="4"/>
              <c:layout>
                <c:manualLayout>
                  <c:x val="3.294689994414314E-2"/>
                  <c:y val="-7.02317801615787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D3-4FE3-A741-BA04960B8052}"/>
                </c:ext>
              </c:extLst>
            </c:dLbl>
            <c:dLbl>
              <c:idx val="5"/>
              <c:layout>
                <c:manualLayout>
                  <c:x val="-9.2277938941842793E-4"/>
                  <c:y val="4.6902083201975778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D3-4FE3-A741-BA04960B8052}"/>
                </c:ext>
              </c:extLst>
            </c:dLbl>
            <c:dLbl>
              <c:idx val="6"/>
              <c:layout>
                <c:manualLayout>
                  <c:x val="-0.10403262521246634"/>
                  <c:y val="1.7380537985036401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74358697153701"/>
                      <c:h val="0.16997261417995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B3D3-4FE3-A741-BA04960B8052}"/>
                </c:ext>
              </c:extLst>
            </c:dLbl>
            <c:dLbl>
              <c:idx val="7"/>
              <c:layout>
                <c:manualLayout>
                  <c:x val="-0.13485143876466243"/>
                  <c:y val="2.6342494060655527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0281026084554"/>
                      <c:h val="0.1223418683029951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B3D3-4FE3-A741-BA04960B8052}"/>
                </c:ext>
              </c:extLst>
            </c:dLbl>
            <c:dLbl>
              <c:idx val="8"/>
              <c:layout>
                <c:manualLayout>
                  <c:x val="-0.19219445395412529"/>
                  <c:y val="-5.901323198113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CD-4C13-890E-399C32D1EBED}"/>
                </c:ext>
              </c:extLst>
            </c:dLbl>
            <c:dLbl>
              <c:idx val="9"/>
              <c:layout>
                <c:manualLayout>
                  <c:x val="-0.193694901409635"/>
                  <c:y val="-0.204068227572890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508771929824559"/>
                      <c:h val="0.1842493465828992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8FCD-4C13-890E-399C32D1EBED}"/>
                </c:ext>
              </c:extLst>
            </c:dLbl>
            <c:dLbl>
              <c:idx val="10"/>
              <c:layout>
                <c:manualLayout>
                  <c:x val="-0.15432566352546892"/>
                  <c:y val="-0.31892851492003743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229595728451563"/>
                      <c:h val="0.1344100092673995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8FCD-4C13-890E-399C32D1EBED}"/>
                </c:ext>
              </c:extLst>
            </c:dLbl>
            <c:dLbl>
              <c:idx val="11"/>
              <c:layout>
                <c:manualLayout>
                  <c:x val="-0.12163606551469396"/>
                  <c:y val="-0.45365348491103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027-44E0-9897-C542FAFF950C}"/>
                </c:ext>
              </c:extLst>
            </c:dLbl>
            <c:dLbl>
              <c:idx val="12"/>
              <c:layout>
                <c:manualLayout>
                  <c:x val="-3.1999135119551707E-2"/>
                  <c:y val="-0.59065426175466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28B-4A15-95E9-C59FB398DFD6}"/>
                </c:ext>
              </c:extLst>
            </c:dLbl>
            <c:dLbl>
              <c:idx val="13"/>
              <c:layout>
                <c:manualLayout>
                  <c:x val="0.19832189168573608"/>
                  <c:y val="-0.2115203650808190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B53-4333-94CE-1214A088B1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12'!$A$44:$A$57</c:f>
              <c:strCache>
                <c:ptCount val="14"/>
                <c:pt idx="0">
                  <c:v>Petrol, produse petroliere </c:v>
                </c:pt>
                <c:pt idx="1">
                  <c:v>Maşini şi aparate electrice </c:v>
                </c:pt>
                <c:pt idx="2">
                  <c:v>Gaz şi produse industriale obţinute din gaz</c:v>
                </c:pt>
                <c:pt idx="3">
                  <c:v>Vehicule rutiere</c:v>
                </c:pt>
                <c:pt idx="4">
                  <c:v>Fire, tesături, articole textile </c:v>
                </c:pt>
                <c:pt idx="5">
                  <c:v>Produse medicinale şi farmaceutice</c:v>
                </c:pt>
                <c:pt idx="6">
                  <c:v>Maşini şi aparate industriale </c:v>
                </c:pt>
                <c:pt idx="7">
                  <c:v>Legume şi fructe</c:v>
                </c:pt>
                <c:pt idx="8">
                  <c:v>Maşini şi aparate specializate </c:v>
                </c:pt>
                <c:pt idx="9">
                  <c:v>Aparate şi echipamente de telecomunicaţii </c:v>
                </c:pt>
                <c:pt idx="10">
                  <c:v>Îmbrăcăminte şi accesorii</c:v>
                </c:pt>
                <c:pt idx="11">
                  <c:v>Articole prelucrate din metal</c:v>
                </c:pt>
                <c:pt idx="12">
                  <c:v>Articole din minerale nemetalice</c:v>
                </c:pt>
                <c:pt idx="13">
                  <c:v>Alte mărfuri</c:v>
                </c:pt>
              </c:strCache>
            </c:strRef>
          </c:cat>
          <c:val>
            <c:numRef>
              <c:f>'Figura 12'!$B$44:$B$57</c:f>
              <c:numCache>
                <c:formatCode>0.0</c:formatCode>
                <c:ptCount val="14"/>
                <c:pt idx="0">
                  <c:v>15.8</c:v>
                </c:pt>
                <c:pt idx="1">
                  <c:v>7.6</c:v>
                </c:pt>
                <c:pt idx="2">
                  <c:v>6.9</c:v>
                </c:pt>
                <c:pt idx="3">
                  <c:v>6.7</c:v>
                </c:pt>
                <c:pt idx="4">
                  <c:v>3.5</c:v>
                </c:pt>
                <c:pt idx="5">
                  <c:v>3.4</c:v>
                </c:pt>
                <c:pt idx="6">
                  <c:v>2.8</c:v>
                </c:pt>
                <c:pt idx="7">
                  <c:v>2.6</c:v>
                </c:pt>
                <c:pt idx="8">
                  <c:v>2.6</c:v>
                </c:pt>
                <c:pt idx="9">
                  <c:v>2.5</c:v>
                </c:pt>
                <c:pt idx="10">
                  <c:v>2.4</c:v>
                </c:pt>
                <c:pt idx="11">
                  <c:v>2.2000000000000002</c:v>
                </c:pt>
                <c:pt idx="12">
                  <c:v>2.1</c:v>
                </c:pt>
                <c:pt idx="13">
                  <c:v>38.9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3D3-4FE3-A741-BA04960B8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august</a:t>
            </a: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2022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6319716334156549"/>
          <c:y val="1.09127236442937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3278201881303409"/>
          <c:y val="0.11184088515881624"/>
          <c:w val="0.53981480000639726"/>
          <c:h val="0.65779810457824517"/>
        </c:manualLayout>
      </c:layout>
      <c:pieChart>
        <c:varyColors val="1"/>
        <c:ser>
          <c:idx val="0"/>
          <c:order val="0"/>
          <c:tx>
            <c:strRef>
              <c:f>'Figura 12'!$B$27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3D9-44C7-A51E-FDC47C6964E7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3D9-44C7-A51E-FDC47C6964E7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3D9-44C7-A51E-FDC47C6964E7}"/>
              </c:ext>
            </c:extLst>
          </c:dPt>
          <c:dPt>
            <c:idx val="3"/>
            <c:bubble3D val="0"/>
            <c:explosion val="1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13D9-44C7-A51E-FDC47C6964E7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13D9-44C7-A51E-FDC47C6964E7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13D9-44C7-A51E-FDC47C6964E7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3D9-44C7-A51E-FDC47C6964E7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3D9-44C7-A51E-FDC47C6964E7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13D9-44C7-A51E-FDC47C6964E7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13D9-44C7-A51E-FDC47C6964E7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13D9-44C7-A51E-FDC47C6964E7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13D9-44C7-A51E-FDC47C6964E7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13D9-44C7-A51E-FDC47C6964E7}"/>
              </c:ext>
            </c:extLst>
          </c:dPt>
          <c:dPt>
            <c:idx val="13"/>
            <c:bubble3D val="0"/>
            <c:spPr>
              <a:gradFill rotWithShape="1">
                <a:gsLst>
                  <a:gs pos="0">
                    <a:schemeClr val="accent2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B-79F0-4C23-A26D-005511921D52}"/>
              </c:ext>
            </c:extLst>
          </c:dPt>
          <c:dLbls>
            <c:dLbl>
              <c:idx val="0"/>
              <c:layout>
                <c:manualLayout>
                  <c:x val="-5.5692070057993009E-2"/>
                  <c:y val="1.80473973006239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D9-44C7-A51E-FDC47C6964E7}"/>
                </c:ext>
              </c:extLst>
            </c:dLbl>
            <c:dLbl>
              <c:idx val="1"/>
              <c:layout>
                <c:manualLayout>
                  <c:x val="-4.9140061815876185E-2"/>
                  <c:y val="-7.7049743684076355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561008225091921"/>
                      <c:h val="0.1726762552737437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3D9-44C7-A51E-FDC47C6964E7}"/>
                </c:ext>
              </c:extLst>
            </c:dLbl>
            <c:dLbl>
              <c:idx val="2"/>
              <c:layout>
                <c:manualLayout>
                  <c:x val="0"/>
                  <c:y val="-0.10914749448005456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314489172935356"/>
                      <c:h val="0.1744489074559631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3D9-44C7-A51E-FDC47C6964E7}"/>
                </c:ext>
              </c:extLst>
            </c:dLbl>
            <c:dLbl>
              <c:idx val="3"/>
              <c:layout>
                <c:manualLayout>
                  <c:x val="3.8999152366177813E-2"/>
                  <c:y val="-0.13762482351848679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944982735200328"/>
                      <c:h val="0.1325526250571513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3D9-44C7-A51E-FDC47C6964E7}"/>
                </c:ext>
              </c:extLst>
            </c:dLbl>
            <c:dLbl>
              <c:idx val="4"/>
              <c:layout>
                <c:manualLayout>
                  <c:x val="5.2416065936934479E-2"/>
                  <c:y val="-8.59118216441009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D9-44C7-A51E-FDC47C6964E7}"/>
                </c:ext>
              </c:extLst>
            </c:dLbl>
            <c:dLbl>
              <c:idx val="5"/>
              <c:layout>
                <c:manualLayout>
                  <c:x val="1.1272807566486116E-2"/>
                  <c:y val="-2.472219872749966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0763314119268217"/>
                      <c:h val="0.17215664401512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13D9-44C7-A51E-FDC47C6964E7}"/>
                </c:ext>
              </c:extLst>
            </c:dLbl>
            <c:dLbl>
              <c:idx val="6"/>
              <c:layout>
                <c:manualLayout>
                  <c:x val="-7.8623969928861698E-2"/>
                  <c:y val="1.9569559593230444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6616785419666"/>
                      <c:h val="0.1599438571420966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D-13D9-44C7-A51E-FDC47C6964E7}"/>
                </c:ext>
              </c:extLst>
            </c:dLbl>
            <c:dLbl>
              <c:idx val="7"/>
              <c:layout>
                <c:manualLayout>
                  <c:x val="-0.10483213187386919"/>
                  <c:y val="1.82156720906944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3D9-44C7-A51E-FDC47C6964E7}"/>
                </c:ext>
              </c:extLst>
            </c:dLbl>
            <c:dLbl>
              <c:idx val="8"/>
              <c:layout>
                <c:manualLayout>
                  <c:x val="-0.1633219610418622"/>
                  <c:y val="-5.258217517494367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533992798981809"/>
                      <c:h val="0.175458260458618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13D9-44C7-A51E-FDC47C6964E7}"/>
                </c:ext>
              </c:extLst>
            </c:dLbl>
            <c:dLbl>
              <c:idx val="9"/>
              <c:layout>
                <c:manualLayout>
                  <c:x val="-0.17918233516669185"/>
                  <c:y val="-0.18358750022919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26616785419666"/>
                      <c:h val="0.1955092811383774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3-13D9-44C7-A51E-FDC47C6964E7}"/>
                </c:ext>
              </c:extLst>
            </c:dLbl>
            <c:dLbl>
              <c:idx val="10"/>
              <c:layout>
                <c:manualLayout>
                  <c:x val="-0.17035221429503744"/>
                  <c:y val="-0.3083534977201575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67162727637145"/>
                      <c:h val="0.1546554743722522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3D9-44C7-A51E-FDC47C6964E7}"/>
                </c:ext>
              </c:extLst>
            </c:dLbl>
            <c:dLbl>
              <c:idx val="11"/>
              <c:layout>
                <c:manualLayout>
                  <c:x val="-0.14086817720551173"/>
                  <c:y val="-0.44998867324348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3D9-44C7-A51E-FDC47C6964E7}"/>
                </c:ext>
              </c:extLst>
            </c:dLbl>
            <c:dLbl>
              <c:idx val="12"/>
              <c:layout>
                <c:manualLayout>
                  <c:x val="-5.8968074179051422E-2"/>
                  <c:y val="-0.575545917133094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3D9-44C7-A51E-FDC47C6964E7}"/>
                </c:ext>
              </c:extLst>
            </c:dLbl>
            <c:dLbl>
              <c:idx val="13"/>
              <c:layout>
                <c:manualLayout>
                  <c:x val="0.1998362513845631"/>
                  <c:y val="-0.2197183748381575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66110227478502"/>
                      <c:h val="8.409392158335635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B-79F0-4C23-A26D-005511921D5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12'!$A$28:$A$41</c:f>
              <c:strCache>
                <c:ptCount val="14"/>
                <c:pt idx="0">
                  <c:v>Petrol, produse petroliere </c:v>
                </c:pt>
                <c:pt idx="1">
                  <c:v>Maşini şi aparate electrice </c:v>
                </c:pt>
                <c:pt idx="2">
                  <c:v>Gaz şi produse industriale obţinute din gaz</c:v>
                </c:pt>
                <c:pt idx="3">
                  <c:v>Vehicule rutiere</c:v>
                </c:pt>
                <c:pt idx="4">
                  <c:v>Fire, tesături, articole textile </c:v>
                </c:pt>
                <c:pt idx="5">
                  <c:v>Produse medicinale şi farmaceutice</c:v>
                </c:pt>
                <c:pt idx="6">
                  <c:v>Maşini şi aparate industriale </c:v>
                </c:pt>
                <c:pt idx="7">
                  <c:v>Legume şi fructe</c:v>
                </c:pt>
                <c:pt idx="8">
                  <c:v>Maşini şi aparate specializate </c:v>
                </c:pt>
                <c:pt idx="9">
                  <c:v>Aparate şi echipamente de telecomunicaţii </c:v>
                </c:pt>
                <c:pt idx="10">
                  <c:v>Îmbrăcăminte şi accesorii</c:v>
                </c:pt>
                <c:pt idx="11">
                  <c:v>Articole prelucrate din metal</c:v>
                </c:pt>
                <c:pt idx="12">
                  <c:v>Articole din minerale nemetalice</c:v>
                </c:pt>
                <c:pt idx="13">
                  <c:v>Alte mărfuri</c:v>
                </c:pt>
              </c:strCache>
            </c:strRef>
          </c:cat>
          <c:val>
            <c:numRef>
              <c:f>'Figura 12'!$B$28:$B$41</c:f>
              <c:numCache>
                <c:formatCode>0.0</c:formatCode>
                <c:ptCount val="14"/>
                <c:pt idx="0">
                  <c:v>16</c:v>
                </c:pt>
                <c:pt idx="1">
                  <c:v>6.2</c:v>
                </c:pt>
                <c:pt idx="2">
                  <c:v>8.6999999999999993</c:v>
                </c:pt>
                <c:pt idx="3">
                  <c:v>5.8</c:v>
                </c:pt>
                <c:pt idx="4">
                  <c:v>3.8</c:v>
                </c:pt>
                <c:pt idx="5">
                  <c:v>3.2</c:v>
                </c:pt>
                <c:pt idx="6">
                  <c:v>2.8</c:v>
                </c:pt>
                <c:pt idx="7">
                  <c:v>2.2000000000000002</c:v>
                </c:pt>
                <c:pt idx="8">
                  <c:v>3.7</c:v>
                </c:pt>
                <c:pt idx="9">
                  <c:v>2</c:v>
                </c:pt>
                <c:pt idx="10">
                  <c:v>2.1</c:v>
                </c:pt>
                <c:pt idx="11">
                  <c:v>2.2999999999999998</c:v>
                </c:pt>
                <c:pt idx="12">
                  <c:v>1.8</c:v>
                </c:pt>
                <c:pt idx="13">
                  <c:v>39.4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3D9-44C7-A51E-FDC47C696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39292310683395E-2"/>
          <c:y val="8.3241273945234451E-2"/>
          <c:w val="0.93642881088462071"/>
          <c:h val="0.70397265640302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13'!$B$22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13'!$B$23:$B$28</c:f>
              <c:numCache>
                <c:formatCode>#,##0.0</c:formatCode>
                <c:ptCount val="6"/>
                <c:pt idx="0">
                  <c:v>-154</c:v>
                </c:pt>
                <c:pt idx="1">
                  <c:v>-138.30000000000001</c:v>
                </c:pt>
                <c:pt idx="2">
                  <c:v>-160.30000000000001</c:v>
                </c:pt>
                <c:pt idx="3">
                  <c:v>-201</c:v>
                </c:pt>
                <c:pt idx="4">
                  <c:v>-291.3</c:v>
                </c:pt>
                <c:pt idx="5">
                  <c:v>-402.2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33-4221-BB37-7103809F1204}"/>
            </c:ext>
          </c:extLst>
        </c:ser>
        <c:ser>
          <c:idx val="2"/>
          <c:order val="1"/>
          <c:tx>
            <c:strRef>
              <c:f>'Figura 13'!$C$22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13'!$C$23:$C$28</c:f>
              <c:numCache>
                <c:formatCode>#,##0.0</c:formatCode>
                <c:ptCount val="6"/>
                <c:pt idx="0">
                  <c:v>-212.1</c:v>
                </c:pt>
                <c:pt idx="1">
                  <c:v>-217.9</c:v>
                </c:pt>
                <c:pt idx="2">
                  <c:v>-239.5</c:v>
                </c:pt>
                <c:pt idx="3">
                  <c:v>-294.39999999999998</c:v>
                </c:pt>
                <c:pt idx="4">
                  <c:v>-332.6</c:v>
                </c:pt>
                <c:pt idx="5">
                  <c:v>-396.5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3-4221-BB37-7103809F1204}"/>
            </c:ext>
          </c:extLst>
        </c:ser>
        <c:ser>
          <c:idx val="3"/>
          <c:order val="2"/>
          <c:tx>
            <c:strRef>
              <c:f>'Figura 13'!$D$22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13'!$D$23:$D$28</c:f>
              <c:numCache>
                <c:formatCode>#,##0.0</c:formatCode>
                <c:ptCount val="6"/>
                <c:pt idx="0">
                  <c:v>-282</c:v>
                </c:pt>
                <c:pt idx="1">
                  <c:v>-276.60000000000002</c:v>
                </c:pt>
                <c:pt idx="2">
                  <c:v>-290.3</c:v>
                </c:pt>
                <c:pt idx="3">
                  <c:v>-370.8</c:v>
                </c:pt>
                <c:pt idx="4">
                  <c:v>-352.5</c:v>
                </c:pt>
                <c:pt idx="5">
                  <c:v>-436.2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33-4221-BB37-7103809F1204}"/>
            </c:ext>
          </c:extLst>
        </c:ser>
        <c:ser>
          <c:idx val="4"/>
          <c:order val="3"/>
          <c:tx>
            <c:strRef>
              <c:f>'Figura 13'!$E$22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13'!$E$23:$E$28</c:f>
              <c:numCache>
                <c:formatCode>#,##0.0</c:formatCode>
                <c:ptCount val="6"/>
                <c:pt idx="0">
                  <c:v>-244.9</c:v>
                </c:pt>
                <c:pt idx="1">
                  <c:v>-300</c:v>
                </c:pt>
                <c:pt idx="2">
                  <c:v>-135.80000000000001</c:v>
                </c:pt>
                <c:pt idx="3">
                  <c:v>-344</c:v>
                </c:pt>
                <c:pt idx="4">
                  <c:v>-374.1</c:v>
                </c:pt>
                <c:pt idx="5">
                  <c:v>-373.3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33-4221-BB37-7103809F1204}"/>
            </c:ext>
          </c:extLst>
        </c:ser>
        <c:ser>
          <c:idx val="5"/>
          <c:order val="4"/>
          <c:tx>
            <c:strRef>
              <c:f>'Figura 13'!$F$22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13'!$F$23:$F$28</c:f>
              <c:numCache>
                <c:formatCode>#,##0.0</c:formatCode>
                <c:ptCount val="6"/>
                <c:pt idx="0">
                  <c:v>-282.60000000000002</c:v>
                </c:pt>
                <c:pt idx="1">
                  <c:v>-271.10000000000002</c:v>
                </c:pt>
                <c:pt idx="2">
                  <c:v>-173.7</c:v>
                </c:pt>
                <c:pt idx="3">
                  <c:v>-361.7</c:v>
                </c:pt>
                <c:pt idx="4">
                  <c:v>-356.7</c:v>
                </c:pt>
                <c:pt idx="5">
                  <c:v>-372.7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733-4221-BB37-7103809F1204}"/>
            </c:ext>
          </c:extLst>
        </c:ser>
        <c:ser>
          <c:idx val="6"/>
          <c:order val="5"/>
          <c:tx>
            <c:strRef>
              <c:f>'Figura 13'!$G$22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13'!$G$23:$G$28</c:f>
              <c:numCache>
                <c:formatCode>#,##0.0</c:formatCode>
                <c:ptCount val="6"/>
                <c:pt idx="0">
                  <c:v>-244.6</c:v>
                </c:pt>
                <c:pt idx="1">
                  <c:v>-243.2</c:v>
                </c:pt>
                <c:pt idx="2">
                  <c:v>-223.9</c:v>
                </c:pt>
                <c:pt idx="3">
                  <c:v>-362.8</c:v>
                </c:pt>
                <c:pt idx="4">
                  <c:v>-352</c:v>
                </c:pt>
                <c:pt idx="5">
                  <c:v>-348.6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733-4221-BB37-7103809F1204}"/>
            </c:ext>
          </c:extLst>
        </c:ser>
        <c:ser>
          <c:idx val="7"/>
          <c:order val="6"/>
          <c:tx>
            <c:strRef>
              <c:f>'Figura 13'!$H$22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13'!$H$23:$H$28</c:f>
              <c:numCache>
                <c:formatCode>#,##0.0</c:formatCode>
                <c:ptCount val="6"/>
                <c:pt idx="0">
                  <c:v>-269.2</c:v>
                </c:pt>
                <c:pt idx="1">
                  <c:v>-278.89999999999998</c:v>
                </c:pt>
                <c:pt idx="2">
                  <c:v>-305.5</c:v>
                </c:pt>
                <c:pt idx="3">
                  <c:v>-321.3</c:v>
                </c:pt>
                <c:pt idx="4">
                  <c:v>-422.8</c:v>
                </c:pt>
                <c:pt idx="5">
                  <c:v>-334.9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733-4221-BB37-7103809F1204}"/>
            </c:ext>
          </c:extLst>
        </c:ser>
        <c:ser>
          <c:idx val="8"/>
          <c:order val="7"/>
          <c:tx>
            <c:strRef>
              <c:f>'Figura 13'!$I$22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13'!$I$23:$I$28</c:f>
              <c:numCache>
                <c:formatCode>#,##0.0</c:formatCode>
                <c:ptCount val="6"/>
                <c:pt idx="0">
                  <c:v>-262.10000000000002</c:v>
                </c:pt>
                <c:pt idx="1">
                  <c:v>-258.5</c:v>
                </c:pt>
                <c:pt idx="2">
                  <c:v>-269.7</c:v>
                </c:pt>
                <c:pt idx="3">
                  <c:v>-338.6</c:v>
                </c:pt>
                <c:pt idx="4">
                  <c:v>-450.6</c:v>
                </c:pt>
                <c:pt idx="5">
                  <c:v>-377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733-4221-BB37-7103809F1204}"/>
            </c:ext>
          </c:extLst>
        </c:ser>
        <c:ser>
          <c:idx val="9"/>
          <c:order val="8"/>
          <c:tx>
            <c:strRef>
              <c:f>'Figura 13'!$J$22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13'!$J$23:$J$28</c:f>
              <c:numCache>
                <c:formatCode>#,##0.0</c:formatCode>
                <c:ptCount val="6"/>
                <c:pt idx="0">
                  <c:v>-266.7</c:v>
                </c:pt>
                <c:pt idx="1">
                  <c:v>-262.89999999999998</c:v>
                </c:pt>
                <c:pt idx="2">
                  <c:v>-296</c:v>
                </c:pt>
                <c:pt idx="3">
                  <c:v>-376.3</c:v>
                </c:pt>
                <c:pt idx="4">
                  <c:v>-525.29999999999995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3-4221-BB37-7103809F1204}"/>
            </c:ext>
          </c:extLst>
        </c:ser>
        <c:ser>
          <c:idx val="10"/>
          <c:order val="9"/>
          <c:tx>
            <c:strRef>
              <c:f>'Figura 13'!$K$22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13'!$K$23:$K$28</c:f>
              <c:numCache>
                <c:formatCode>#,##0.0</c:formatCode>
                <c:ptCount val="6"/>
                <c:pt idx="0">
                  <c:v>-281.60000000000002</c:v>
                </c:pt>
                <c:pt idx="1">
                  <c:v>-257</c:v>
                </c:pt>
                <c:pt idx="2">
                  <c:v>-244.2</c:v>
                </c:pt>
                <c:pt idx="3">
                  <c:v>-294.60000000000002</c:v>
                </c:pt>
                <c:pt idx="4">
                  <c:v>-399.2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733-4221-BB37-7103809F1204}"/>
            </c:ext>
          </c:extLst>
        </c:ser>
        <c:ser>
          <c:idx val="11"/>
          <c:order val="10"/>
          <c:tx>
            <c:strRef>
              <c:f>'Figura 13'!$L$22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13'!$L$23:$L$28</c:f>
              <c:numCache>
                <c:formatCode>#,##0.0</c:formatCode>
                <c:ptCount val="6"/>
                <c:pt idx="0">
                  <c:v>-253.70000000000005</c:v>
                </c:pt>
                <c:pt idx="1">
                  <c:v>-237.5</c:v>
                </c:pt>
                <c:pt idx="2">
                  <c:v>-260.89999999999998</c:v>
                </c:pt>
                <c:pt idx="3">
                  <c:v>-337.6</c:v>
                </c:pt>
                <c:pt idx="4">
                  <c:v>-502.5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733-4221-BB37-7103809F1204}"/>
            </c:ext>
          </c:extLst>
        </c:ser>
        <c:ser>
          <c:idx val="12"/>
          <c:order val="11"/>
          <c:tx>
            <c:strRef>
              <c:f>'Figura 13'!$M$22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13'!$A$23:$A$28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13'!$M$23:$M$28</c:f>
              <c:numCache>
                <c:formatCode>#,##0.0</c:formatCode>
                <c:ptCount val="6"/>
                <c:pt idx="0">
                  <c:v>-300.49999999999994</c:v>
                </c:pt>
                <c:pt idx="1">
                  <c:v>-321.39999999999998</c:v>
                </c:pt>
                <c:pt idx="2">
                  <c:v>-349</c:v>
                </c:pt>
                <c:pt idx="3">
                  <c:v>-429.2</c:v>
                </c:pt>
                <c:pt idx="4">
                  <c:v>-524.29999999999995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B1-46B9-BC71-3BBF0CA16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3858304"/>
        <c:axId val="133212992"/>
      </c:barChart>
      <c:catAx>
        <c:axId val="133858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22225" cap="flat" cmpd="sng" algn="ctr">
            <a:gradFill>
              <a:gsLst>
                <a:gs pos="0">
                  <a:schemeClr val="tx1">
                    <a:alpha val="98000"/>
                  </a:schemeClr>
                </a:gs>
                <a:gs pos="74000">
                  <a:schemeClr val="accent1">
                    <a:lumMod val="45000"/>
                    <a:lumOff val="55000"/>
                  </a:schemeClr>
                </a:gs>
                <a:gs pos="83000">
                  <a:schemeClr val="accent1">
                    <a:lumMod val="45000"/>
                    <a:lumOff val="55000"/>
                  </a:schemeClr>
                </a:gs>
                <a:gs pos="100000">
                  <a:schemeClr val="accent1">
                    <a:lumMod val="30000"/>
                    <a:lumOff val="70000"/>
                  </a:schemeClr>
                </a:gs>
              </a:gsLst>
              <a:lin ang="5400000" scaled="1"/>
            </a:gra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2129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3212992"/>
        <c:scaling>
          <c:orientation val="minMax"/>
          <c:min val="-6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858304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egendEntry>
        <c:idx val="7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"/>
          <c:y val="0.9095502632723057"/>
          <c:w val="1"/>
          <c:h val="7.38586594586124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162778414308116E-2"/>
          <c:y val="6.8799149302478671E-2"/>
          <c:w val="0.90019805713940926"/>
          <c:h val="0.792567509429552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14'!$B$27</c:f>
              <c:strCache>
                <c:ptCount val="1"/>
                <c:pt idx="0">
                  <c:v>Export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2194475690538683E-2"/>
                  <c:y val="1.63592268642251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713-450B-8629-87951D3C5A06}"/>
                </c:ext>
              </c:extLst>
            </c:dLbl>
            <c:dLbl>
              <c:idx val="1"/>
              <c:layout>
                <c:manualLayout>
                  <c:x val="-1.5403217454960988E-2"/>
                  <c:y val="8.78438427864839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713-450B-8629-87951D3C5A06}"/>
                </c:ext>
              </c:extLst>
            </c:dLbl>
            <c:dLbl>
              <c:idx val="2"/>
              <c:layout>
                <c:manualLayout>
                  <c:x val="-1.442191154677094E-2"/>
                  <c:y val="4.55420521910221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713-450B-8629-87951D3C5A06}"/>
                </c:ext>
              </c:extLst>
            </c:dLbl>
            <c:dLbl>
              <c:idx val="3"/>
              <c:layout>
                <c:manualLayout>
                  <c:x val="-1.4134233220847461E-2"/>
                  <c:y val="1.60028858214282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9864016997875265E-2"/>
                      <c:h val="6.75767083679755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8713-450B-8629-87951D3C5A06}"/>
                </c:ext>
              </c:extLst>
            </c:dLbl>
            <c:dLbl>
              <c:idx val="4"/>
              <c:layout>
                <c:manualLayout>
                  <c:x val="-1.2216044423018551E-2"/>
                  <c:y val="4.441030017163443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713-450B-8629-87951D3C5A06}"/>
                </c:ext>
              </c:extLst>
            </c:dLbl>
            <c:dLbl>
              <c:idx val="5"/>
              <c:layout>
                <c:manualLayout>
                  <c:x val="-1.2661703001410538E-2"/>
                  <c:y val="4.28720532408903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Ianuarie-august 2018</c:v>
                </c:pt>
                <c:pt idx="1">
                  <c:v>Ianuarie-august 2019</c:v>
                </c:pt>
                <c:pt idx="2">
                  <c:v>Ianuarie-august 2020</c:v>
                </c:pt>
                <c:pt idx="3">
                  <c:v>Ianuarie-august 2021</c:v>
                </c:pt>
                <c:pt idx="4">
                  <c:v>Ianuarie-august 2022</c:v>
                </c:pt>
                <c:pt idx="5">
                  <c:v>Ianuarie-august 2023</c:v>
                </c:pt>
              </c:strCache>
            </c:strRef>
          </c:cat>
          <c:val>
            <c:numRef>
              <c:f>'Figura 14'!$B$28:$B$33</c:f>
              <c:numCache>
                <c:formatCode>0.0</c:formatCode>
                <c:ptCount val="6"/>
                <c:pt idx="0">
                  <c:v>1752.2</c:v>
                </c:pt>
                <c:pt idx="1">
                  <c:v>1787.2</c:v>
                </c:pt>
                <c:pt idx="2">
                  <c:v>1525.2</c:v>
                </c:pt>
                <c:pt idx="3">
                  <c:v>1808.5</c:v>
                </c:pt>
                <c:pt idx="4">
                  <c:v>2959</c:v>
                </c:pt>
                <c:pt idx="5">
                  <c:v>2668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D2C-4A3E-9B06-2ADBC8010143}"/>
            </c:ext>
          </c:extLst>
        </c:ser>
        <c:ser>
          <c:idx val="1"/>
          <c:order val="1"/>
          <c:tx>
            <c:strRef>
              <c:f>'Figura 14'!$C$27</c:f>
              <c:strCache>
                <c:ptCount val="1"/>
                <c:pt idx="0">
                  <c:v>Import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7483528844608877E-3"/>
                  <c:y val="8.06439113349790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D2C-4A3E-9B06-2ADBC8010143}"/>
                </c:ext>
              </c:extLst>
            </c:dLbl>
            <c:dLbl>
              <c:idx val="1"/>
              <c:layout>
                <c:manualLayout>
                  <c:x val="-2.7713678647312274E-3"/>
                  <c:y val="6.7770597667421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D2C-4A3E-9B06-2ADBC8010143}"/>
                </c:ext>
              </c:extLst>
            </c:dLbl>
            <c:dLbl>
              <c:idx val="2"/>
              <c:layout>
                <c:manualLayout>
                  <c:x val="1.1457958618054857E-5"/>
                  <c:y val="7.55431884702589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D2C-4A3E-9B06-2ADBC8010143}"/>
                </c:ext>
              </c:extLst>
            </c:dLbl>
            <c:dLbl>
              <c:idx val="3"/>
              <c:layout>
                <c:manualLayout>
                  <c:x val="-8.3683067535339809E-4"/>
                  <c:y val="8.36463961279676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713-450B-8629-87951D3C5A06}"/>
                </c:ext>
              </c:extLst>
            </c:dLbl>
            <c:dLbl>
              <c:idx val="4"/>
              <c:layout>
                <c:manualLayout>
                  <c:x val="0"/>
                  <c:y val="8.57449088960342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713-450B-8629-87951D3C5A06}"/>
                </c:ext>
              </c:extLst>
            </c:dLbl>
            <c:dLbl>
              <c:idx val="5"/>
              <c:layout>
                <c:manualLayout>
                  <c:x val="-1.3682575392361669E-3"/>
                  <c:y val="4.55420521910220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Ianuarie-august 2018</c:v>
                </c:pt>
                <c:pt idx="1">
                  <c:v>Ianuarie-august 2019</c:v>
                </c:pt>
                <c:pt idx="2">
                  <c:v>Ianuarie-august 2020</c:v>
                </c:pt>
                <c:pt idx="3">
                  <c:v>Ianuarie-august 2021</c:v>
                </c:pt>
                <c:pt idx="4">
                  <c:v>Ianuarie-august 2022</c:v>
                </c:pt>
                <c:pt idx="5">
                  <c:v>Ianuarie-august 2023</c:v>
                </c:pt>
              </c:strCache>
            </c:strRef>
          </c:cat>
          <c:val>
            <c:numRef>
              <c:f>'Figura 14'!$C$28:$C$33</c:f>
              <c:numCache>
                <c:formatCode>0.0</c:formatCode>
                <c:ptCount val="6"/>
                <c:pt idx="0">
                  <c:v>3703.6</c:v>
                </c:pt>
                <c:pt idx="1">
                  <c:v>3771.7</c:v>
                </c:pt>
                <c:pt idx="2">
                  <c:v>3323.9</c:v>
                </c:pt>
                <c:pt idx="3">
                  <c:v>4403</c:v>
                </c:pt>
                <c:pt idx="4">
                  <c:v>5891.6</c:v>
                </c:pt>
                <c:pt idx="5">
                  <c:v>5709.4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9"/>
        <c:axId val="133806080"/>
        <c:axId val="133217024"/>
      </c:barChart>
      <c:lineChart>
        <c:grouping val="standard"/>
        <c:varyColors val="0"/>
        <c:ser>
          <c:idx val="2"/>
          <c:order val="2"/>
          <c:tx>
            <c:strRef>
              <c:f>'Figura 14'!$D$27</c:f>
              <c:strCache>
                <c:ptCount val="1"/>
                <c:pt idx="0">
                  <c:v>Balanţa Comercială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9753138000607062E-2"/>
                  <c:y val="-2.93079906664089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D2C-4A3E-9B06-2ADBC8010143}"/>
                </c:ext>
              </c:extLst>
            </c:dLbl>
            <c:dLbl>
              <c:idx val="1"/>
              <c:layout>
                <c:manualLayout>
                  <c:x val="-3.9225525380755945E-2"/>
                  <c:y val="-3.8958296838961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D2C-4A3E-9B06-2ADBC8010143}"/>
                </c:ext>
              </c:extLst>
            </c:dLbl>
            <c:dLbl>
              <c:idx val="2"/>
              <c:layout>
                <c:manualLayout>
                  <c:x val="-4.3412716267609404E-2"/>
                  <c:y val="3.1556287701306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D2C-4A3E-9B06-2ADBC8010143}"/>
                </c:ext>
              </c:extLst>
            </c:dLbl>
            <c:dLbl>
              <c:idx val="3"/>
              <c:layout>
                <c:manualLayout>
                  <c:x val="-3.6065777492099271E-2"/>
                  <c:y val="-3.5311832774427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D2C-4A3E-9B06-2ADBC8010143}"/>
                </c:ext>
              </c:extLst>
            </c:dLbl>
            <c:dLbl>
              <c:idx val="4"/>
              <c:layout>
                <c:manualLayout>
                  <c:x val="-3.7191636759690755E-2"/>
                  <c:y val="3.24207473832985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713-450B-8629-87951D3C5A06}"/>
                </c:ext>
              </c:extLst>
            </c:dLbl>
            <c:dLbl>
              <c:idx val="5"/>
              <c:layout>
                <c:manualLayout>
                  <c:x val="-1.5124538004178048E-2"/>
                  <c:y val="-2.5049737138164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713-450B-8629-87951D3C5A0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14'!$A$28:$A$33</c:f>
              <c:strCache>
                <c:ptCount val="6"/>
                <c:pt idx="0">
                  <c:v>Ianuarie-august 2018</c:v>
                </c:pt>
                <c:pt idx="1">
                  <c:v>Ianuarie-august 2019</c:v>
                </c:pt>
                <c:pt idx="2">
                  <c:v>Ianuarie-august 2020</c:v>
                </c:pt>
                <c:pt idx="3">
                  <c:v>Ianuarie-august 2021</c:v>
                </c:pt>
                <c:pt idx="4">
                  <c:v>Ianuarie-august 2022</c:v>
                </c:pt>
                <c:pt idx="5">
                  <c:v>Ianuarie-august 2023</c:v>
                </c:pt>
              </c:strCache>
            </c:strRef>
          </c:cat>
          <c:val>
            <c:numRef>
              <c:f>'Figura 14'!$D$28:$D$33</c:f>
              <c:numCache>
                <c:formatCode>#,##0.0</c:formatCode>
                <c:ptCount val="6"/>
                <c:pt idx="0">
                  <c:v>-1951.3999999999999</c:v>
                </c:pt>
                <c:pt idx="1">
                  <c:v>-1984.4999999999998</c:v>
                </c:pt>
                <c:pt idx="2">
                  <c:v>-1798.7</c:v>
                </c:pt>
                <c:pt idx="3">
                  <c:v>-2594.5</c:v>
                </c:pt>
                <c:pt idx="4">
                  <c:v>-2932.6000000000004</c:v>
                </c:pt>
                <c:pt idx="5">
                  <c:v>-3041.3999999999996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2C-4A3E-9B06-2ADBC8010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806080"/>
        <c:axId val="133217024"/>
      </c:lineChart>
      <c:catAx>
        <c:axId val="13380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217024"/>
        <c:crosses val="autoZero"/>
        <c:auto val="1"/>
        <c:lblAlgn val="ctr"/>
        <c:lblOffset val="100"/>
        <c:noMultiLvlLbl val="0"/>
      </c:catAx>
      <c:valAx>
        <c:axId val="133217024"/>
        <c:scaling>
          <c:orientation val="minMax"/>
          <c:max val="6000"/>
          <c:min val="-4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33806080"/>
        <c:crosses val="autoZero"/>
        <c:crossBetween val="between"/>
        <c:majorUnit val="1000"/>
        <c:min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724427456859489E-2"/>
          <c:y val="0.95930711068301466"/>
          <c:w val="0.92503281730217912"/>
          <c:h val="3.64052869585378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854673787348795E-2"/>
          <c:y val="5.8988321282727942E-2"/>
          <c:w val="0.92807084892708935"/>
          <c:h val="0.71198276686002482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19050" cap="rnd" cmpd="sng" algn="ctr">
              <a:solidFill>
                <a:schemeClr val="accent6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6350" cap="flat" cmpd="sng" algn="ctr">
                <a:solidFill>
                  <a:schemeClr val="accent6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3443222211951362E-2"/>
                  <c:y val="-2.826464130675770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0-A467-4F44-B57D-57C60A5D0C66}"/>
                </c:ext>
              </c:extLst>
            </c:dLbl>
            <c:dLbl>
              <c:idx val="1"/>
              <c:layout>
                <c:manualLayout>
                  <c:x val="-3.6457225130743419E-2"/>
                  <c:y val="-2.53046979481788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7-4F44-B57D-57C60A5D0C66}"/>
                </c:ext>
              </c:extLst>
            </c:dLbl>
            <c:dLbl>
              <c:idx val="2"/>
              <c:layout>
                <c:manualLayout>
                  <c:x val="-6.885436012067302E-3"/>
                  <c:y val="1.498995186909471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67-4F44-B57D-57C60A5D0C66}"/>
                </c:ext>
              </c:extLst>
            </c:dLbl>
            <c:dLbl>
              <c:idx val="3"/>
              <c:layout>
                <c:manualLayout>
                  <c:x val="-1.6988125870039585E-2"/>
                  <c:y val="2.7772429854718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467-4F44-B57D-57C60A5D0C66}"/>
                </c:ext>
              </c:extLst>
            </c:dLbl>
            <c:dLbl>
              <c:idx val="4"/>
              <c:layout>
                <c:manualLayout>
                  <c:x val="-1.0186544651580191E-2"/>
                  <c:y val="2.1814384918506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467-4F44-B57D-57C60A5D0C66}"/>
                </c:ext>
              </c:extLst>
            </c:dLbl>
            <c:dLbl>
              <c:idx val="5"/>
              <c:layout>
                <c:manualLayout>
                  <c:x val="-2.1906626666330531E-2"/>
                  <c:y val="2.8966651648107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467-4F44-B57D-57C60A5D0C66}"/>
                </c:ext>
              </c:extLst>
            </c:dLbl>
            <c:dLbl>
              <c:idx val="6"/>
              <c:layout>
                <c:manualLayout>
                  <c:x val="-1.8928999102650092E-2"/>
                  <c:y val="-2.7682493366803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467-4F44-B57D-57C60A5D0C66}"/>
                </c:ext>
              </c:extLst>
            </c:dLbl>
            <c:dLbl>
              <c:idx val="7"/>
              <c:layout>
                <c:manualLayout>
                  <c:x val="-2.08212466810078E-2"/>
                  <c:y val="2.7013952956152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467-4F44-B57D-57C60A5D0C66}"/>
                </c:ext>
              </c:extLst>
            </c:dLbl>
            <c:dLbl>
              <c:idx val="8"/>
              <c:layout>
                <c:manualLayout>
                  <c:x val="-4.9212592580540303E-2"/>
                  <c:y val="-2.480207685211010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67-4F44-B57D-57C60A5D0C66}"/>
                </c:ext>
              </c:extLst>
            </c:dLbl>
            <c:dLbl>
              <c:idx val="9"/>
              <c:layout>
                <c:manualLayout>
                  <c:x val="-3.498856108564026E-2"/>
                  <c:y val="2.6121421470817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67-4F44-B57D-57C60A5D0C66}"/>
                </c:ext>
              </c:extLst>
            </c:dLbl>
            <c:dLbl>
              <c:idx val="10"/>
              <c:layout>
                <c:manualLayout>
                  <c:x val="-1.7704798639764478E-2"/>
                  <c:y val="-1.798822831069821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5.2302229189677085E-2"/>
                      <c:h val="5.53198033344423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2A9D-446E-B46D-AAA2B51203E9}"/>
                </c:ext>
              </c:extLst>
            </c:dLbl>
            <c:dLbl>
              <c:idx val="11"/>
              <c:layout>
                <c:manualLayout>
                  <c:x val="-1.8774622174355458E-2"/>
                  <c:y val="2.7373522754100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9D-446E-B46D-AAA2B51203E9}"/>
                </c:ext>
              </c:extLst>
            </c:dLbl>
            <c:dLbl>
              <c:idx val="12"/>
              <c:layout>
                <c:manualLayout>
                  <c:x val="-2.23417783354493E-2"/>
                  <c:y val="-2.5007707369912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A9D-446E-B46D-AAA2B51203E9}"/>
                </c:ext>
              </c:extLst>
            </c:dLbl>
            <c:dLbl>
              <c:idx val="13"/>
              <c:layout>
                <c:manualLayout>
                  <c:x val="-1.4220270307518445E-2"/>
                  <c:y val="3.1558711836769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9D-446E-B46D-AAA2B51203E9}"/>
                </c:ext>
              </c:extLst>
            </c:dLbl>
            <c:dLbl>
              <c:idx val="14"/>
              <c:layout>
                <c:manualLayout>
                  <c:x val="-2.6059378650240862E-2"/>
                  <c:y val="-2.5236327747859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A9D-446E-B46D-AAA2B51203E9}"/>
                </c:ext>
              </c:extLst>
            </c:dLbl>
            <c:dLbl>
              <c:idx val="15"/>
              <c:layout>
                <c:manualLayout>
                  <c:x val="-2.0977544576017353E-2"/>
                  <c:y val="2.78028908358286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9D-446E-B46D-AAA2B51203E9}"/>
                </c:ext>
              </c:extLst>
            </c:dLbl>
            <c:dLbl>
              <c:idx val="16"/>
              <c:layout>
                <c:manualLayout>
                  <c:x val="-2.3586567703530924E-2"/>
                  <c:y val="-2.87636267688761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A9D-446E-B46D-AAA2B51203E9}"/>
                </c:ext>
              </c:extLst>
            </c:dLbl>
            <c:dLbl>
              <c:idx val="17"/>
              <c:layout>
                <c:manualLayout>
                  <c:x val="-9.8504756653157634E-3"/>
                  <c:y val="-1.7155484992168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9D-446E-B46D-AAA2B51203E9}"/>
                </c:ext>
              </c:extLst>
            </c:dLbl>
            <c:dLbl>
              <c:idx val="18"/>
              <c:layout>
                <c:manualLayout>
                  <c:x val="-1.9806465598779351E-2"/>
                  <c:y val="2.8260078601285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A9D-446E-B46D-AAA2B51203E9}"/>
                </c:ext>
              </c:extLst>
            </c:dLbl>
            <c:dLbl>
              <c:idx val="19"/>
              <c:layout>
                <c:manualLayout>
                  <c:x val="-2.3958691277942649E-2"/>
                  <c:y val="-2.6747051713903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A9D-446E-B46D-AAA2B51203E9}"/>
                </c:ext>
              </c:extLst>
            </c:dLbl>
            <c:dLbl>
              <c:idx val="20"/>
              <c:layout>
                <c:manualLayout>
                  <c:x val="-2.6729192440803264E-2"/>
                  <c:y val="2.980554542398821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3592084697278002E-2"/>
                      <c:h val="4.2169824139829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4-2A9D-446E-B46D-AAA2B51203E9}"/>
                </c:ext>
              </c:extLst>
            </c:dLbl>
            <c:dLbl>
              <c:idx val="21"/>
              <c:layout>
                <c:manualLayout>
                  <c:x val="-2.0179531234208441E-2"/>
                  <c:y val="-2.33768871534110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01612338479032E-2"/>
                      <c:h val="3.70391984380699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2A9D-446E-B46D-AAA2B51203E9}"/>
                </c:ext>
              </c:extLst>
            </c:dLbl>
            <c:dLbl>
              <c:idx val="22"/>
              <c:layout>
                <c:manualLayout>
                  <c:x val="-2.4134608611496605E-2"/>
                  <c:y val="-2.7602108319566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A9D-446E-B46D-AAA2B51203E9}"/>
                </c:ext>
              </c:extLst>
            </c:dLbl>
            <c:dLbl>
              <c:idx val="23"/>
              <c:layout>
                <c:manualLayout>
                  <c:x val="-2.0672859299822176E-2"/>
                  <c:y val="3.0526865340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A9D-446E-B46D-AAA2B51203E9}"/>
                </c:ext>
              </c:extLst>
            </c:dLbl>
            <c:dLbl>
              <c:idx val="24"/>
              <c:layout>
                <c:manualLayout>
                  <c:x val="-1.7886603147768836E-2"/>
                  <c:y val="3.0526865340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A9D-446E-B46D-AAA2B51203E9}"/>
                </c:ext>
              </c:extLst>
            </c:dLbl>
            <c:dLbl>
              <c:idx val="25"/>
              <c:layout>
                <c:manualLayout>
                  <c:x val="-2.1569693760205379E-2"/>
                  <c:y val="-2.76021083195663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A9D-446E-B46D-AAA2B51203E9}"/>
                </c:ext>
              </c:extLst>
            </c:dLbl>
            <c:dLbl>
              <c:idx val="26"/>
              <c:layout>
                <c:manualLayout>
                  <c:x val="-1.1520408128121029E-2"/>
                  <c:y val="-2.0335986612027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45-47A2-BA65-A68496B03D77}"/>
                </c:ext>
              </c:extLst>
            </c:dLbl>
            <c:dLbl>
              <c:idx val="27"/>
              <c:layout>
                <c:manualLayout>
                  <c:x val="-2.1913988917710132E-2"/>
                  <c:y val="-4.213435173464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48-4289-A3E3-B060B2DBC62B}"/>
                </c:ext>
              </c:extLst>
            </c:dLbl>
            <c:dLbl>
              <c:idx val="28"/>
              <c:layout>
                <c:manualLayout>
                  <c:x val="-2.6613932540714178E-2"/>
                  <c:y val="-2.39690474657970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57-4475-99F9-38F5443B2E52}"/>
                </c:ext>
              </c:extLst>
            </c:dLbl>
            <c:dLbl>
              <c:idx val="29"/>
              <c:layout>
                <c:manualLayout>
                  <c:x val="-2.0829797647320493E-2"/>
                  <c:y val="-3.12351691733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2E-4A7A-B1BC-91559A5D2172}"/>
                </c:ext>
              </c:extLst>
            </c:dLbl>
            <c:dLbl>
              <c:idx val="30"/>
              <c:layout>
                <c:manualLayout>
                  <c:x val="-2.3347463409286895E-2"/>
                  <c:y val="-3.1235169173335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F4-48C4-BCB2-1885672B88A3}"/>
                </c:ext>
              </c:extLst>
            </c:dLbl>
            <c:dLbl>
              <c:idx val="31"/>
              <c:layout>
                <c:manualLayout>
                  <c:x val="-5.9490972851749726E-3"/>
                  <c:y val="-3.48682300271049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8D8-4DD1-85F9-CC735642B9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2'!$B$23:$AG$24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2'!$B$25:$AG$25</c:f>
              <c:numCache>
                <c:formatCode>#,##0.0</c:formatCode>
                <c:ptCount val="32"/>
                <c:pt idx="0">
                  <c:v>90.925213233797848</c:v>
                </c:pt>
                <c:pt idx="1">
                  <c:v>114.41147354263464</c:v>
                </c:pt>
                <c:pt idx="2">
                  <c:v>114.20579997969134</c:v>
                </c:pt>
                <c:pt idx="3">
                  <c:v>84.167356355788357</c:v>
                </c:pt>
                <c:pt idx="4">
                  <c:v>92.421884276527052</c:v>
                </c:pt>
                <c:pt idx="5">
                  <c:v>112.45124175218632</c:v>
                </c:pt>
                <c:pt idx="6">
                  <c:v>106.13290668113962</c:v>
                </c:pt>
                <c:pt idx="7">
                  <c:v>98.163759117159898</c:v>
                </c:pt>
                <c:pt idx="8">
                  <c:v>124.79747973247373</c:v>
                </c:pt>
                <c:pt idx="9">
                  <c:v>119.44752327758337</c:v>
                </c:pt>
                <c:pt idx="10">
                  <c:v>103.29810746017232</c:v>
                </c:pt>
                <c:pt idx="11">
                  <c:v>89.310814590947814</c:v>
                </c:pt>
                <c:pt idx="12">
                  <c:v>101.65548055101389</c:v>
                </c:pt>
                <c:pt idx="13">
                  <c:v>101.84864374682041</c:v>
                </c:pt>
                <c:pt idx="14">
                  <c:v>117.64360095679429</c:v>
                </c:pt>
                <c:pt idx="15">
                  <c:v>100.12867315249881</c:v>
                </c:pt>
                <c:pt idx="16">
                  <c:v>104.95231951698101</c:v>
                </c:pt>
                <c:pt idx="17">
                  <c:v>100.11263227721525</c:v>
                </c:pt>
                <c:pt idx="18">
                  <c:v>81.219091406345484</c:v>
                </c:pt>
                <c:pt idx="19">
                  <c:v>97.395817403540036</c:v>
                </c:pt>
                <c:pt idx="20">
                  <c:v>96.775293757579718</c:v>
                </c:pt>
                <c:pt idx="21" formatCode="0.0">
                  <c:v>110.41268252711565</c:v>
                </c:pt>
                <c:pt idx="22" formatCode="0.0">
                  <c:v>101.07685140675132</c:v>
                </c:pt>
                <c:pt idx="23" formatCode="0.0">
                  <c:v>98.231011775552389</c:v>
                </c:pt>
                <c:pt idx="24" formatCode="0.0">
                  <c:v>94.738709353020752</c:v>
                </c:pt>
                <c:pt idx="25" formatCode="0.0">
                  <c:v>107.53426152887265</c:v>
                </c:pt>
                <c:pt idx="26" formatCode="0.0">
                  <c:v>108.10569775638508</c:v>
                </c:pt>
                <c:pt idx="27" formatCode="0.0">
                  <c:v>82.37132224691446</c:v>
                </c:pt>
                <c:pt idx="28">
                  <c:v>106.12742375699248</c:v>
                </c:pt>
                <c:pt idx="29" formatCode="0.0">
                  <c:v>94.101008956084598</c:v>
                </c:pt>
                <c:pt idx="30" formatCode="0.0">
                  <c:v>96.083754729334231</c:v>
                </c:pt>
                <c:pt idx="31" formatCode="0.0">
                  <c:v>105.69719732985806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2D8C-45EE-B332-341AC82C0A62}"/>
            </c:ext>
          </c:extLst>
        </c:ser>
        <c:ser>
          <c:idx val="1"/>
          <c:order val="1"/>
          <c:tx>
            <c:strRef>
              <c:f>'Figura 2'!$A$26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6350" cap="flat" cmpd="sng" algn="ctr">
                <a:solidFill>
                  <a:schemeClr val="accent5"/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1.8418201695077237E-2"/>
                  <c:y val="2.756984954345495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A467-4F44-B57D-57C60A5D0C66}"/>
                </c:ext>
              </c:extLst>
            </c:dLbl>
            <c:dLbl>
              <c:idx val="1"/>
              <c:layout>
                <c:manualLayout>
                  <c:x val="-1.2682096184884722E-2"/>
                  <c:y val="2.41195191200554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467-4F44-B57D-57C60A5D0C66}"/>
                </c:ext>
              </c:extLst>
            </c:dLbl>
            <c:dLbl>
              <c:idx val="2"/>
              <c:layout>
                <c:manualLayout>
                  <c:x val="-4.0328182029540839E-2"/>
                  <c:y val="-2.39959378374705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467-4F44-B57D-57C60A5D0C66}"/>
                </c:ext>
              </c:extLst>
            </c:dLbl>
            <c:dLbl>
              <c:idx val="3"/>
              <c:layout>
                <c:manualLayout>
                  <c:x val="-2.1732731647604933E-2"/>
                  <c:y val="-2.50194883677687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467-4F44-B57D-57C60A5D0C66}"/>
                </c:ext>
              </c:extLst>
            </c:dLbl>
            <c:dLbl>
              <c:idx val="4"/>
              <c:layout>
                <c:manualLayout>
                  <c:x val="-1.6865015672400608E-2"/>
                  <c:y val="-2.69315654344297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467-4F44-B57D-57C60A5D0C66}"/>
                </c:ext>
              </c:extLst>
            </c:dLbl>
            <c:dLbl>
              <c:idx val="5"/>
              <c:layout>
                <c:manualLayout>
                  <c:x val="-2.2986613254440045E-2"/>
                  <c:y val="-2.9825427134959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467-4F44-B57D-57C60A5D0C66}"/>
                </c:ext>
              </c:extLst>
            </c:dLbl>
            <c:dLbl>
              <c:idx val="6"/>
              <c:layout>
                <c:manualLayout>
                  <c:x val="-2.9936572980886141E-2"/>
                  <c:y val="-3.3102333597946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467-4F44-B57D-57C60A5D0C66}"/>
                </c:ext>
              </c:extLst>
            </c:dLbl>
            <c:dLbl>
              <c:idx val="7"/>
              <c:layout>
                <c:manualLayout>
                  <c:x val="-3.0207713660441841E-2"/>
                  <c:y val="-3.225929183920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467-4F44-B57D-57C60A5D0C66}"/>
                </c:ext>
              </c:extLst>
            </c:dLbl>
            <c:dLbl>
              <c:idx val="8"/>
              <c:layout>
                <c:manualLayout>
                  <c:x val="-2.5521784121116893E-2"/>
                  <c:y val="-2.938431061239960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2-A467-4F44-B57D-57C60A5D0C66}"/>
                </c:ext>
              </c:extLst>
            </c:dLbl>
            <c:dLbl>
              <c:idx val="9"/>
              <c:layout>
                <c:manualLayout>
                  <c:x val="-2.0040392496295488E-2"/>
                  <c:y val="-2.75368848648687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467-4F44-B57D-57C60A5D0C66}"/>
                </c:ext>
              </c:extLst>
            </c:dLbl>
            <c:dLbl>
              <c:idx val="10"/>
              <c:layout>
                <c:manualLayout>
                  <c:x val="-3.0093992043293306E-2"/>
                  <c:y val="3.04108648544272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4.8975214154240054E-2"/>
                      <c:h val="4.437855349825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2A9D-446E-B46D-AAA2B51203E9}"/>
                </c:ext>
              </c:extLst>
            </c:dLbl>
            <c:dLbl>
              <c:idx val="11"/>
              <c:layout>
                <c:manualLayout>
                  <c:x val="-3.6944477622910907E-2"/>
                  <c:y val="-3.524040421377845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2F-2A9D-446E-B46D-AAA2B51203E9}"/>
                </c:ext>
              </c:extLst>
            </c:dLbl>
            <c:dLbl>
              <c:idx val="12"/>
              <c:layout>
                <c:manualLayout>
                  <c:x val="-2.9082589880465699E-2"/>
                  <c:y val="-2.45297403219693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2A9D-446E-B46D-AAA2B51203E9}"/>
                </c:ext>
              </c:extLst>
            </c:dLbl>
            <c:dLbl>
              <c:idx val="13"/>
              <c:layout>
                <c:manualLayout>
                  <c:x val="-2.4691761837821614E-2"/>
                  <c:y val="3.11015755183189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A9D-446E-B46D-AAA2B51203E9}"/>
                </c:ext>
              </c:extLst>
            </c:dLbl>
            <c:dLbl>
              <c:idx val="14"/>
              <c:layout>
                <c:manualLayout>
                  <c:x val="-9.7441715196486239E-3"/>
                  <c:y val="1.92512175760046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2A9D-446E-B46D-AAA2B51203E9}"/>
                </c:ext>
              </c:extLst>
            </c:dLbl>
            <c:dLbl>
              <c:idx val="15"/>
              <c:layout>
                <c:manualLayout>
                  <c:x val="-4.4211583685278777E-2"/>
                  <c:y val="-2.149742181409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A9D-446E-B46D-AAA2B51203E9}"/>
                </c:ext>
              </c:extLst>
            </c:dLbl>
            <c:dLbl>
              <c:idx val="16"/>
              <c:layout>
                <c:manualLayout>
                  <c:x val="-2.9013497000156308E-2"/>
                  <c:y val="-2.85352614301958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2A9D-446E-B46D-AAA2B51203E9}"/>
                </c:ext>
              </c:extLst>
            </c:dLbl>
            <c:dLbl>
              <c:idx val="17"/>
              <c:layout>
                <c:manualLayout>
                  <c:x val="-6.6476749104334206E-3"/>
                  <c:y val="-9.878492708847361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2A9D-446E-B46D-AAA2B51203E9}"/>
                </c:ext>
              </c:extLst>
            </c:dLbl>
            <c:dLbl>
              <c:idx val="18"/>
              <c:layout>
                <c:manualLayout>
                  <c:x val="-3.7839499934153503E-2"/>
                  <c:y val="3.131326567830247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4.6284534603932247E-2"/>
                      <c:h val="5.356018508585609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6-2A9D-446E-B46D-AAA2B51203E9}"/>
                </c:ext>
              </c:extLst>
            </c:dLbl>
            <c:dLbl>
              <c:idx val="19"/>
              <c:layout>
                <c:manualLayout>
                  <c:x val="-7.3126664929956354E-3"/>
                  <c:y val="-6.475144285438434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2A9D-446E-B46D-AAA2B51203E9}"/>
                </c:ext>
              </c:extLst>
            </c:dLbl>
            <c:dLbl>
              <c:idx val="20"/>
              <c:layout>
                <c:manualLayout>
                  <c:x val="-2.1077181853281807E-2"/>
                  <c:y val="-3.1003454268488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A9D-446E-B46D-AAA2B51203E9}"/>
                </c:ext>
              </c:extLst>
            </c:dLbl>
            <c:dLbl>
              <c:idx val="21"/>
              <c:layout>
                <c:manualLayout>
                  <c:x val="-2.5880612648039879E-2"/>
                  <c:y val="2.995573101046299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  <a:noFill/>
                    <a:ln>
                      <a:noFill/>
                    </a:ln>
                  </c15:spPr>
                  <c15:layout>
                    <c:manualLayout>
                      <c:w val="3.9778112005662211E-2"/>
                      <c:h val="5.15714418531470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9-2A9D-446E-B46D-AAA2B51203E9}"/>
                </c:ext>
              </c:extLst>
            </c:dLbl>
            <c:dLbl>
              <c:idx val="22"/>
              <c:layout>
                <c:manualLayout>
                  <c:x val="-2.222867415785407E-2"/>
                  <c:y val="3.41599261945116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A9D-446E-B46D-AAA2B51203E9}"/>
                </c:ext>
              </c:extLst>
            </c:dLbl>
            <c:dLbl>
              <c:idx val="23"/>
              <c:layout>
                <c:manualLayout>
                  <c:x val="-2.4134608611496376E-2"/>
                  <c:y val="-2.39690474657970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2A9D-446E-B46D-AAA2B51203E9}"/>
                </c:ext>
              </c:extLst>
            </c:dLbl>
            <c:dLbl>
              <c:idx val="24"/>
              <c:layout>
                <c:manualLayout>
                  <c:x val="-2.5058174612654281E-2"/>
                  <c:y val="-3.1235169173335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A9D-446E-B46D-AAA2B51203E9}"/>
                </c:ext>
              </c:extLst>
            </c:dLbl>
            <c:dLbl>
              <c:idx val="25"/>
              <c:layout>
                <c:manualLayout>
                  <c:x val="-2.4907982456924466E-2"/>
                  <c:y val="2.6893804486973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2A9D-446E-B46D-AAA2B51203E9}"/>
                </c:ext>
              </c:extLst>
            </c:dLbl>
            <c:dLbl>
              <c:idx val="26"/>
              <c:layout>
                <c:manualLayout>
                  <c:x val="-2.551845267967795E-2"/>
                  <c:y val="3.05270083746343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103119330075079E-2"/>
                      <c:h val="5.157144185314709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ED45-47A2-BA65-A68496B03D77}"/>
                </c:ext>
              </c:extLst>
            </c:dLbl>
            <c:dLbl>
              <c:idx val="27"/>
              <c:layout>
                <c:manualLayout>
                  <c:x val="-2.337026921821404E-2"/>
                  <c:y val="3.052700837463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3103119330075079E-2"/>
                      <c:h val="4.43053201456084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F748-4289-A3E3-B060B2DBC62B}"/>
                </c:ext>
              </c:extLst>
            </c:dLbl>
            <c:dLbl>
              <c:idx val="28"/>
              <c:layout>
                <c:manualLayout>
                  <c:x val="-2.0925996018337546E-2"/>
                  <c:y val="3.0526865340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D7-4FC2-99FE-11B7B13BF1D9}"/>
                </c:ext>
              </c:extLst>
            </c:dLbl>
            <c:dLbl>
              <c:idx val="29"/>
              <c:layout>
                <c:manualLayout>
                  <c:x val="-1.3288439176679599E-2"/>
                  <c:y val="3.0526865340742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2E-4A7A-B1BC-91559A5D2172}"/>
                </c:ext>
              </c:extLst>
            </c:dLbl>
            <c:dLbl>
              <c:idx val="30"/>
              <c:layout>
                <c:manualLayout>
                  <c:x val="-1.2789395281600653E-2"/>
                  <c:y val="3.77921288449298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F4-48C4-BCB2-1885672B88A3}"/>
                </c:ext>
              </c:extLst>
            </c:dLbl>
            <c:dLbl>
              <c:idx val="31"/>
              <c:layout>
                <c:manualLayout>
                  <c:x val="-2.5522259174811935E-4"/>
                  <c:y val="3.0526865340742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8D8-4DD1-85F9-CC735642B9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'Figura 2'!$B$23:$AG$24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2'!$B$26:$AG$26</c:f>
              <c:numCache>
                <c:formatCode>#,##0.0</c:formatCode>
                <c:ptCount val="32"/>
                <c:pt idx="0">
                  <c:v>90.415711128050958</c:v>
                </c:pt>
                <c:pt idx="1">
                  <c:v>92.544788099159774</c:v>
                </c:pt>
                <c:pt idx="2">
                  <c:v>123.33461185332185</c:v>
                </c:pt>
                <c:pt idx="3">
                  <c:v>145.62616468779689</c:v>
                </c:pt>
                <c:pt idx="4">
                  <c:v>129.53315145310887</c:v>
                </c:pt>
                <c:pt idx="5">
                  <c:v>119.63933960141166</c:v>
                </c:pt>
                <c:pt idx="6">
                  <c:v>125.94594158412818</c:v>
                </c:pt>
                <c:pt idx="7">
                  <c:v>144.1652577242715</c:v>
                </c:pt>
                <c:pt idx="8">
                  <c:v>138.93267521074247</c:v>
                </c:pt>
                <c:pt idx="9">
                  <c:v>141.26446794210585</c:v>
                </c:pt>
                <c:pt idx="10">
                  <c:v>138.86123791492062</c:v>
                </c:pt>
                <c:pt idx="11">
                  <c:v>148.90368550768355</c:v>
                </c:pt>
                <c:pt idx="12">
                  <c:v>166.47364542706634</c:v>
                </c:pt>
                <c:pt idx="13" formatCode="0.0">
                  <c:v>148.19932435921535</c:v>
                </c:pt>
                <c:pt idx="14" formatCode="0.0">
                  <c:v>152.66039185472528</c:v>
                </c:pt>
                <c:pt idx="15" formatCode="0.0">
                  <c:v>181.61058088529293</c:v>
                </c:pt>
                <c:pt idx="16" formatCode="0.0">
                  <c:v>206.23310011413275</c:v>
                </c:pt>
                <c:pt idx="17" formatCode="0.0">
                  <c:v>183.60436215205132</c:v>
                </c:pt>
                <c:pt idx="18" formatCode="0.0">
                  <c:v>140.50476839414773</c:v>
                </c:pt>
                <c:pt idx="19" formatCode="0.0">
                  <c:v>139.40559010693906</c:v>
                </c:pt>
                <c:pt idx="20" formatCode="0.0">
                  <c:v>108.10328031438013</c:v>
                </c:pt>
                <c:pt idx="21">
                  <c:v>99.926501964829413</c:v>
                </c:pt>
                <c:pt idx="22">
                  <c:v>97.777746747100537</c:v>
                </c:pt>
                <c:pt idx="23">
                  <c:v>107.54360528556772</c:v>
                </c:pt>
                <c:pt idx="24" formatCode="0.0">
                  <c:v>100.22420542342689</c:v>
                </c:pt>
                <c:pt idx="25">
                  <c:v>105.8191402559811</c:v>
                </c:pt>
                <c:pt idx="26" formatCode="0.0">
                  <c:v>97.239900027586913</c:v>
                </c:pt>
                <c:pt idx="27" formatCode="0.0">
                  <c:v>79.994859496749626</c:v>
                </c:pt>
                <c:pt idx="28" formatCode="0.0">
                  <c:v>80.890526205273758</c:v>
                </c:pt>
                <c:pt idx="29" formatCode="0.0">
                  <c:v>76.033163425643508</c:v>
                </c:pt>
                <c:pt idx="30" formatCode="0.0">
                  <c:v>89.948701707763121</c:v>
                </c:pt>
                <c:pt idx="31" formatCode="0.0">
                  <c:v>97.615338393621997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5-2D8C-45EE-B332-341AC82C0A6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1665024"/>
        <c:axId val="100811328"/>
      </c:lineChart>
      <c:catAx>
        <c:axId val="121665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1328"/>
        <c:crossesAt val="30"/>
        <c:auto val="0"/>
        <c:lblAlgn val="ctr"/>
        <c:lblOffset val="100"/>
        <c:noMultiLvlLbl val="0"/>
      </c:catAx>
      <c:valAx>
        <c:axId val="100811328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1665024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7.9311033036221973E-2"/>
          <c:y val="0.92998049555732143"/>
          <c:w val="0.90022613392334228"/>
          <c:h val="6.78598947061441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644224392622983"/>
          <c:y val="2.5787355527927429E-2"/>
          <c:w val="0.78731546487723514"/>
          <c:h val="0.7447331583552055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3'!$B$23</c:f>
              <c:strCache>
                <c:ptCount val="1"/>
                <c:pt idx="0">
                  <c:v>Ianuarie-august 2023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3'!$B$24:$B$29</c:f>
              <c:numCache>
                <c:formatCode>0.0</c:formatCode>
                <c:ptCount val="6"/>
                <c:pt idx="0">
                  <c:v>13.2</c:v>
                </c:pt>
                <c:pt idx="1">
                  <c:v>3.1</c:v>
                </c:pt>
                <c:pt idx="2">
                  <c:v>81.599999999999994</c:v>
                </c:pt>
                <c:pt idx="3">
                  <c:v>1.1000000000000001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2-423F-8D54-2DEAA91EB392}"/>
            </c:ext>
          </c:extLst>
        </c:ser>
        <c:ser>
          <c:idx val="1"/>
          <c:order val="1"/>
          <c:tx>
            <c:strRef>
              <c:f>'Figura 3'!$C$23</c:f>
              <c:strCache>
                <c:ptCount val="1"/>
                <c:pt idx="0">
                  <c:v>Ianuarie-august 2022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3'!$C$24:$C$29</c:f>
              <c:numCache>
                <c:formatCode>0.0</c:formatCode>
                <c:ptCount val="6"/>
                <c:pt idx="0">
                  <c:v>15.4</c:v>
                </c:pt>
                <c:pt idx="1">
                  <c:v>9</c:v>
                </c:pt>
                <c:pt idx="2">
                  <c:v>74.5</c:v>
                </c:pt>
                <c:pt idx="3">
                  <c:v>0.8</c:v>
                </c:pt>
                <c:pt idx="4">
                  <c:v>0</c:v>
                </c:pt>
                <c:pt idx="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D-49BF-AD38-66FEB4074930}"/>
            </c:ext>
          </c:extLst>
        </c:ser>
        <c:ser>
          <c:idx val="2"/>
          <c:order val="2"/>
          <c:tx>
            <c:strRef>
              <c:f>'Figura 3'!$D$23</c:f>
              <c:strCache>
                <c:ptCount val="1"/>
                <c:pt idx="0">
                  <c:v>Ianuarie-august 2021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3'!$D$24:$D$29</c:f>
              <c:numCache>
                <c:formatCode>0.0</c:formatCode>
                <c:ptCount val="6"/>
                <c:pt idx="0">
                  <c:v>6.6</c:v>
                </c:pt>
                <c:pt idx="1">
                  <c:v>2.6</c:v>
                </c:pt>
                <c:pt idx="2">
                  <c:v>89.6</c:v>
                </c:pt>
                <c:pt idx="3">
                  <c:v>1.1000000000000001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7D-49BF-AD38-66FEB4074930}"/>
            </c:ext>
          </c:extLst>
        </c:ser>
        <c:ser>
          <c:idx val="3"/>
          <c:order val="3"/>
          <c:tx>
            <c:strRef>
              <c:f>'Figura 3'!$E$23</c:f>
              <c:strCache>
                <c:ptCount val="1"/>
                <c:pt idx="0">
                  <c:v>Ianuarie-august 2020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3'!$E$24:$E$29</c:f>
              <c:numCache>
                <c:formatCode>0.0</c:formatCode>
                <c:ptCount val="6"/>
                <c:pt idx="0">
                  <c:v>8</c:v>
                </c:pt>
                <c:pt idx="1">
                  <c:v>3.4</c:v>
                </c:pt>
                <c:pt idx="2">
                  <c:v>87.4</c:v>
                </c:pt>
                <c:pt idx="3">
                  <c:v>1.1000000000000001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7D-49BF-AD38-66FEB4074930}"/>
            </c:ext>
          </c:extLst>
        </c:ser>
        <c:ser>
          <c:idx val="4"/>
          <c:order val="4"/>
          <c:tx>
            <c:strRef>
              <c:f>'Figura 3'!$F$23</c:f>
              <c:strCache>
                <c:ptCount val="1"/>
                <c:pt idx="0">
                  <c:v>Ianuarie-august 2019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3'!$F$24:$F$29</c:f>
              <c:numCache>
                <c:formatCode>0.0</c:formatCode>
                <c:ptCount val="6"/>
                <c:pt idx="0">
                  <c:v>6.8</c:v>
                </c:pt>
                <c:pt idx="1">
                  <c:v>4.5</c:v>
                </c:pt>
                <c:pt idx="2">
                  <c:v>87</c:v>
                </c:pt>
                <c:pt idx="3">
                  <c:v>1.6</c:v>
                </c:pt>
                <c:pt idx="4">
                  <c:v>0.1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7D-49BF-AD38-66FEB4074930}"/>
            </c:ext>
          </c:extLst>
        </c:ser>
        <c:ser>
          <c:idx val="5"/>
          <c:order val="5"/>
          <c:tx>
            <c:strRef>
              <c:f>'Figura 3'!$G$23</c:f>
              <c:strCache>
                <c:ptCount val="1"/>
                <c:pt idx="0">
                  <c:v>Ianuarie-august 2018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3'!$A$24:$A$29</c:f>
              <c:strCache>
                <c:ptCount val="6"/>
                <c:pt idx="0">
                  <c:v>Transport maritim</c:v>
                </c:pt>
                <c:pt idx="1">
                  <c:v>Transport feroviar</c:v>
                </c:pt>
                <c:pt idx="2">
                  <c:v>Transport rutier</c:v>
                </c:pt>
                <c:pt idx="3">
                  <c:v>Transport aerian</c:v>
                </c:pt>
                <c:pt idx="4">
                  <c:v>Expedieri poştale</c:v>
                </c:pt>
                <c:pt idx="5">
                  <c:v>Instalaţii fixe de transport</c:v>
                </c:pt>
              </c:strCache>
            </c:strRef>
          </c:cat>
          <c:val>
            <c:numRef>
              <c:f>'Figura 3'!$G$24:$G$29</c:f>
              <c:numCache>
                <c:formatCode>0.0</c:formatCode>
                <c:ptCount val="6"/>
                <c:pt idx="0">
                  <c:v>7</c:v>
                </c:pt>
                <c:pt idx="1">
                  <c:v>3.7</c:v>
                </c:pt>
                <c:pt idx="2">
                  <c:v>87.2</c:v>
                </c:pt>
                <c:pt idx="3">
                  <c:v>2.1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7D-49BF-AD38-66FEB4074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25920768"/>
        <c:axId val="100813632"/>
      </c:barChart>
      <c:catAx>
        <c:axId val="1259207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3632"/>
        <c:crossesAt val="0"/>
        <c:auto val="1"/>
        <c:lblAlgn val="ctr"/>
        <c:lblOffset val="100"/>
        <c:noMultiLvlLbl val="0"/>
      </c:catAx>
      <c:valAx>
        <c:axId val="100813632"/>
        <c:scaling>
          <c:orientation val="minMax"/>
        </c:scaling>
        <c:delete val="0"/>
        <c:axPos val="b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5920768"/>
        <c:crosses val="autoZero"/>
        <c:crossBetween val="between"/>
        <c:minorUnit val="1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9496830203916818"/>
          <c:y val="0.9043039262949274"/>
          <c:w val="0.74691203984117371"/>
          <c:h val="8.2090719415122651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5526953361599E-2"/>
          <c:y val="7.9067734558931208E-2"/>
          <c:w val="0.91248006258833025"/>
          <c:h val="0.66697171437261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'Figura 4'!$A$22</c:f>
              <c:strCache>
                <c:ptCount val="1"/>
                <c:pt idx="0">
                  <c:v>Ţările Uniunii Europene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Ianuarie-august 2018</c:v>
                </c:pt>
                <c:pt idx="1">
                  <c:v>Ianuarie-august 2019</c:v>
                </c:pt>
                <c:pt idx="2">
                  <c:v>Ianuarie-august 2020</c:v>
                </c:pt>
                <c:pt idx="3">
                  <c:v>Ianuarie-august 2021</c:v>
                </c:pt>
                <c:pt idx="4">
                  <c:v>Ianuarie-august 2022</c:v>
                </c:pt>
                <c:pt idx="5">
                  <c:v>Ianuarie-august 2023</c:v>
                </c:pt>
              </c:strCache>
            </c:strRef>
          </c:cat>
          <c:val>
            <c:numRef>
              <c:f>'Figura 4'!$B$22:$G$22</c:f>
              <c:numCache>
                <c:formatCode>0.0</c:formatCode>
                <c:ptCount val="6"/>
                <c:pt idx="0">
                  <c:v>66</c:v>
                </c:pt>
                <c:pt idx="1">
                  <c:v>63.7</c:v>
                </c:pt>
                <c:pt idx="2">
                  <c:v>65</c:v>
                </c:pt>
                <c:pt idx="3">
                  <c:v>62.6</c:v>
                </c:pt>
                <c:pt idx="4">
                  <c:v>59.5</c:v>
                </c:pt>
                <c:pt idx="5">
                  <c:v>63.1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29-4207-A2A3-2E8D24AB4E7A}"/>
            </c:ext>
          </c:extLst>
        </c:ser>
        <c:ser>
          <c:idx val="1"/>
          <c:order val="1"/>
          <c:tx>
            <c:strRef>
              <c:f>'Figura 4'!$A$23</c:f>
              <c:strCache>
                <c:ptCount val="1"/>
                <c:pt idx="0">
                  <c:v>Ţările CSI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Ianuarie-august 2018</c:v>
                </c:pt>
                <c:pt idx="1">
                  <c:v>Ianuarie-august 2019</c:v>
                </c:pt>
                <c:pt idx="2">
                  <c:v>Ianuarie-august 2020</c:v>
                </c:pt>
                <c:pt idx="3">
                  <c:v>Ianuarie-august 2021</c:v>
                </c:pt>
                <c:pt idx="4">
                  <c:v>Ianuarie-august 2022</c:v>
                </c:pt>
                <c:pt idx="5">
                  <c:v>Ianuarie-august 2023</c:v>
                </c:pt>
              </c:strCache>
            </c:strRef>
          </c:cat>
          <c:val>
            <c:numRef>
              <c:f>'Figura 4'!$B$23:$G$23</c:f>
              <c:numCache>
                <c:formatCode>0.0</c:formatCode>
                <c:ptCount val="6"/>
                <c:pt idx="0">
                  <c:v>15.8</c:v>
                </c:pt>
                <c:pt idx="1">
                  <c:v>14.6</c:v>
                </c:pt>
                <c:pt idx="2">
                  <c:v>16.2</c:v>
                </c:pt>
                <c:pt idx="3">
                  <c:v>15.6</c:v>
                </c:pt>
                <c:pt idx="4">
                  <c:v>21</c:v>
                </c:pt>
                <c:pt idx="5">
                  <c:v>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29-4207-A2A3-2E8D24AB4E7A}"/>
            </c:ext>
          </c:extLst>
        </c:ser>
        <c:ser>
          <c:idx val="2"/>
          <c:order val="2"/>
          <c:tx>
            <c:strRef>
              <c:f>'Figura 4'!$A$24</c:f>
              <c:strCache>
                <c:ptCount val="1"/>
                <c:pt idx="0">
                  <c:v>Celelalte ţări ale lumii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4'!$B$21:$G$21</c:f>
              <c:strCache>
                <c:ptCount val="6"/>
                <c:pt idx="0">
                  <c:v>Ianuarie-august 2018</c:v>
                </c:pt>
                <c:pt idx="1">
                  <c:v>Ianuarie-august 2019</c:v>
                </c:pt>
                <c:pt idx="2">
                  <c:v>Ianuarie-august 2020</c:v>
                </c:pt>
                <c:pt idx="3">
                  <c:v>Ianuarie-august 2021</c:v>
                </c:pt>
                <c:pt idx="4">
                  <c:v>Ianuarie-august 2022</c:v>
                </c:pt>
                <c:pt idx="5">
                  <c:v>Ianuarie-august 2023</c:v>
                </c:pt>
              </c:strCache>
            </c:strRef>
          </c:cat>
          <c:val>
            <c:numRef>
              <c:f>'Figura 4'!$B$24:$G$24</c:f>
              <c:numCache>
                <c:formatCode>0.0</c:formatCode>
                <c:ptCount val="6"/>
                <c:pt idx="0">
                  <c:v>18.2</c:v>
                </c:pt>
                <c:pt idx="1">
                  <c:v>21.7</c:v>
                </c:pt>
                <c:pt idx="2">
                  <c:v>18.8</c:v>
                </c:pt>
                <c:pt idx="3">
                  <c:v>21.8</c:v>
                </c:pt>
                <c:pt idx="4">
                  <c:v>19.5</c:v>
                </c:pt>
                <c:pt idx="5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29-4207-A2A3-2E8D24AB4E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6141952"/>
        <c:axId val="100815936"/>
      </c:barChart>
      <c:catAx>
        <c:axId val="12614195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5936"/>
        <c:crosses val="autoZero"/>
        <c:auto val="1"/>
        <c:lblAlgn val="ctr"/>
        <c:lblOffset val="100"/>
        <c:noMultiLvlLbl val="0"/>
      </c:catAx>
      <c:valAx>
        <c:axId val="100815936"/>
        <c:scaling>
          <c:orientation val="minMax"/>
          <c:max val="100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141952"/>
        <c:crosses val="autoZero"/>
        <c:crossBetween val="between"/>
        <c:majorUnit val="10"/>
      </c:valAx>
      <c:spPr>
        <a:noFill/>
        <a:ln w="3175"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"/>
          <c:y val="0.86790182943549965"/>
          <c:w val="1"/>
          <c:h val="9.22971755396247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141699880107581E-2"/>
          <c:y val="2.2640470912009786E-2"/>
          <c:w val="0.94076377536801559"/>
          <c:h val="0.614385981164119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5'!$B$25</c:f>
              <c:strCache>
                <c:ptCount val="1"/>
                <c:pt idx="0">
                  <c:v>Ianuarie-august 2018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Spania</c:v>
                </c:pt>
                <c:pt idx="11">
                  <c:v>S.U.A.</c:v>
                </c:pt>
                <c:pt idx="12">
                  <c:v>Ungaria</c:v>
                </c:pt>
                <c:pt idx="13">
                  <c:v>Kazahstan</c:v>
                </c:pt>
                <c:pt idx="14">
                  <c:v>Netherlands</c:v>
                </c:pt>
                <c:pt idx="15">
                  <c:v>Franta</c:v>
                </c:pt>
                <c:pt idx="16">
                  <c:v>Regatul Unit </c:v>
                </c:pt>
                <c:pt idx="17">
                  <c:v>Liban</c:v>
                </c:pt>
                <c:pt idx="18">
                  <c:v>Cipru</c:v>
                </c:pt>
                <c:pt idx="19">
                  <c:v>Grecia</c:v>
                </c:pt>
                <c:pt idx="20">
                  <c:v>Elvetia</c:v>
                </c:pt>
              </c:strCache>
            </c:strRef>
          </c:cat>
          <c:val>
            <c:numRef>
              <c:f>'Figura 5'!$B$26:$B$46</c:f>
              <c:numCache>
                <c:formatCode>#,##0.0</c:formatCode>
                <c:ptCount val="21"/>
                <c:pt idx="0">
                  <c:v>27.86751679885532</c:v>
                </c:pt>
                <c:pt idx="1">
                  <c:v>3.0052977083711201</c:v>
                </c:pt>
                <c:pt idx="2">
                  <c:v>11.759719947957702</c:v>
                </c:pt>
                <c:pt idx="3">
                  <c:v>8.4079204280656583</c:v>
                </c:pt>
                <c:pt idx="4">
                  <c:v>1.5134651442312048</c:v>
                </c:pt>
                <c:pt idx="5">
                  <c:v>8.2235646720340636</c:v>
                </c:pt>
                <c:pt idx="6">
                  <c:v>3.276570881880426</c:v>
                </c:pt>
                <c:pt idx="7">
                  <c:v>3.4720014051256971</c:v>
                </c:pt>
                <c:pt idx="8">
                  <c:v>3.5596794335825925</c:v>
                </c:pt>
                <c:pt idx="9">
                  <c:v>1.9560334754973541</c:v>
                </c:pt>
                <c:pt idx="10">
                  <c:v>1.0889567568315099</c:v>
                </c:pt>
                <c:pt idx="11">
                  <c:v>0.81157905140201136</c:v>
                </c:pt>
                <c:pt idx="12">
                  <c:v>0.29247522788147945</c:v>
                </c:pt>
                <c:pt idx="13">
                  <c:v>0.62932926918871601</c:v>
                </c:pt>
                <c:pt idx="14">
                  <c:v>1.4308004132845447</c:v>
                </c:pt>
                <c:pt idx="15">
                  <c:v>2.0971805113568132</c:v>
                </c:pt>
                <c:pt idx="16">
                  <c:v>3.3117873116933851</c:v>
                </c:pt>
                <c:pt idx="17">
                  <c:v>0.65000872442480317</c:v>
                </c:pt>
                <c:pt idx="18">
                  <c:v>0.3357436536131172</c:v>
                </c:pt>
                <c:pt idx="19">
                  <c:v>1.3813570169062859</c:v>
                </c:pt>
                <c:pt idx="20">
                  <c:v>1.9815839462965452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D-42D8-B371-6A71C526E757}"/>
            </c:ext>
          </c:extLst>
        </c:ser>
        <c:ser>
          <c:idx val="1"/>
          <c:order val="1"/>
          <c:tx>
            <c:strRef>
              <c:f>'Figura 5'!$C$25</c:f>
              <c:strCache>
                <c:ptCount val="1"/>
                <c:pt idx="0">
                  <c:v>Ianuarie-august 2019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Spania</c:v>
                </c:pt>
                <c:pt idx="11">
                  <c:v>S.U.A.</c:v>
                </c:pt>
                <c:pt idx="12">
                  <c:v>Ungaria</c:v>
                </c:pt>
                <c:pt idx="13">
                  <c:v>Kazahstan</c:v>
                </c:pt>
                <c:pt idx="14">
                  <c:v>Netherlands</c:v>
                </c:pt>
                <c:pt idx="15">
                  <c:v>Franta</c:v>
                </c:pt>
                <c:pt idx="16">
                  <c:v>Regatul Unit </c:v>
                </c:pt>
                <c:pt idx="17">
                  <c:v>Liban</c:v>
                </c:pt>
                <c:pt idx="18">
                  <c:v>Cipru</c:v>
                </c:pt>
                <c:pt idx="19">
                  <c:v>Grecia</c:v>
                </c:pt>
                <c:pt idx="20">
                  <c:v>Elvetia</c:v>
                </c:pt>
              </c:strCache>
            </c:strRef>
          </c:cat>
          <c:val>
            <c:numRef>
              <c:f>'Figura 5'!$C$26:$C$46</c:f>
              <c:numCache>
                <c:formatCode>#,##0.0</c:formatCode>
                <c:ptCount val="21"/>
                <c:pt idx="0">
                  <c:v>28.413411370910513</c:v>
                </c:pt>
                <c:pt idx="1">
                  <c:v>2.6024090180301287</c:v>
                </c:pt>
                <c:pt idx="2">
                  <c:v>10.353191193035215</c:v>
                </c:pt>
                <c:pt idx="3">
                  <c:v>9.0030629269168418</c:v>
                </c:pt>
                <c:pt idx="4">
                  <c:v>1.977767024932569</c:v>
                </c:pt>
                <c:pt idx="5">
                  <c:v>8.2697787172935069</c:v>
                </c:pt>
                <c:pt idx="6">
                  <c:v>7.4324231057078292</c:v>
                </c:pt>
                <c:pt idx="7">
                  <c:v>3.8699761281894505</c:v>
                </c:pt>
                <c:pt idx="8">
                  <c:v>3.0072353292119218</c:v>
                </c:pt>
                <c:pt idx="9">
                  <c:v>1.5023568779537388</c:v>
                </c:pt>
                <c:pt idx="10">
                  <c:v>1.1954625832173231</c:v>
                </c:pt>
                <c:pt idx="11">
                  <c:v>0.81305597029903331</c:v>
                </c:pt>
                <c:pt idx="12">
                  <c:v>0.30981261355247469</c:v>
                </c:pt>
                <c:pt idx="13">
                  <c:v>0.31616078905484069</c:v>
                </c:pt>
                <c:pt idx="14">
                  <c:v>1.3328580337133424</c:v>
                </c:pt>
                <c:pt idx="15">
                  <c:v>1.2872760127943785</c:v>
                </c:pt>
                <c:pt idx="16">
                  <c:v>1.9925874981506206</c:v>
                </c:pt>
                <c:pt idx="17">
                  <c:v>0.53268626251364237</c:v>
                </c:pt>
                <c:pt idx="18">
                  <c:v>0.46291672030525738</c:v>
                </c:pt>
                <c:pt idx="19">
                  <c:v>1.0324479754998839</c:v>
                </c:pt>
                <c:pt idx="20">
                  <c:v>2.9784968978633417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D-42D8-B371-6A71C526E757}"/>
            </c:ext>
          </c:extLst>
        </c:ser>
        <c:ser>
          <c:idx val="2"/>
          <c:order val="2"/>
          <c:tx>
            <c:strRef>
              <c:f>'Figura 5'!$D$25</c:f>
              <c:strCache>
                <c:ptCount val="1"/>
                <c:pt idx="0">
                  <c:v>Ianuarie-august 2020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Spania</c:v>
                </c:pt>
                <c:pt idx="11">
                  <c:v>S.U.A.</c:v>
                </c:pt>
                <c:pt idx="12">
                  <c:v>Ungaria</c:v>
                </c:pt>
                <c:pt idx="13">
                  <c:v>Kazahstan</c:v>
                </c:pt>
                <c:pt idx="14">
                  <c:v>Netherlands</c:v>
                </c:pt>
                <c:pt idx="15">
                  <c:v>Franta</c:v>
                </c:pt>
                <c:pt idx="16">
                  <c:v>Regatul Unit </c:v>
                </c:pt>
                <c:pt idx="17">
                  <c:v>Liban</c:v>
                </c:pt>
                <c:pt idx="18">
                  <c:v>Cipru</c:v>
                </c:pt>
                <c:pt idx="19">
                  <c:v>Grecia</c:v>
                </c:pt>
                <c:pt idx="20">
                  <c:v>Elvetia</c:v>
                </c:pt>
              </c:strCache>
            </c:strRef>
          </c:cat>
          <c:val>
            <c:numRef>
              <c:f>'Figura 5'!$D$26:$D$46</c:f>
              <c:numCache>
                <c:formatCode>#,##0.0</c:formatCode>
                <c:ptCount val="21"/>
                <c:pt idx="0">
                  <c:v>27.14815730362411</c:v>
                </c:pt>
                <c:pt idx="1">
                  <c:v>2.5479801945815446</c:v>
                </c:pt>
                <c:pt idx="2">
                  <c:v>9.0871592981974612</c:v>
                </c:pt>
                <c:pt idx="3">
                  <c:v>9.0523503464340926</c:v>
                </c:pt>
                <c:pt idx="4">
                  <c:v>3.3544512815001593</c:v>
                </c:pt>
                <c:pt idx="5">
                  <c:v>9.874297278061448</c:v>
                </c:pt>
                <c:pt idx="6">
                  <c:v>6.7572175865980526</c:v>
                </c:pt>
                <c:pt idx="7">
                  <c:v>4.1416263006970402</c:v>
                </c:pt>
                <c:pt idx="8">
                  <c:v>2.785324331465759</c:v>
                </c:pt>
                <c:pt idx="9">
                  <c:v>1.5249897946273774</c:v>
                </c:pt>
                <c:pt idx="10">
                  <c:v>1.5134104093239389</c:v>
                </c:pt>
                <c:pt idx="11">
                  <c:v>1.104716152791875</c:v>
                </c:pt>
                <c:pt idx="12">
                  <c:v>0.85229143903001636</c:v>
                </c:pt>
                <c:pt idx="13">
                  <c:v>0.64011375106652335</c:v>
                </c:pt>
                <c:pt idx="14">
                  <c:v>1.4947281777545245</c:v>
                </c:pt>
                <c:pt idx="15">
                  <c:v>1.4100410649169874</c:v>
                </c:pt>
                <c:pt idx="16">
                  <c:v>1.7227631035058932</c:v>
                </c:pt>
                <c:pt idx="17">
                  <c:v>0.62387749494441558</c:v>
                </c:pt>
                <c:pt idx="18">
                  <c:v>0.65531014888188188</c:v>
                </c:pt>
                <c:pt idx="19">
                  <c:v>1.5132599952634991</c:v>
                </c:pt>
                <c:pt idx="20">
                  <c:v>2.801711677617936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D-42D8-B371-6A71C526E757}"/>
            </c:ext>
          </c:extLst>
        </c:ser>
        <c:ser>
          <c:idx val="3"/>
          <c:order val="3"/>
          <c:tx>
            <c:strRef>
              <c:f>'Figura 5'!$E$25</c:f>
              <c:strCache>
                <c:ptCount val="1"/>
                <c:pt idx="0">
                  <c:v>Ianuarie-august 2021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Spania</c:v>
                </c:pt>
                <c:pt idx="11">
                  <c:v>S.U.A.</c:v>
                </c:pt>
                <c:pt idx="12">
                  <c:v>Ungaria</c:v>
                </c:pt>
                <c:pt idx="13">
                  <c:v>Kazahstan</c:v>
                </c:pt>
                <c:pt idx="14">
                  <c:v>Netherlands</c:v>
                </c:pt>
                <c:pt idx="15">
                  <c:v>Franta</c:v>
                </c:pt>
                <c:pt idx="16">
                  <c:v>Regatul Unit </c:v>
                </c:pt>
                <c:pt idx="17">
                  <c:v>Liban</c:v>
                </c:pt>
                <c:pt idx="18">
                  <c:v>Cipru</c:v>
                </c:pt>
                <c:pt idx="19">
                  <c:v>Grecia</c:v>
                </c:pt>
                <c:pt idx="20">
                  <c:v>Elvetia</c:v>
                </c:pt>
              </c:strCache>
            </c:strRef>
          </c:cat>
          <c:val>
            <c:numRef>
              <c:f>'Figura 5'!$E$26:$E$46</c:f>
              <c:numCache>
                <c:formatCode>#,##0.0</c:formatCode>
                <c:ptCount val="21"/>
                <c:pt idx="0">
                  <c:v>27.390381573570654</c:v>
                </c:pt>
                <c:pt idx="1">
                  <c:v>3.094071787450182</c:v>
                </c:pt>
                <c:pt idx="2">
                  <c:v>7.6684716924506038</c:v>
                </c:pt>
                <c:pt idx="3">
                  <c:v>9.3373750249883045</c:v>
                </c:pt>
                <c:pt idx="4">
                  <c:v>3.0040787789592232</c:v>
                </c:pt>
                <c:pt idx="5">
                  <c:v>9.3403678059830124</c:v>
                </c:pt>
                <c:pt idx="6">
                  <c:v>8.9632930106175657</c:v>
                </c:pt>
                <c:pt idx="7">
                  <c:v>3.666310545070405</c:v>
                </c:pt>
                <c:pt idx="8">
                  <c:v>2.2571319229530715</c:v>
                </c:pt>
                <c:pt idx="9">
                  <c:v>1.5569837375744644</c:v>
                </c:pt>
                <c:pt idx="10">
                  <c:v>1.1090622229769611</c:v>
                </c:pt>
                <c:pt idx="11">
                  <c:v>0.87392271911194874</c:v>
                </c:pt>
                <c:pt idx="12">
                  <c:v>1.4005504918093585</c:v>
                </c:pt>
                <c:pt idx="13">
                  <c:v>0.4373913624405007</c:v>
                </c:pt>
                <c:pt idx="14">
                  <c:v>1.2863332800070399</c:v>
                </c:pt>
                <c:pt idx="15">
                  <c:v>1.1961853202888719</c:v>
                </c:pt>
                <c:pt idx="16">
                  <c:v>2.168682030357632</c:v>
                </c:pt>
                <c:pt idx="17">
                  <c:v>0.808891744927699</c:v>
                </c:pt>
                <c:pt idx="18">
                  <c:v>0.24030762241998455</c:v>
                </c:pt>
                <c:pt idx="19">
                  <c:v>1.0200858430111701</c:v>
                </c:pt>
                <c:pt idx="20">
                  <c:v>2.4437259310728008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DD-42D8-B371-6A71C526E757}"/>
            </c:ext>
          </c:extLst>
        </c:ser>
        <c:ser>
          <c:idx val="4"/>
          <c:order val="4"/>
          <c:tx>
            <c:strRef>
              <c:f>'Figura 5'!$F$25</c:f>
              <c:strCache>
                <c:ptCount val="1"/>
                <c:pt idx="0">
                  <c:v>Ianuarie-august 2022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Spania</c:v>
                </c:pt>
                <c:pt idx="11">
                  <c:v>S.U.A.</c:v>
                </c:pt>
                <c:pt idx="12">
                  <c:v>Ungaria</c:v>
                </c:pt>
                <c:pt idx="13">
                  <c:v>Kazahstan</c:v>
                </c:pt>
                <c:pt idx="14">
                  <c:v>Netherlands</c:v>
                </c:pt>
                <c:pt idx="15">
                  <c:v>Franta</c:v>
                </c:pt>
                <c:pt idx="16">
                  <c:v>Regatul Unit </c:v>
                </c:pt>
                <c:pt idx="17">
                  <c:v>Liban</c:v>
                </c:pt>
                <c:pt idx="18">
                  <c:v>Cipru</c:v>
                </c:pt>
                <c:pt idx="19">
                  <c:v>Grecia</c:v>
                </c:pt>
                <c:pt idx="20">
                  <c:v>Elvetia</c:v>
                </c:pt>
              </c:strCache>
            </c:strRef>
          </c:cat>
          <c:val>
            <c:numRef>
              <c:f>'Figura 5'!$F$26:$F$46</c:f>
              <c:numCache>
                <c:formatCode>#,##0.0</c:formatCode>
                <c:ptCount val="21"/>
                <c:pt idx="0">
                  <c:v>28.271236778887314</c:v>
                </c:pt>
                <c:pt idx="1">
                  <c:v>13.869231520180286</c:v>
                </c:pt>
                <c:pt idx="2">
                  <c:v>8.1949022962871716</c:v>
                </c:pt>
                <c:pt idx="3">
                  <c:v>5.4542113988624124</c:v>
                </c:pt>
                <c:pt idx="4">
                  <c:v>2.2225748240270109</c:v>
                </c:pt>
                <c:pt idx="5">
                  <c:v>4.9559181839375217</c:v>
                </c:pt>
                <c:pt idx="6">
                  <c:v>8.6594788640510352</c:v>
                </c:pt>
                <c:pt idx="7">
                  <c:v>2.7646927573497555</c:v>
                </c:pt>
                <c:pt idx="8">
                  <c:v>1.5114330351096168</c:v>
                </c:pt>
                <c:pt idx="9">
                  <c:v>4.1943883749261195</c:v>
                </c:pt>
                <c:pt idx="10">
                  <c:v>0.83547944774336258</c:v>
                </c:pt>
                <c:pt idx="11">
                  <c:v>0.86732280171465614</c:v>
                </c:pt>
                <c:pt idx="12">
                  <c:v>1.2306551531696968</c:v>
                </c:pt>
                <c:pt idx="13">
                  <c:v>0.32517824006755475</c:v>
                </c:pt>
                <c:pt idx="14">
                  <c:v>1.7224108201117354</c:v>
                </c:pt>
                <c:pt idx="15">
                  <c:v>0.9499329648260616</c:v>
                </c:pt>
                <c:pt idx="16">
                  <c:v>1.6075143804575607</c:v>
                </c:pt>
                <c:pt idx="17">
                  <c:v>0.52962997342331908</c:v>
                </c:pt>
                <c:pt idx="18">
                  <c:v>0.40425665108156833</c:v>
                </c:pt>
                <c:pt idx="19">
                  <c:v>0.78237781741816204</c:v>
                </c:pt>
                <c:pt idx="20">
                  <c:v>1.9575057183637481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DD-42D8-B371-6A71C526E757}"/>
            </c:ext>
          </c:extLst>
        </c:ser>
        <c:ser>
          <c:idx val="5"/>
          <c:order val="5"/>
          <c:tx>
            <c:strRef>
              <c:f>'Figura 5'!$G$25</c:f>
              <c:strCache>
                <c:ptCount val="1"/>
                <c:pt idx="0">
                  <c:v>Ianuarie-august 2023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'Figura 5'!$A$26:$A$46</c:f>
              <c:strCache>
                <c:ptCount val="21"/>
                <c:pt idx="0">
                  <c:v>România</c:v>
                </c:pt>
                <c:pt idx="1">
                  <c:v>Ucraina</c:v>
                </c:pt>
                <c:pt idx="2">
                  <c:v>Italia</c:v>
                </c:pt>
                <c:pt idx="3">
                  <c:v>Germania</c:v>
                </c:pt>
                <c:pt idx="4">
                  <c:v>Cehia</c:v>
                </c:pt>
                <c:pt idx="5">
                  <c:v>Federația Rusă</c:v>
                </c:pt>
                <c:pt idx="6">
                  <c:v>Turcia</c:v>
                </c:pt>
                <c:pt idx="7">
                  <c:v>Polonia</c:v>
                </c:pt>
                <c:pt idx="8">
                  <c:v>Belarus</c:v>
                </c:pt>
                <c:pt idx="9">
                  <c:v>Bulgaria</c:v>
                </c:pt>
                <c:pt idx="10">
                  <c:v>Spania</c:v>
                </c:pt>
                <c:pt idx="11">
                  <c:v>S.U.A.</c:v>
                </c:pt>
                <c:pt idx="12">
                  <c:v>Ungaria</c:v>
                </c:pt>
                <c:pt idx="13">
                  <c:v>Kazahstan</c:v>
                </c:pt>
                <c:pt idx="14">
                  <c:v>Netherlands</c:v>
                </c:pt>
                <c:pt idx="15">
                  <c:v>Franta</c:v>
                </c:pt>
                <c:pt idx="16">
                  <c:v>Regatul Unit </c:v>
                </c:pt>
                <c:pt idx="17">
                  <c:v>Liban</c:v>
                </c:pt>
                <c:pt idx="18">
                  <c:v>Cipru</c:v>
                </c:pt>
                <c:pt idx="19">
                  <c:v>Grecia</c:v>
                </c:pt>
                <c:pt idx="20">
                  <c:v>Elvetia</c:v>
                </c:pt>
              </c:strCache>
            </c:strRef>
          </c:cat>
          <c:val>
            <c:numRef>
              <c:f>'Figura 5'!$G$26:$G$46</c:f>
              <c:numCache>
                <c:formatCode>#,##0.0</c:formatCode>
                <c:ptCount val="21"/>
                <c:pt idx="0">
                  <c:v>33.312518279401424</c:v>
                </c:pt>
                <c:pt idx="1">
                  <c:v>16.571668714890674</c:v>
                </c:pt>
                <c:pt idx="2">
                  <c:v>6.7990957765278361</c:v>
                </c:pt>
                <c:pt idx="3">
                  <c:v>5.4439558029623925</c:v>
                </c:pt>
                <c:pt idx="4">
                  <c:v>3.8467174400688773</c:v>
                </c:pt>
                <c:pt idx="5">
                  <c:v>3.7531510163513415</c:v>
                </c:pt>
                <c:pt idx="6">
                  <c:v>3.5735348890350753</c:v>
                </c:pt>
                <c:pt idx="7">
                  <c:v>2.9174073867315942</c:v>
                </c:pt>
                <c:pt idx="8">
                  <c:v>2.2294981012534154</c:v>
                </c:pt>
                <c:pt idx="9">
                  <c:v>1.6448435315892111</c:v>
                </c:pt>
                <c:pt idx="10">
                  <c:v>1.571277424946645</c:v>
                </c:pt>
                <c:pt idx="11">
                  <c:v>1.264143009395865</c:v>
                </c:pt>
                <c:pt idx="12">
                  <c:v>1.2190292568478442</c:v>
                </c:pt>
                <c:pt idx="13">
                  <c:v>1.1197367656242849</c:v>
                </c:pt>
                <c:pt idx="14">
                  <c:v>1.1003546975274898</c:v>
                </c:pt>
                <c:pt idx="15">
                  <c:v>1.0806863611005042</c:v>
                </c:pt>
                <c:pt idx="16">
                  <c:v>1.0170361564905483</c:v>
                </c:pt>
                <c:pt idx="17">
                  <c:v>0.99276492474552525</c:v>
                </c:pt>
                <c:pt idx="18">
                  <c:v>0.87284490903894785</c:v>
                </c:pt>
                <c:pt idx="19">
                  <c:v>0.86529224238162328</c:v>
                </c:pt>
                <c:pt idx="20">
                  <c:v>0.76181052532944504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DD-42D8-B371-6A71C526E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6137856"/>
        <c:axId val="100818240"/>
      </c:barChart>
      <c:catAx>
        <c:axId val="86137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00818240"/>
        <c:crosses val="autoZero"/>
        <c:auto val="1"/>
        <c:lblAlgn val="ctr"/>
        <c:lblOffset val="100"/>
        <c:noMultiLvlLbl val="0"/>
      </c:catAx>
      <c:valAx>
        <c:axId val="100818240"/>
        <c:scaling>
          <c:orientation val="minMax"/>
          <c:max val="35"/>
        </c:scaling>
        <c:delete val="0"/>
        <c:axPos val="l"/>
        <c:numFmt formatCode="0.0%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6137856"/>
        <c:crosses val="autoZero"/>
        <c:crossBetween val="between"/>
        <c:majorUnit val="5"/>
        <c:dispUnits>
          <c:builtInUnit val="hundreds"/>
        </c:dispUnits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23459331734477"/>
          <c:y val="0.85665627734033245"/>
          <c:w val="0.79450276262636998"/>
          <c:h val="8.1852478720533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august </a:t>
            </a: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8272511463091963"/>
          <c:y val="1.278261269972831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846317646239979"/>
          <c:y val="0.11884330248192661"/>
          <c:w val="0.55189577312208316"/>
          <c:h val="0.73247187254043444"/>
        </c:manualLayout>
      </c:layout>
      <c:pieChart>
        <c:varyColors val="1"/>
        <c:ser>
          <c:idx val="0"/>
          <c:order val="0"/>
          <c:tx>
            <c:strRef>
              <c:f>'Figura 6'!$B$45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/>
              </a:solidFill>
            </a:ln>
            <a:effectLst>
              <a:softEdge rad="0"/>
            </a:effectLst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1-4378-4F5F-8973-1809C55EF17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3-4378-4F5F-8973-1809C55EF17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5-4378-4F5F-8973-1809C55EF17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7-4378-4F5F-8973-1809C55EF17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9-4378-4F5F-8973-1809C55EF17F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B-4378-4F5F-8973-1809C55EF17F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D-4378-4F5F-8973-1809C55EF17F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0F-4378-4F5F-8973-1809C55EF17F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1-4378-4F5F-8973-1809C55EF17F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7-4C1F-4FBA-8D74-9AD92DA2B96A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>
                <a:softEdge rad="0"/>
              </a:effectLst>
            </c:spPr>
            <c:extLst>
              <c:ext xmlns:c16="http://schemas.microsoft.com/office/drawing/2014/chart" uri="{C3380CC4-5D6E-409C-BE32-E72D297353CC}">
                <c16:uniqueId val="{00000018-BE68-4648-9E21-F0C123FEF414}"/>
              </c:ext>
            </c:extLst>
          </c:dPt>
          <c:dLbls>
            <c:dLbl>
              <c:idx val="0"/>
              <c:layout>
                <c:manualLayout>
                  <c:x val="-5.5449826034272287E-2"/>
                  <c:y val="2.831461895665409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848496359266"/>
                      <c:h val="0.141794293257202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4378-4F5F-8973-1809C55EF17F}"/>
                </c:ext>
              </c:extLst>
            </c:dLbl>
            <c:dLbl>
              <c:idx val="1"/>
              <c:layout>
                <c:manualLayout>
                  <c:x val="-3.2617771343258897E-2"/>
                  <c:y val="-6.69984003478855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78-4F5F-8973-1809C55EF17F}"/>
                </c:ext>
              </c:extLst>
            </c:dLbl>
            <c:dLbl>
              <c:idx val="2"/>
              <c:layout>
                <c:manualLayout>
                  <c:x val="2.2832439940281227E-2"/>
                  <c:y val="-0.1119231545760921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378-4F5F-8973-1809C55EF17F}"/>
                </c:ext>
              </c:extLst>
            </c:dLbl>
            <c:dLbl>
              <c:idx val="3"/>
              <c:layout>
                <c:manualLayout>
                  <c:x val="7.1759096955169577E-2"/>
                  <c:y val="-9.98984298560313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78-4F5F-8973-1809C55EF17F}"/>
                </c:ext>
              </c:extLst>
            </c:dLbl>
            <c:dLbl>
              <c:idx val="4"/>
              <c:layout>
                <c:manualLayout>
                  <c:x val="0.1500417481789908"/>
                  <c:y val="-2.82995542716923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378-4F5F-8973-1809C55EF17F}"/>
                </c:ext>
              </c:extLst>
            </c:dLbl>
            <c:dLbl>
              <c:idx val="5"/>
              <c:layout>
                <c:manualLayout>
                  <c:x val="0.23158617653713809"/>
                  <c:y val="1.5379334979577112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205621916882214"/>
                      <c:h val="0.1708239056324855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378-4F5F-8973-1809C55EF17F}"/>
                </c:ext>
              </c:extLst>
            </c:dLbl>
            <c:dLbl>
              <c:idx val="6"/>
              <c:layout>
                <c:manualLayout>
                  <c:x val="0.14677997104466503"/>
                  <c:y val="9.0992560841137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378-4F5F-8973-1809C55EF17F}"/>
                </c:ext>
              </c:extLst>
            </c:dLbl>
            <c:dLbl>
              <c:idx val="7"/>
              <c:layout>
                <c:manualLayout>
                  <c:x val="8.1544428358147236E-2"/>
                  <c:y val="0.10727204957368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8"/>
              <c:layout>
                <c:manualLayout>
                  <c:x val="1.9570662805955336E-2"/>
                  <c:y val="9.85850906567712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9"/>
              <c:layout>
                <c:manualLayout>
                  <c:x val="-3.2617771343258894E-3"/>
                  <c:y val="2.71762150420852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378-4F5F-8973-1809C55EF17F}"/>
                </c:ext>
              </c:extLst>
            </c:dLbl>
            <c:dLbl>
              <c:idx val="10"/>
              <c:layout>
                <c:manualLayout>
                  <c:x val="4.0772085762651025E-2"/>
                  <c:y val="-0.10386007783509824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933528834495112"/>
                      <c:h val="0.19764382900413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1-4378-4F5F-8973-1809C55EF17F}"/>
                </c:ext>
              </c:extLst>
            </c:dLbl>
            <c:dLbl>
              <c:idx val="11"/>
              <c:layout>
                <c:manualLayout>
                  <c:x val="9.7853314029776692E-2"/>
                  <c:y val="-0.1999906477207590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C1F-4FBA-8D74-9AD92DA2B96A}"/>
                </c:ext>
              </c:extLst>
            </c:dLbl>
            <c:dLbl>
              <c:idx val="12"/>
              <c:layout>
                <c:manualLayout>
                  <c:x val="0.16308885671629442"/>
                  <c:y val="-5.06447038947717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E68-4648-9E21-F0C123FEF41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6'!$A$46:$A$58</c:f>
              <c:strCache>
                <c:ptCount val="13"/>
                <c:pt idx="0">
                  <c:v>Maşini şi aparate electrice </c:v>
                </c:pt>
                <c:pt idx="1">
                  <c:v>Petrol, produse petroliere</c:v>
                </c:pt>
                <c:pt idx="2">
                  <c:v>Cereale şi preparate pe bază de cereale</c:v>
                </c:pt>
                <c:pt idx="3">
                  <c:v>Legume şi fructe</c:v>
                </c:pt>
                <c:pt idx="4">
                  <c:v>Îmbrăcăminte şi accesorii</c:v>
                </c:pt>
                <c:pt idx="5">
                  <c:v>Grăsimi şi uleiuri vegetale </c:v>
                </c:pt>
                <c:pt idx="6">
                  <c:v>Seminţe şi fructe oleaginoase</c:v>
                </c:pt>
                <c:pt idx="7">
                  <c:v>Băuturi alcoolice şi nealcoolice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Fire, tesături, articole textile </c:v>
                </c:pt>
                <c:pt idx="11">
                  <c:v>Vehicule rutiere </c:v>
                </c:pt>
                <c:pt idx="12">
                  <c:v>Alte mărfuri</c:v>
                </c:pt>
              </c:strCache>
            </c:strRef>
          </c:cat>
          <c:val>
            <c:numRef>
              <c:f>'Figura 6'!$B$46:$B$58</c:f>
              <c:numCache>
                <c:formatCode>0.0</c:formatCode>
                <c:ptCount val="13"/>
                <c:pt idx="0">
                  <c:v>15.6</c:v>
                </c:pt>
                <c:pt idx="1">
                  <c:v>11.8</c:v>
                </c:pt>
                <c:pt idx="2">
                  <c:v>9.4</c:v>
                </c:pt>
                <c:pt idx="3">
                  <c:v>7.8</c:v>
                </c:pt>
                <c:pt idx="4">
                  <c:v>7.4</c:v>
                </c:pt>
                <c:pt idx="5">
                  <c:v>6.4</c:v>
                </c:pt>
                <c:pt idx="6">
                  <c:v>6.4</c:v>
                </c:pt>
                <c:pt idx="7">
                  <c:v>5</c:v>
                </c:pt>
                <c:pt idx="8">
                  <c:v>3.6</c:v>
                </c:pt>
                <c:pt idx="9">
                  <c:v>2.9</c:v>
                </c:pt>
                <c:pt idx="10">
                  <c:v>2.1</c:v>
                </c:pt>
                <c:pt idx="11">
                  <c:v>1.8</c:v>
                </c:pt>
                <c:pt idx="12" formatCode="#,##0.0">
                  <c:v>19.8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378-4F5F-8973-1809C55EF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Ianuarie - </a:t>
            </a:r>
            <a:r>
              <a:rPr lang="en-US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august</a:t>
            </a:r>
            <a:r>
              <a:rPr lang="ro-RO" sz="9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2022</a:t>
            </a:r>
            <a:endParaRPr lang="en-US" sz="9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206091097678061"/>
          <c:y val="9.0754307885427352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415791990763214"/>
          <c:y val="0.10784875031584466"/>
          <c:w val="0.55947082473274778"/>
          <c:h val="0.7274913612149243"/>
        </c:manualLayout>
      </c:layout>
      <c:pieChart>
        <c:varyColors val="1"/>
        <c:ser>
          <c:idx val="0"/>
          <c:order val="0"/>
          <c:tx>
            <c:strRef>
              <c:f>'Figura 6'!$B$30</c:f>
              <c:strCache>
                <c:ptCount val="1"/>
                <c:pt idx="0">
                  <c:v>%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explosion val="1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213-4F53-9AAE-2AE28035AC4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213-4F53-9AAE-2AE28035AC4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213-4F53-9AAE-2AE28035AC4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213-4F53-9AAE-2AE28035AC4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213-4F53-9AAE-2AE28035AC4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213-4F53-9AAE-2AE28035AC4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213-4F53-9AAE-2AE28035AC4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213-4F53-9AAE-2AE28035AC4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213-4F53-9AAE-2AE28035AC4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213-4F53-9AAE-2AE28035AC4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6213-4F53-9AAE-2AE28035AC4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6213-4F53-9AAE-2AE28035AC44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bg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6213-4F53-9AAE-2AE28035AC44}"/>
              </c:ext>
            </c:extLst>
          </c:dPt>
          <c:dLbls>
            <c:dLbl>
              <c:idx val="0"/>
              <c:layout>
                <c:manualLayout>
                  <c:x val="-3.6035658402021997E-2"/>
                  <c:y val="5.48521434820647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86888760829512"/>
                      <c:h val="0.1550878621244758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6213-4F53-9AAE-2AE28035AC44}"/>
                </c:ext>
              </c:extLst>
            </c:dLbl>
            <c:dLbl>
              <c:idx val="1"/>
              <c:layout>
                <c:manualLayout>
                  <c:x val="-3.2760041210584123E-2"/>
                  <c:y val="8.2720529499030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13-4F53-9AAE-2AE28035AC44}"/>
                </c:ext>
              </c:extLst>
            </c:dLbl>
            <c:dLbl>
              <c:idx val="2"/>
              <c:layout>
                <c:manualLayout>
                  <c:x val="3.2761330975986116E-3"/>
                  <c:y val="-8.89905283578683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452912470844849"/>
                      <c:h val="0.1909361329833770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6213-4F53-9AAE-2AE28035AC44}"/>
                </c:ext>
              </c:extLst>
            </c:dLbl>
            <c:dLbl>
              <c:idx val="3"/>
              <c:layout>
                <c:manualLayout>
                  <c:x val="7.8624098905401896E-2"/>
                  <c:y val="-0.12658708965727117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058958787868156"/>
                      <c:h val="0.1375267222032028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6213-4F53-9AAE-2AE28035AC44}"/>
                </c:ext>
              </c:extLst>
            </c:dLbl>
            <c:dLbl>
              <c:idx val="4"/>
              <c:layout>
                <c:manualLayout>
                  <c:x val="0.1310399068892561"/>
                  <c:y val="-4.29189394803910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13-4F53-9AAE-2AE28035AC44}"/>
                </c:ext>
              </c:extLst>
            </c:dLbl>
            <c:dLbl>
              <c:idx val="5"/>
              <c:layout>
                <c:manualLayout>
                  <c:x val="0.2527305623325562"/>
                  <c:y val="2.513553197154703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99595271616856"/>
                      <c:h val="0.17083768876716493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6213-4F53-9AAE-2AE28035AC44}"/>
                </c:ext>
              </c:extLst>
            </c:dLbl>
            <c:dLbl>
              <c:idx val="6"/>
              <c:layout>
                <c:manualLayout>
                  <c:x val="0.2172145504109966"/>
                  <c:y val="0.17735448286355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13-4F53-9AAE-2AE28035AC44}"/>
                </c:ext>
              </c:extLst>
            </c:dLbl>
            <c:dLbl>
              <c:idx val="7"/>
              <c:layout>
                <c:manualLayout>
                  <c:x val="9.828012363175237E-2"/>
                  <c:y val="0.26623561185286621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67162727637145"/>
                      <c:h val="0.1891667521991921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6213-4F53-9AAE-2AE28035AC44}"/>
                </c:ext>
              </c:extLst>
            </c:dLbl>
            <c:dLbl>
              <c:idx val="8"/>
              <c:layout>
                <c:manualLayout>
                  <c:x val="3.9312049452700948E-2"/>
                  <c:y val="0.227769181026284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213-4F53-9AAE-2AE28035AC44}"/>
                </c:ext>
              </c:extLst>
            </c:dLbl>
            <c:dLbl>
              <c:idx val="9"/>
              <c:layout>
                <c:manualLayout>
                  <c:x val="0"/>
                  <c:y val="0.140520521891285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213-4F53-9AAE-2AE28035AC44}"/>
                </c:ext>
              </c:extLst>
            </c:dLbl>
            <c:dLbl>
              <c:idx val="10"/>
              <c:layout>
                <c:manualLayout>
                  <c:x val="6.5520082421168246E-3"/>
                  <c:y val="1.7831640610141159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007362496820727"/>
                      <c:h val="0.2148214081935410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6213-4F53-9AAE-2AE28035AC44}"/>
                </c:ext>
              </c:extLst>
            </c:dLbl>
            <c:dLbl>
              <c:idx val="11"/>
              <c:layout>
                <c:manualLayout>
                  <c:x val="5.2416065936934597E-2"/>
                  <c:y val="-9.30926242915287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213-4F53-9AAE-2AE28035AC44}"/>
                </c:ext>
              </c:extLst>
            </c:dLbl>
            <c:dLbl>
              <c:idx val="12"/>
              <c:layout>
                <c:manualLayout>
                  <c:x val="8.1900103026460308E-2"/>
                  <c:y val="-1.54589371980676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213-4F53-9AAE-2AE28035AC4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'Figura 6'!$A$31:$A$43</c:f>
              <c:strCache>
                <c:ptCount val="13"/>
                <c:pt idx="0">
                  <c:v>Maşini şi aparate electrice </c:v>
                </c:pt>
                <c:pt idx="1">
                  <c:v>Petrol, produse petroliere</c:v>
                </c:pt>
                <c:pt idx="2">
                  <c:v>Cereale şi preparate pe bază de cereale</c:v>
                </c:pt>
                <c:pt idx="3">
                  <c:v>Legume şi fructe</c:v>
                </c:pt>
                <c:pt idx="4">
                  <c:v>Îmbrăcăminte şi accesorii</c:v>
                </c:pt>
                <c:pt idx="5">
                  <c:v>Grăsimi şi uleiuri vegetale </c:v>
                </c:pt>
                <c:pt idx="6">
                  <c:v>Seminţe şi fructe oleaginoase</c:v>
                </c:pt>
                <c:pt idx="7">
                  <c:v>Băuturi alcoolice şi nealcoolice</c:v>
                </c:pt>
                <c:pt idx="8">
                  <c:v>Mobilă şi părţile ei</c:v>
                </c:pt>
                <c:pt idx="9">
                  <c:v>Articole din minerale nemetalice</c:v>
                </c:pt>
                <c:pt idx="10">
                  <c:v>Fire, tesături, articole textile </c:v>
                </c:pt>
                <c:pt idx="11">
                  <c:v>Vehicule rutiere </c:v>
                </c:pt>
                <c:pt idx="12">
                  <c:v>Alte mărfuri</c:v>
                </c:pt>
              </c:strCache>
            </c:strRef>
          </c:cat>
          <c:val>
            <c:numRef>
              <c:f>'Figura 6'!$B$31:$B$43</c:f>
              <c:numCache>
                <c:formatCode>0.0</c:formatCode>
                <c:ptCount val="13"/>
                <c:pt idx="0">
                  <c:v>12</c:v>
                </c:pt>
                <c:pt idx="1">
                  <c:v>10.9</c:v>
                </c:pt>
                <c:pt idx="2">
                  <c:v>13</c:v>
                </c:pt>
                <c:pt idx="3">
                  <c:v>7.9</c:v>
                </c:pt>
                <c:pt idx="4">
                  <c:v>6.7</c:v>
                </c:pt>
                <c:pt idx="5">
                  <c:v>9.5</c:v>
                </c:pt>
                <c:pt idx="6">
                  <c:v>10</c:v>
                </c:pt>
                <c:pt idx="7">
                  <c:v>3.6</c:v>
                </c:pt>
                <c:pt idx="8">
                  <c:v>3.3</c:v>
                </c:pt>
                <c:pt idx="9">
                  <c:v>2</c:v>
                </c:pt>
                <c:pt idx="10">
                  <c:v>2</c:v>
                </c:pt>
                <c:pt idx="11">
                  <c:v>2.1</c:v>
                </c:pt>
                <c:pt idx="12" formatCode="#,##0.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6213-4F53-9AAE-2AE28035A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315800362667183E-2"/>
          <c:y val="8.2824526452265762E-2"/>
          <c:w val="0.94068416183226722"/>
          <c:h val="0.7112001581994030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'Figura 7'!$B$22</c:f>
              <c:strCache>
                <c:ptCount val="1"/>
                <c:pt idx="0">
                  <c:v>Ianuarie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7'!$B$23:$B$28</c:f>
              <c:numCache>
                <c:formatCode>#,##0.0</c:formatCode>
                <c:ptCount val="6"/>
                <c:pt idx="0">
                  <c:v>374.3</c:v>
                </c:pt>
                <c:pt idx="1">
                  <c:v>372.6</c:v>
                </c:pt>
                <c:pt idx="2">
                  <c:v>379.8</c:v>
                </c:pt>
                <c:pt idx="3">
                  <c:v>399.4</c:v>
                </c:pt>
                <c:pt idx="4">
                  <c:v>621.70000000000005</c:v>
                </c:pt>
                <c:pt idx="5">
                  <c:v>733.3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85-4F6B-A686-03D9A8D64A69}"/>
            </c:ext>
          </c:extLst>
        </c:ser>
        <c:ser>
          <c:idx val="2"/>
          <c:order val="1"/>
          <c:tx>
            <c:strRef>
              <c:f>'Figura 7'!$C$22</c:f>
              <c:strCache>
                <c:ptCount val="1"/>
                <c:pt idx="0">
                  <c:v>Februarie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7'!$C$23:$C$28</c:f>
              <c:numCache>
                <c:formatCode>#,##0.0</c:formatCode>
                <c:ptCount val="6"/>
                <c:pt idx="0">
                  <c:v>427.6</c:v>
                </c:pt>
                <c:pt idx="1">
                  <c:v>459.3</c:v>
                </c:pt>
                <c:pt idx="2">
                  <c:v>484.8</c:v>
                </c:pt>
                <c:pt idx="3">
                  <c:v>521.4</c:v>
                </c:pt>
                <c:pt idx="4">
                  <c:v>669.1</c:v>
                </c:pt>
                <c:pt idx="5">
                  <c:v>752.5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85-4F6B-A686-03D9A8D64A69}"/>
            </c:ext>
          </c:extLst>
        </c:ser>
        <c:ser>
          <c:idx val="3"/>
          <c:order val="2"/>
          <c:tx>
            <c:strRef>
              <c:f>'Figura 7'!$D$22</c:f>
              <c:strCache>
                <c:ptCount val="1"/>
                <c:pt idx="0">
                  <c:v>Martie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7'!$D$23:$D$28</c:f>
              <c:numCache>
                <c:formatCode>#,##0.0</c:formatCode>
                <c:ptCount val="6"/>
                <c:pt idx="0">
                  <c:v>524.1</c:v>
                </c:pt>
                <c:pt idx="1">
                  <c:v>533.79999999999995</c:v>
                </c:pt>
                <c:pt idx="2">
                  <c:v>500.5</c:v>
                </c:pt>
                <c:pt idx="3">
                  <c:v>630.1</c:v>
                </c:pt>
                <c:pt idx="4">
                  <c:v>748.3</c:v>
                </c:pt>
                <c:pt idx="5">
                  <c:v>821.1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85-4F6B-A686-03D9A8D64A69}"/>
            </c:ext>
          </c:extLst>
        </c:ser>
        <c:ser>
          <c:idx val="4"/>
          <c:order val="3"/>
          <c:tx>
            <c:strRef>
              <c:f>'Figura 7'!$E$22</c:f>
              <c:strCache>
                <c:ptCount val="1"/>
                <c:pt idx="0">
                  <c:v>Aprilie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7'!$E$23:$E$28</c:f>
              <c:numCache>
                <c:formatCode>#,##0.0</c:formatCode>
                <c:ptCount val="6"/>
                <c:pt idx="0">
                  <c:v>444.6</c:v>
                </c:pt>
                <c:pt idx="1">
                  <c:v>515.6</c:v>
                </c:pt>
                <c:pt idx="2">
                  <c:v>285.60000000000002</c:v>
                </c:pt>
                <c:pt idx="3">
                  <c:v>562.20000000000005</c:v>
                </c:pt>
                <c:pt idx="4">
                  <c:v>770.4</c:v>
                </c:pt>
                <c:pt idx="5">
                  <c:v>690.4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85-4F6B-A686-03D9A8D64A69}"/>
            </c:ext>
          </c:extLst>
        </c:ser>
        <c:ser>
          <c:idx val="5"/>
          <c:order val="4"/>
          <c:tx>
            <c:strRef>
              <c:f>'Figura 7'!$F$22</c:f>
              <c:strCache>
                <c:ptCount val="1"/>
                <c:pt idx="0">
                  <c:v>Mai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7'!$F$23:$F$28</c:f>
              <c:numCache>
                <c:formatCode>#,##0.0</c:formatCode>
                <c:ptCount val="6"/>
                <c:pt idx="0">
                  <c:v>505.6</c:v>
                </c:pt>
                <c:pt idx="1">
                  <c:v>481.6</c:v>
                </c:pt>
                <c:pt idx="2">
                  <c:v>329.4</c:v>
                </c:pt>
                <c:pt idx="3">
                  <c:v>563.4</c:v>
                </c:pt>
                <c:pt idx="4">
                  <c:v>772.7</c:v>
                </c:pt>
                <c:pt idx="5">
                  <c:v>709.2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385-4F6B-A686-03D9A8D64A69}"/>
            </c:ext>
          </c:extLst>
        </c:ser>
        <c:ser>
          <c:idx val="6"/>
          <c:order val="5"/>
          <c:tx>
            <c:strRef>
              <c:f>'Figura 7'!$G$22</c:f>
              <c:strCache>
                <c:ptCount val="1"/>
                <c:pt idx="0">
                  <c:v>Iunie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7'!$G$23:$G$28</c:f>
              <c:numCache>
                <c:formatCode>#,##0.0</c:formatCode>
                <c:ptCount val="6"/>
                <c:pt idx="0">
                  <c:v>458.7</c:v>
                </c:pt>
                <c:pt idx="1">
                  <c:v>445.4</c:v>
                </c:pt>
                <c:pt idx="2">
                  <c:v>413.5</c:v>
                </c:pt>
                <c:pt idx="3">
                  <c:v>589.6</c:v>
                </c:pt>
                <c:pt idx="4">
                  <c:v>768.4</c:v>
                </c:pt>
                <c:pt idx="5">
                  <c:v>665.2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85-4F6B-A686-03D9A8D64A69}"/>
            </c:ext>
          </c:extLst>
        </c:ser>
        <c:ser>
          <c:idx val="7"/>
          <c:order val="6"/>
          <c:tx>
            <c:strRef>
              <c:f>'Figura 7'!$H$22</c:f>
              <c:strCache>
                <c:ptCount val="1"/>
                <c:pt idx="0">
                  <c:v>Iulie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7'!$H$23:$H$28</c:f>
              <c:numCache>
                <c:formatCode>#,##0.0</c:formatCode>
                <c:ptCount val="6"/>
                <c:pt idx="0">
                  <c:v>488</c:v>
                </c:pt>
                <c:pt idx="1">
                  <c:v>499.1</c:v>
                </c:pt>
                <c:pt idx="2">
                  <c:v>496.6</c:v>
                </c:pt>
                <c:pt idx="3">
                  <c:v>562</c:v>
                </c:pt>
                <c:pt idx="4">
                  <c:v>761</c:v>
                </c:pt>
                <c:pt idx="5">
                  <c:v>639.1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385-4F6B-A686-03D9A8D64A69}"/>
            </c:ext>
          </c:extLst>
        </c:ser>
        <c:ser>
          <c:idx val="8"/>
          <c:order val="7"/>
          <c:tx>
            <c:strRef>
              <c:f>'Figura 7'!$I$22</c:f>
              <c:strCache>
                <c:ptCount val="1"/>
                <c:pt idx="0">
                  <c:v>August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7'!$I$23:$I$28</c:f>
              <c:numCache>
                <c:formatCode>#,##0.0</c:formatCode>
                <c:ptCount val="6"/>
                <c:pt idx="0">
                  <c:v>480.7</c:v>
                </c:pt>
                <c:pt idx="1">
                  <c:v>464.3</c:v>
                </c:pt>
                <c:pt idx="2">
                  <c:v>433.6</c:v>
                </c:pt>
                <c:pt idx="3">
                  <c:v>574.9</c:v>
                </c:pt>
                <c:pt idx="4">
                  <c:v>780</c:v>
                </c:pt>
                <c:pt idx="5">
                  <c:v>698.6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385-4F6B-A686-03D9A8D64A69}"/>
            </c:ext>
          </c:extLst>
        </c:ser>
        <c:ser>
          <c:idx val="9"/>
          <c:order val="8"/>
          <c:tx>
            <c:strRef>
              <c:f>'Figura 7'!$J$22</c:f>
              <c:strCache>
                <c:ptCount val="1"/>
                <c:pt idx="0">
                  <c:v>Septembrie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7'!$J$23:$J$28</c:f>
              <c:numCache>
                <c:formatCode>#,##0.0</c:formatCode>
                <c:ptCount val="6"/>
                <c:pt idx="0">
                  <c:v>474</c:v>
                </c:pt>
                <c:pt idx="1">
                  <c:v>501.7</c:v>
                </c:pt>
                <c:pt idx="2">
                  <c:v>508.3</c:v>
                </c:pt>
                <c:pt idx="3">
                  <c:v>671.2</c:v>
                </c:pt>
                <c:pt idx="4">
                  <c:v>844.1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385-4F6B-A686-03D9A8D64A69}"/>
            </c:ext>
          </c:extLst>
        </c:ser>
        <c:ser>
          <c:idx val="10"/>
          <c:order val="9"/>
          <c:tx>
            <c:strRef>
              <c:f>'Figura 7'!$K$22</c:f>
              <c:strCache>
                <c:ptCount val="1"/>
                <c:pt idx="0">
                  <c:v>Octombrie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7'!$K$23:$K$28</c:f>
              <c:numCache>
                <c:formatCode>#,##0.0</c:formatCode>
                <c:ptCount val="6"/>
                <c:pt idx="0">
                  <c:v>540.6</c:v>
                </c:pt>
                <c:pt idx="1">
                  <c:v>525.29999999999995</c:v>
                </c:pt>
                <c:pt idx="2">
                  <c:v>493.6</c:v>
                </c:pt>
                <c:pt idx="3">
                  <c:v>646.79999999999995</c:v>
                </c:pt>
                <c:pt idx="4">
                  <c:v>751.2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385-4F6B-A686-03D9A8D64A69}"/>
            </c:ext>
          </c:extLst>
        </c:ser>
        <c:ser>
          <c:idx val="11"/>
          <c:order val="10"/>
          <c:tx>
            <c:strRef>
              <c:f>'Figura 7'!$L$22</c:f>
              <c:strCache>
                <c:ptCount val="1"/>
                <c:pt idx="0">
                  <c:v>Noiembrie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7'!$L$23:$L$28</c:f>
              <c:numCache>
                <c:formatCode>#,##0.0</c:formatCode>
                <c:ptCount val="6"/>
                <c:pt idx="0">
                  <c:v>522.6</c:v>
                </c:pt>
                <c:pt idx="1">
                  <c:v>504.1</c:v>
                </c:pt>
                <c:pt idx="2">
                  <c:v>522.9</c:v>
                </c:pt>
                <c:pt idx="3">
                  <c:v>701.5</c:v>
                </c:pt>
                <c:pt idx="4">
                  <c:v>858.3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385-4F6B-A686-03D9A8D64A69}"/>
            </c:ext>
          </c:extLst>
        </c:ser>
        <c:ser>
          <c:idx val="12"/>
          <c:order val="11"/>
          <c:tx>
            <c:strRef>
              <c:f>'Figura 7'!$M$22</c:f>
              <c:strCache>
                <c:ptCount val="1"/>
                <c:pt idx="0">
                  <c:v>Decembrie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'Figura 7'!$A$23:$A$28</c:f>
              <c:numCache>
                <c:formatCode>General</c:formatCod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numCache>
            </c:numRef>
          </c:cat>
          <c:val>
            <c:numRef>
              <c:f>'Figura 7'!$M$23:$M$28</c:f>
              <c:numCache>
                <c:formatCode>#,##0.0</c:formatCode>
                <c:ptCount val="6"/>
                <c:pt idx="0">
                  <c:v>519.29999999999995</c:v>
                </c:pt>
                <c:pt idx="1">
                  <c:v>539.70000000000005</c:v>
                </c:pt>
                <c:pt idx="2">
                  <c:v>567.29999999999995</c:v>
                </c:pt>
                <c:pt idx="3">
                  <c:v>754.2</c:v>
                </c:pt>
                <c:pt idx="4">
                  <c:v>873.8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CF-4049-8950-86FE86034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28641536"/>
        <c:axId val="126078912"/>
      </c:barChart>
      <c:catAx>
        <c:axId val="128641536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078912"/>
        <c:crosses val="autoZero"/>
        <c:auto val="0"/>
        <c:lblAlgn val="ctr"/>
        <c:lblOffset val="100"/>
        <c:tickLblSkip val="1"/>
        <c:noMultiLvlLbl val="0"/>
      </c:catAx>
      <c:valAx>
        <c:axId val="126078912"/>
        <c:scaling>
          <c:orientation val="minMax"/>
          <c:max val="100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641536"/>
        <c:crosses val="autoZero"/>
        <c:crossBetween val="between"/>
        <c:majorUnit val="1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"/>
          <c:y val="0.90322762736849671"/>
          <c:w val="1"/>
          <c:h val="7.8507415488726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357932448224996E-2"/>
          <c:y val="5.4497403713046011E-2"/>
          <c:w val="0.92549986359231973"/>
          <c:h val="0.72637556698672245"/>
        </c:manualLayout>
      </c:layout>
      <c:lineChart>
        <c:grouping val="standard"/>
        <c:varyColors val="0"/>
        <c:ser>
          <c:idx val="0"/>
          <c:order val="0"/>
          <c:tx>
            <c:strRef>
              <c:f>'Figura 8'!$A$25</c:f>
              <c:strCache>
                <c:ptCount val="1"/>
                <c:pt idx="0">
                  <c:v>În % faţă de luna precedentă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1.8026992920953038E-2"/>
                  <c:y val="3.6586717078588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9B6-4474-912E-EE374058F04A}"/>
                </c:ext>
              </c:extLst>
            </c:dLbl>
            <c:dLbl>
              <c:idx val="1"/>
              <c:layout>
                <c:manualLayout>
                  <c:x val="-2.5920869518839741E-2"/>
                  <c:y val="-3.3577664271918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9B6-4474-912E-EE374058F04A}"/>
                </c:ext>
              </c:extLst>
            </c:dLbl>
            <c:dLbl>
              <c:idx val="2"/>
              <c:layout>
                <c:manualLayout>
                  <c:x val="-2.7600746048223046E-2"/>
                  <c:y val="3.56582503925892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9B6-4474-912E-EE374058F04A}"/>
                </c:ext>
              </c:extLst>
            </c:dLbl>
            <c:dLbl>
              <c:idx val="3"/>
              <c:layout>
                <c:manualLayout>
                  <c:x val="-1.9572486356910244E-2"/>
                  <c:y val="3.38994643277285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9B6-4474-912E-EE374058F04A}"/>
                </c:ext>
              </c:extLst>
            </c:dLbl>
            <c:dLbl>
              <c:idx val="4"/>
              <c:layout>
                <c:manualLayout>
                  <c:x val="-3.1744157714715712E-2"/>
                  <c:y val="-3.2421783093767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9B6-4474-912E-EE374058F04A}"/>
                </c:ext>
              </c:extLst>
            </c:dLbl>
            <c:dLbl>
              <c:idx val="5"/>
              <c:layout>
                <c:manualLayout>
                  <c:x val="-2.7229845388010401E-2"/>
                  <c:y val="-3.4658310580484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9B6-4474-912E-EE374058F04A}"/>
                </c:ext>
              </c:extLst>
            </c:dLbl>
            <c:dLbl>
              <c:idx val="6"/>
              <c:layout>
                <c:manualLayout>
                  <c:x val="-2.138142250432562E-2"/>
                  <c:y val="3.5854203030186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9B6-4474-912E-EE374058F04A}"/>
                </c:ext>
              </c:extLst>
            </c:dLbl>
            <c:dLbl>
              <c:idx val="7"/>
              <c:layout>
                <c:manualLayout>
                  <c:x val="-1.8666396603961483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9B6-4474-912E-EE374058F04A}"/>
                </c:ext>
              </c:extLst>
            </c:dLbl>
            <c:dLbl>
              <c:idx val="8"/>
              <c:layout>
                <c:manualLayout>
                  <c:x val="-2.9729051201149798E-2"/>
                  <c:y val="-2.37201864730440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9B6-4474-912E-EE374058F04A}"/>
                </c:ext>
              </c:extLst>
            </c:dLbl>
            <c:dLbl>
              <c:idx val="9"/>
              <c:layout>
                <c:manualLayout>
                  <c:x val="-1.8672168312981918E-2"/>
                  <c:y val="3.53418283282413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9B6-4474-912E-EE374058F04A}"/>
                </c:ext>
              </c:extLst>
            </c:dLbl>
            <c:dLbl>
              <c:idx val="10"/>
              <c:layout>
                <c:manualLayout>
                  <c:x val="-2.4624632964877637E-2"/>
                  <c:y val="-3.4155775849333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309466480373265E-2"/>
                      <c:h val="4.70874421454415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A-7DC5-4341-8624-B7AE9C654835}"/>
                </c:ext>
              </c:extLst>
            </c:dLbl>
            <c:dLbl>
              <c:idx val="11"/>
              <c:layout>
                <c:manualLayout>
                  <c:x val="-1.4145217577845922E-2"/>
                  <c:y val="-2.803695810375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C5-4341-8624-B7AE9C654835}"/>
                </c:ext>
              </c:extLst>
            </c:dLbl>
            <c:dLbl>
              <c:idx val="12"/>
              <c:layout>
                <c:manualLayout>
                  <c:x val="-1.9626356994764723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C5-4341-8624-B7AE9C654835}"/>
                </c:ext>
              </c:extLst>
            </c:dLbl>
            <c:dLbl>
              <c:idx val="13"/>
              <c:layout>
                <c:manualLayout>
                  <c:x val="-3.3181004579678944E-2"/>
                  <c:y val="-2.97290587160281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C5-4341-8624-B7AE9C654835}"/>
                </c:ext>
              </c:extLst>
            </c:dLbl>
            <c:dLbl>
              <c:idx val="14"/>
              <c:layout>
                <c:manualLayout>
                  <c:x val="-2.6432142515675553E-2"/>
                  <c:y val="2.78068077981625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C5-4341-8624-B7AE9C654835}"/>
                </c:ext>
              </c:extLst>
            </c:dLbl>
            <c:dLbl>
              <c:idx val="15"/>
              <c:layout>
                <c:manualLayout>
                  <c:x val="-2.1788909553735202E-2"/>
                  <c:y val="-3.2996645892723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C5-4341-8624-B7AE9C654835}"/>
                </c:ext>
              </c:extLst>
            </c:dLbl>
            <c:dLbl>
              <c:idx val="16"/>
              <c:layout>
                <c:manualLayout>
                  <c:x val="-2.9720567278758984E-2"/>
                  <c:y val="3.86650803508407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687652789382035E-2"/>
                      <c:h val="6.599363376212648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7DC5-4341-8624-B7AE9C654835}"/>
                </c:ext>
              </c:extLst>
            </c:dLbl>
            <c:dLbl>
              <c:idx val="17"/>
              <c:layout>
                <c:manualLayout>
                  <c:x val="-1.7499355280314478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C5-4341-8624-B7AE9C654835}"/>
                </c:ext>
              </c:extLst>
            </c:dLbl>
            <c:dLbl>
              <c:idx val="18"/>
              <c:layout>
                <c:manualLayout>
                  <c:x val="-1.7315802622204654E-2"/>
                  <c:y val="3.21499116332258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C5-4341-8624-B7AE9C654835}"/>
                </c:ext>
              </c:extLst>
            </c:dLbl>
            <c:dLbl>
              <c:idx val="19"/>
              <c:layout>
                <c:manualLayout>
                  <c:x val="-1.7737155845873067E-2"/>
                  <c:y val="3.6493015468289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C5-4341-8624-B7AE9C654835}"/>
                </c:ext>
              </c:extLst>
            </c:dLbl>
            <c:dLbl>
              <c:idx val="20"/>
              <c:layout>
                <c:manualLayout>
                  <c:x val="-3.1066550764755691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C5-4341-8624-B7AE9C654835}"/>
                </c:ext>
              </c:extLst>
            </c:dLbl>
            <c:dLbl>
              <c:idx val="21"/>
              <c:layout>
                <c:manualLayout>
                  <c:x val="-1.8843994865605302E-2"/>
                  <c:y val="4.0836119303352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C5-4341-8624-B7AE9C654835}"/>
                </c:ext>
              </c:extLst>
            </c:dLbl>
            <c:dLbl>
              <c:idx val="22"/>
              <c:layout>
                <c:manualLayout>
                  <c:x val="-2.4304770364339121E-2"/>
                  <c:y val="4.9522326973479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C5-4341-8624-B7AE9C654835}"/>
                </c:ext>
              </c:extLst>
            </c:dLbl>
            <c:dLbl>
              <c:idx val="23"/>
              <c:layout>
                <c:manualLayout>
                  <c:x val="-7.0701444340610159E-3"/>
                  <c:y val="-6.938022882343607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C5-4341-8624-B7AE9C654835}"/>
                </c:ext>
              </c:extLst>
            </c:dLbl>
            <c:dLbl>
              <c:idx val="24"/>
              <c:layout>
                <c:manualLayout>
                  <c:x val="-2.0148150028407117E-2"/>
                  <c:y val="3.6493015468289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C5-4341-8624-B7AE9C654835}"/>
                </c:ext>
              </c:extLst>
            </c:dLbl>
            <c:dLbl>
              <c:idx val="25"/>
              <c:layout>
                <c:manualLayout>
                  <c:x val="-2.5763567131274666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C5-4341-8624-B7AE9C654835}"/>
                </c:ext>
              </c:extLst>
            </c:dLbl>
            <c:dLbl>
              <c:idx val="26"/>
              <c:layout>
                <c:manualLayout>
                  <c:x val="-2.6710125093614309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85-4BB1-AA39-4F2259CD6BED}"/>
                </c:ext>
              </c:extLst>
            </c:dLbl>
            <c:dLbl>
              <c:idx val="27"/>
              <c:layout>
                <c:manualLayout>
                  <c:x val="-2.0109837594739482E-2"/>
                  <c:y val="3.6493015468289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321494994148508E-2"/>
                      <c:h val="8.77091529374428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CA9-42EF-9314-3F5807FA0AAA}"/>
                </c:ext>
              </c:extLst>
            </c:dLbl>
            <c:dLbl>
              <c:idx val="28"/>
              <c:layout>
                <c:manualLayout>
                  <c:x val="-2.8145225239374894E-2"/>
                  <c:y val="-4.1682853562849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566-4F94-A10A-2056241F922A}"/>
                </c:ext>
              </c:extLst>
            </c:dLbl>
            <c:dLbl>
              <c:idx val="29"/>
              <c:layout>
                <c:manualLayout>
                  <c:x val="-2.5849639620830932E-2"/>
                  <c:y val="-4.1682853562849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AFB-4017-9759-A88CF94724E1}"/>
                </c:ext>
              </c:extLst>
            </c:dLbl>
            <c:dLbl>
              <c:idx val="30"/>
              <c:layout>
                <c:manualLayout>
                  <c:x val="-2.383166471616897E-2"/>
                  <c:y val="-3.7339749727786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62-4778-883D-B7649D28D937}"/>
                </c:ext>
              </c:extLst>
            </c:dLbl>
            <c:dLbl>
              <c:idx val="31"/>
              <c:layout>
                <c:manualLayout>
                  <c:x val="-2.1799444156084155E-4"/>
                  <c:y val="-3.2996474904383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9566769267308829E-2"/>
                      <c:h val="7.03367375971897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6D0-449F-8AF9-0E32DFE599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8'!$B$23:$AG$24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8'!$B$25:$AG$25</c:f>
              <c:numCache>
                <c:formatCode>#,##0.0</c:formatCode>
                <c:ptCount val="32"/>
                <c:pt idx="0">
                  <c:v>70.397914008513311</c:v>
                </c:pt>
                <c:pt idx="1">
                  <c:v>130.56565598353049</c:v>
                </c:pt>
                <c:pt idx="2">
                  <c:v>120.83026196604835</c:v>
                </c:pt>
                <c:pt idx="3">
                  <c:v>89.231037795592442</c:v>
                </c:pt>
                <c:pt idx="4">
                  <c:v>100.2114807539604</c:v>
                </c:pt>
                <c:pt idx="5">
                  <c:v>104.66057637383682</c:v>
                </c:pt>
                <c:pt idx="6">
                  <c:v>95.30942393156748</c:v>
                </c:pt>
                <c:pt idx="7">
                  <c:v>102.30310816744974</c:v>
                </c:pt>
                <c:pt idx="8">
                  <c:v>116.7433114933096</c:v>
                </c:pt>
                <c:pt idx="9">
                  <c:v>96.368466717330918</c:v>
                </c:pt>
                <c:pt idx="10">
                  <c:v>108.45193596997535</c:v>
                </c:pt>
                <c:pt idx="11">
                  <c:v>107.60757399325725</c:v>
                </c:pt>
                <c:pt idx="12">
                  <c:v>82.42810256467493</c:v>
                </c:pt>
                <c:pt idx="13">
                  <c:v>107.62832847463979</c:v>
                </c:pt>
                <c:pt idx="14">
                  <c:v>111.83649823538117</c:v>
                </c:pt>
                <c:pt idx="15">
                  <c:v>102.95945766976527</c:v>
                </c:pt>
                <c:pt idx="16">
                  <c:v>100.28989015201115</c:v>
                </c:pt>
                <c:pt idx="17">
                  <c:v>99.449492493428721</c:v>
                </c:pt>
                <c:pt idx="18">
                  <c:v>99.042771669685536</c:v>
                </c:pt>
                <c:pt idx="19">
                  <c:v>102.48436324688166</c:v>
                </c:pt>
                <c:pt idx="20">
                  <c:v>108.22806008303567</c:v>
                </c:pt>
                <c:pt idx="21" formatCode="0.0">
                  <c:v>88.988673647198652</c:v>
                </c:pt>
                <c:pt idx="22" formatCode="0.0">
                  <c:v>114.26056736134905</c:v>
                </c:pt>
                <c:pt idx="23" formatCode="0.0">
                  <c:v>101.80484196839581</c:v>
                </c:pt>
                <c:pt idx="24" formatCode="0.0">
                  <c:v>83.923113131090105</c:v>
                </c:pt>
                <c:pt idx="25" formatCode="0.0">
                  <c:v>102.61098940878497</c:v>
                </c:pt>
                <c:pt idx="26" formatCode="0.0">
                  <c:v>109.12064094346417</c:v>
                </c:pt>
                <c:pt idx="27" formatCode="0.0">
                  <c:v>84.078157654874644</c:v>
                </c:pt>
                <c:pt idx="28" formatCode="0.0">
                  <c:v>102.7218186786998</c:v>
                </c:pt>
                <c:pt idx="29" formatCode="0.0">
                  <c:v>93.799562886459725</c:v>
                </c:pt>
                <c:pt idx="30" formatCode="0.0">
                  <c:v>96.084801852064871</c:v>
                </c:pt>
                <c:pt idx="31" formatCode="0.0">
                  <c:v>109.30345529246004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DC5-4341-8624-B7AE9C654835}"/>
            </c:ext>
          </c:extLst>
        </c:ser>
        <c:ser>
          <c:idx val="1"/>
          <c:order val="1"/>
          <c:tx>
            <c:strRef>
              <c:f>'Figura 8'!$A$26</c:f>
              <c:strCache>
                <c:ptCount val="1"/>
                <c:pt idx="0">
                  <c:v>În % faţă de luna corespunzătoare din anul precedent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2109583568934912E-2"/>
                  <c:y val="-3.03948873118445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9B6-4474-912E-EE374058F04A}"/>
                </c:ext>
              </c:extLst>
            </c:dLbl>
            <c:dLbl>
              <c:idx val="1"/>
              <c:layout>
                <c:manualLayout>
                  <c:x val="-1.7371108354220996E-2"/>
                  <c:y val="3.6698201476244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9B6-4474-912E-EE374058F04A}"/>
                </c:ext>
              </c:extLst>
            </c:dLbl>
            <c:dLbl>
              <c:idx val="2"/>
              <c:layout>
                <c:manualLayout>
                  <c:x val="-6.9016774832406664E-3"/>
                  <c:y val="-5.151194729728990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9B6-4474-912E-EE374058F04A}"/>
                </c:ext>
              </c:extLst>
            </c:dLbl>
            <c:dLbl>
              <c:idx val="3"/>
              <c:layout>
                <c:manualLayout>
                  <c:x val="-2.5269654797973405E-2"/>
                  <c:y val="-3.48426360109651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9B6-4474-912E-EE374058F04A}"/>
                </c:ext>
              </c:extLst>
            </c:dLbl>
            <c:dLbl>
              <c:idx val="4"/>
              <c:layout>
                <c:manualLayout>
                  <c:x val="-1.2931502533244489E-2"/>
                  <c:y val="-2.87917006363502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9B6-4474-912E-EE374058F04A}"/>
                </c:ext>
              </c:extLst>
            </c:dLbl>
            <c:dLbl>
              <c:idx val="5"/>
              <c:layout>
                <c:manualLayout>
                  <c:x val="-1.1558008625127699E-2"/>
                  <c:y val="-2.51161352805029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9B6-4474-912E-EE374058F04A}"/>
                </c:ext>
              </c:extLst>
            </c:dLbl>
            <c:dLbl>
              <c:idx val="6"/>
              <c:layout>
                <c:manualLayout>
                  <c:x val="-3.3203964986610178E-2"/>
                  <c:y val="3.09938150475670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60337285425529E-2"/>
                      <c:h val="5.129354098876440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A9B6-4474-912E-EE374058F04A}"/>
                </c:ext>
              </c:extLst>
            </c:dLbl>
            <c:dLbl>
              <c:idx val="7"/>
              <c:layout>
                <c:manualLayout>
                  <c:x val="-2.7485218871730339E-2"/>
                  <c:y val="-3.2255924404003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9B6-4474-912E-EE374058F04A}"/>
                </c:ext>
              </c:extLst>
            </c:dLbl>
            <c:dLbl>
              <c:idx val="8"/>
              <c:layout>
                <c:manualLayout>
                  <c:x val="-2.5129861117536571E-2"/>
                  <c:y val="-3.6435905362741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A9B6-4474-912E-EE374058F04A}"/>
                </c:ext>
              </c:extLst>
            </c:dLbl>
            <c:dLbl>
              <c:idx val="9"/>
              <c:layout>
                <c:manualLayout>
                  <c:x val="-2.7273726318692789E-2"/>
                  <c:y val="3.12727414492150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A9B6-4474-912E-EE374058F04A}"/>
                </c:ext>
              </c:extLst>
            </c:dLbl>
            <c:dLbl>
              <c:idx val="10"/>
              <c:layout>
                <c:manualLayout>
                  <c:x val="-2.0905443413830903E-2"/>
                  <c:y val="-3.62987727140910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4C-4954-B7BA-1B3D8193EA75}"/>
                </c:ext>
              </c:extLst>
            </c:dLbl>
            <c:dLbl>
              <c:idx val="11"/>
              <c:layout>
                <c:manualLayout>
                  <c:x val="-6.0340929769208329E-3"/>
                  <c:y val="5.625174408106762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C5-4341-8624-B7AE9C654835}"/>
                </c:ext>
              </c:extLst>
            </c:dLbl>
            <c:dLbl>
              <c:idx val="12"/>
              <c:layout>
                <c:manualLayout>
                  <c:x val="-2.0865741654092492E-2"/>
                  <c:y val="-3.61619820421205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C5-4341-8624-B7AE9C654835}"/>
                </c:ext>
              </c:extLst>
            </c:dLbl>
            <c:dLbl>
              <c:idx val="13"/>
              <c:layout>
                <c:manualLayout>
                  <c:x val="-1.9109955556378014E-2"/>
                  <c:y val="-4.01795240778940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C5-4341-8624-B7AE9C654835}"/>
                </c:ext>
              </c:extLst>
            </c:dLbl>
            <c:dLbl>
              <c:idx val="14"/>
              <c:layout>
                <c:manualLayout>
                  <c:x val="-3.1485206534847071E-2"/>
                  <c:y val="-3.73397497277866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C5-4341-8624-B7AE9C654835}"/>
                </c:ext>
              </c:extLst>
            </c:dLbl>
            <c:dLbl>
              <c:idx val="15"/>
              <c:layout>
                <c:manualLayout>
                  <c:x val="-3.0345401889393674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C5-4341-8624-B7AE9C654835}"/>
                </c:ext>
              </c:extLst>
            </c:dLbl>
            <c:dLbl>
              <c:idx val="16"/>
              <c:layout>
                <c:manualLayout>
                  <c:x val="-2.0413646636984958E-2"/>
                  <c:y val="-2.86535420576600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C5-4341-8624-B7AE9C654835}"/>
                </c:ext>
              </c:extLst>
            </c:dLbl>
            <c:dLbl>
              <c:idx val="17"/>
              <c:layout>
                <c:manualLayout>
                  <c:x val="-2.2382124991500659E-2"/>
                  <c:y val="3.6493015468289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C5-4341-8624-B7AE9C654835}"/>
                </c:ext>
              </c:extLst>
            </c:dLbl>
            <c:dLbl>
              <c:idx val="18"/>
              <c:layout>
                <c:manualLayout>
                  <c:x val="-2.489991781330364E-2"/>
                  <c:y val="-3.73397497277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DC5-4341-8624-B7AE9C654835}"/>
                </c:ext>
              </c:extLst>
            </c:dLbl>
            <c:dLbl>
              <c:idx val="19"/>
              <c:layout>
                <c:manualLayout>
                  <c:x val="-2.2429908742846786E-2"/>
                  <c:y val="-3.7339749727786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C5-4341-8624-B7AE9C654835}"/>
                </c:ext>
              </c:extLst>
            </c:dLbl>
            <c:dLbl>
              <c:idx val="20"/>
              <c:layout>
                <c:manualLayout>
                  <c:x val="-1.8404621140122125E-2"/>
                  <c:y val="-3.29966458927232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DC5-4341-8624-B7AE9C654835}"/>
                </c:ext>
              </c:extLst>
            </c:dLbl>
            <c:dLbl>
              <c:idx val="21"/>
              <c:layout>
                <c:manualLayout>
                  <c:x val="-3.0778877720670769E-2"/>
                  <c:y val="3.214956965654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8809557969240976E-2"/>
                      <c:h val="5.296432225693665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E-7DC5-4341-8624-B7AE9C654835}"/>
                </c:ext>
              </c:extLst>
            </c:dLbl>
            <c:dLbl>
              <c:idx val="22"/>
              <c:layout>
                <c:manualLayout>
                  <c:x val="-2.7438338715298775E-2"/>
                  <c:y val="-4.16828535628498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C5-4341-8624-B7AE9C654835}"/>
                </c:ext>
              </c:extLst>
            </c:dLbl>
            <c:dLbl>
              <c:idx val="23"/>
              <c:layout>
                <c:manualLayout>
                  <c:x val="-2.5871554539818833E-2"/>
                  <c:y val="-3.7339749727786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C5-4341-8624-B7AE9C654835}"/>
                </c:ext>
              </c:extLst>
            </c:dLbl>
            <c:dLbl>
              <c:idx val="24"/>
              <c:layout>
                <c:manualLayout>
                  <c:x val="-2.6016944709173512E-2"/>
                  <c:y val="-3.29968168810632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390039817290751E-2"/>
                      <c:h val="7.033673759718976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1-7DC5-4341-8624-B7AE9C654835}"/>
                </c:ext>
              </c:extLst>
            </c:dLbl>
            <c:dLbl>
              <c:idx val="25"/>
              <c:layout>
                <c:manualLayout>
                  <c:x val="-1.820546879938106E-2"/>
                  <c:y val="-3.51681978102549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9916376731978E-2"/>
                      <c:h val="5.730742609199993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2-7DC5-4341-8624-B7AE9C654835}"/>
                </c:ext>
              </c:extLst>
            </c:dLbl>
            <c:dLbl>
              <c:idx val="26"/>
              <c:layout>
                <c:manualLayout>
                  <c:x val="-1.4487352731047884E-2"/>
                  <c:y val="-2.43104382225967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85-4BB1-AA39-4F2259CD6BED}"/>
                </c:ext>
              </c:extLst>
            </c:dLbl>
            <c:dLbl>
              <c:idx val="27"/>
              <c:layout>
                <c:manualLayout>
                  <c:x val="-2.0870124633922568E-2"/>
                  <c:y val="-4.6025444432893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2801160338562965E-2"/>
                      <c:h val="6.165052992706320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BCA9-42EF-9314-3F5807FA0AAA}"/>
                </c:ext>
              </c:extLst>
            </c:dLbl>
            <c:dLbl>
              <c:idx val="28"/>
              <c:layout>
                <c:manualLayout>
                  <c:x val="-2.0300178705163294E-2"/>
                  <c:y val="4.08361193033523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ED-40F7-A435-2BCA796FB967}"/>
                </c:ext>
              </c:extLst>
            </c:dLbl>
            <c:dLbl>
              <c:idx val="29"/>
              <c:layout>
                <c:manualLayout>
                  <c:x val="-2.1288635654074305E-2"/>
                  <c:y val="4.0835777326672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AFB-4017-9759-A88CF94724E1}"/>
                </c:ext>
              </c:extLst>
            </c:dLbl>
            <c:dLbl>
              <c:idx val="30"/>
              <c:layout>
                <c:manualLayout>
                  <c:x val="-1.3189322127070288E-2"/>
                  <c:y val="4.08361193033524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62-4778-883D-B7649D28D937}"/>
                </c:ext>
              </c:extLst>
            </c:dLbl>
            <c:dLbl>
              <c:idx val="31"/>
              <c:layout>
                <c:manualLayout>
                  <c:x val="-5.6012959476257884E-4"/>
                  <c:y val="3.21499116332259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6D0-449F-8AF9-0E32DFE599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8'!$B$23:$AG$24</c:f>
              <c:multiLvlStrCache>
                <c:ptCount val="32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V</c:v>
                  </c:pt>
                  <c:pt idx="17">
                    <c:v>VI</c:v>
                  </c:pt>
                  <c:pt idx="18">
                    <c:v>VII</c:v>
                  </c:pt>
                  <c:pt idx="19">
                    <c:v>VIII</c:v>
                  </c:pt>
                  <c:pt idx="20">
                    <c:v>IX</c:v>
                  </c:pt>
                  <c:pt idx="21">
                    <c:v>X</c:v>
                  </c:pt>
                  <c:pt idx="22">
                    <c:v>XI</c:v>
                  </c:pt>
                  <c:pt idx="23">
                    <c:v>XII</c:v>
                  </c:pt>
                  <c:pt idx="24">
                    <c:v>I</c:v>
                  </c:pt>
                  <c:pt idx="25">
                    <c:v>II</c:v>
                  </c:pt>
                  <c:pt idx="26">
                    <c:v>III</c:v>
                  </c:pt>
                  <c:pt idx="27">
                    <c:v>IV</c:v>
                  </c:pt>
                  <c:pt idx="28">
                    <c:v>V</c:v>
                  </c:pt>
                  <c:pt idx="29">
                    <c:v>VI</c:v>
                  </c:pt>
                  <c:pt idx="30">
                    <c:v>VII</c:v>
                  </c:pt>
                  <c:pt idx="31">
                    <c:v>VIII</c:v>
                  </c:pt>
                </c:lvl>
                <c:lvl>
                  <c:pt idx="0">
                    <c:v>2021</c:v>
                  </c:pt>
                  <c:pt idx="12">
                    <c:v>2022</c:v>
                  </c:pt>
                  <c:pt idx="24">
                    <c:v>2023</c:v>
                  </c:pt>
                </c:lvl>
              </c:multiLvlStrCache>
            </c:multiLvlStrRef>
          </c:cat>
          <c:val>
            <c:numRef>
              <c:f>'Figura 8'!$B$26:$AG$26</c:f>
              <c:numCache>
                <c:formatCode>#,##0.0</c:formatCode>
                <c:ptCount val="32"/>
                <c:pt idx="0">
                  <c:v>105.14366410240868</c:v>
                </c:pt>
                <c:pt idx="1">
                  <c:v>107.56077192573727</c:v>
                </c:pt>
                <c:pt idx="2">
                  <c:v>125.88605526903886</c:v>
                </c:pt>
                <c:pt idx="3">
                  <c:v>196.84765533007069</c:v>
                </c:pt>
                <c:pt idx="4">
                  <c:v>171.05720800538208</c:v>
                </c:pt>
                <c:pt idx="5">
                  <c:v>142.58661575531545</c:v>
                </c:pt>
                <c:pt idx="6">
                  <c:v>113.15935709199938</c:v>
                </c:pt>
                <c:pt idx="7">
                  <c:v>132.58828425602752</c:v>
                </c:pt>
                <c:pt idx="8">
                  <c:v>132.03828597207149</c:v>
                </c:pt>
                <c:pt idx="9">
                  <c:v>131.0476458490858</c:v>
                </c:pt>
                <c:pt idx="10">
                  <c:v>134.15801375299989</c:v>
                </c:pt>
                <c:pt idx="11">
                  <c:v>132.94448949123316</c:v>
                </c:pt>
                <c:pt idx="12">
                  <c:v>155.66316373900662</c:v>
                </c:pt>
                <c:pt idx="13">
                  <c:v>128.31679197795137</c:v>
                </c:pt>
                <c:pt idx="14">
                  <c:v>118.765783058918</c:v>
                </c:pt>
                <c:pt idx="15">
                  <c:v>137.03819786880473</c:v>
                </c:pt>
                <c:pt idx="16">
                  <c:v>137.1454219365863</c:v>
                </c:pt>
                <c:pt idx="17">
                  <c:v>130.31690711002199</c:v>
                </c:pt>
                <c:pt idx="18">
                  <c:v>135.42152646798874</c:v>
                </c:pt>
                <c:pt idx="19">
                  <c:v>135.66145895856928</c:v>
                </c:pt>
                <c:pt idx="20">
                  <c:v>125.76631957631956</c:v>
                </c:pt>
                <c:pt idx="21">
                  <c:v>116.13527069403568</c:v>
                </c:pt>
                <c:pt idx="22">
                  <c:v>122.35541764637607</c:v>
                </c:pt>
                <c:pt idx="23">
                  <c:v>115.85939196955289</c:v>
                </c:pt>
                <c:pt idx="24" formatCode="0.0">
                  <c:v>117.96075072735046</c:v>
                </c:pt>
                <c:pt idx="25" formatCode="0.0">
                  <c:v>112.46174232268726</c:v>
                </c:pt>
                <c:pt idx="26" formatCode="0.0">
                  <c:v>109.73070149283291</c:v>
                </c:pt>
                <c:pt idx="27" formatCode="0.0">
                  <c:v>89.607651676701252</c:v>
                </c:pt>
                <c:pt idx="28" formatCode="0.0">
                  <c:v>91.780546711204167</c:v>
                </c:pt>
                <c:pt idx="29" formatCode="0.0">
                  <c:v>86.566305640625586</c:v>
                </c:pt>
                <c:pt idx="30" formatCode="0.0">
                  <c:v>83.980952716922332</c:v>
                </c:pt>
                <c:pt idx="31" formatCode="0.0">
                  <c:v>89.56886709243058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7DC5-4341-8624-B7AE9C65483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8075776"/>
        <c:axId val="126082368"/>
      </c:lineChart>
      <c:catAx>
        <c:axId val="128075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6082368"/>
        <c:crossesAt val="30"/>
        <c:auto val="1"/>
        <c:lblAlgn val="ctr"/>
        <c:lblOffset val="100"/>
        <c:noMultiLvlLbl val="0"/>
      </c:catAx>
      <c:valAx>
        <c:axId val="126082368"/>
        <c:scaling>
          <c:orientation val="minMax"/>
          <c:max val="240"/>
          <c:min val="30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8075776"/>
        <c:crosses val="autoZero"/>
        <c:crossBetween val="between"/>
        <c:majorUnit val="30"/>
        <c:minorUnit val="6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1869144291235897E-2"/>
          <c:y val="0.93370396497048047"/>
          <c:w val="0.93252348122114592"/>
          <c:h val="5.4448278710923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 baseline="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0</xdr:rowOff>
    </xdr:from>
    <xdr:to>
      <xdr:col>13</xdr:col>
      <xdr:colOff>19050</xdr:colOff>
      <xdr:row>19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0</xdr:rowOff>
    </xdr:from>
    <xdr:to>
      <xdr:col>13</xdr:col>
      <xdr:colOff>19050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0.06059</cdr:x>
      <cdr:y>0.00369</cdr:y>
    </cdr:from>
    <cdr:to>
      <cdr:x>0.20897</cdr:x>
      <cdr:y>0.38923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64152" y="9525"/>
          <a:ext cx="891805" cy="9951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20</xdr:col>
      <xdr:colOff>247649</xdr:colOff>
      <xdr:row>21</xdr:row>
      <xdr:rowOff>114301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0.05794</cdr:x>
      <cdr:y>0.00326</cdr:y>
    </cdr:from>
    <cdr:to>
      <cdr:x>0.11287</cdr:x>
      <cdr:y>0.08143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9525"/>
          <a:ext cx="695326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9525</xdr:rowOff>
    </xdr:from>
    <xdr:to>
      <xdr:col>7</xdr:col>
      <xdr:colOff>0</xdr:colOff>
      <xdr:row>19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2</xdr:row>
      <xdr:rowOff>57150</xdr:rowOff>
    </xdr:from>
    <xdr:to>
      <xdr:col>6</xdr:col>
      <xdr:colOff>1000124</xdr:colOff>
      <xdr:row>20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0.04545</cdr:x>
      <cdr:y>0</cdr:y>
    </cdr:from>
    <cdr:to>
      <cdr:x>0.21446</cdr:x>
      <cdr:y>0.35688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8384" y="0"/>
          <a:ext cx="1035114" cy="10129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28574</xdr:rowOff>
    </xdr:from>
    <xdr:to>
      <xdr:col>7</xdr:col>
      <xdr:colOff>76200</xdr:colOff>
      <xdr:row>22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2</xdr:row>
      <xdr:rowOff>95251</xdr:rowOff>
    </xdr:from>
    <xdr:to>
      <xdr:col>8</xdr:col>
      <xdr:colOff>66675</xdr:colOff>
      <xdr:row>23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95251</xdr:rowOff>
    </xdr:from>
    <xdr:to>
      <xdr:col>1</xdr:col>
      <xdr:colOff>733424</xdr:colOff>
      <xdr:row>24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BE750AD-0CB5-4061-A52F-83E4C10309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2</xdr:row>
      <xdr:rowOff>19049</xdr:rowOff>
    </xdr:from>
    <xdr:to>
      <xdr:col>13</xdr:col>
      <xdr:colOff>9525</xdr:colOff>
      <xdr:row>20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0.04716</cdr:x>
      <cdr:y>0</cdr:y>
    </cdr:from>
    <cdr:to>
      <cdr:x>0.1932</cdr:x>
      <cdr:y>0.32542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527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o-RO" sz="8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milioane dolari SUA</a:t>
          </a:r>
          <a:endParaRPr lang="en-US" sz="800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0.03771</cdr:x>
      <cdr:y>0</cdr:y>
    </cdr:from>
    <cdr:to>
      <cdr:x>0.1825</cdr:x>
      <cdr:y>0.35821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8125" y="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19048</xdr:rowOff>
    </xdr:from>
    <xdr:to>
      <xdr:col>6</xdr:col>
      <xdr:colOff>47625</xdr:colOff>
      <xdr:row>24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0.05882</cdr:x>
      <cdr:y>0</cdr:y>
    </cdr:from>
    <cdr:to>
      <cdr:x>0.21569</cdr:x>
      <cdr:y>0.10028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1791" y="0"/>
          <a:ext cx="1098228" cy="3429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milioane dolari SUA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114299</xdr:rowOff>
    </xdr:from>
    <xdr:to>
      <xdr:col>19</xdr:col>
      <xdr:colOff>209551</xdr:colOff>
      <xdr:row>20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0.05117</cdr:x>
      <cdr:y>2.94081E-7</cdr:y>
    </cdr:from>
    <cdr:to>
      <cdr:x>0.07945</cdr:x>
      <cdr:y>0.06723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533698" y="1"/>
          <a:ext cx="29498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19050</xdr:rowOff>
    </xdr:from>
    <xdr:to>
      <xdr:col>7</xdr:col>
      <xdr:colOff>19050</xdr:colOff>
      <xdr:row>20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28575</xdr:rowOff>
    </xdr:from>
    <xdr:to>
      <xdr:col>6</xdr:col>
      <xdr:colOff>1038225</xdr:colOff>
      <xdr:row>19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0.05889</cdr:x>
      <cdr:y>3.72294E-7</cdr:y>
    </cdr:from>
    <cdr:to>
      <cdr:x>0.10817</cdr:x>
      <cdr:y>0.07092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6725" y="1"/>
          <a:ext cx="390525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</xdr:row>
      <xdr:rowOff>85725</xdr:rowOff>
    </xdr:from>
    <xdr:to>
      <xdr:col>7</xdr:col>
      <xdr:colOff>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726042</xdr:colOff>
      <xdr:row>2</xdr:row>
      <xdr:rowOff>133350</xdr:rowOff>
    </xdr:from>
    <xdr:to>
      <xdr:col>7</xdr:col>
      <xdr:colOff>323850</xdr:colOff>
      <xdr:row>23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76200</xdr:rowOff>
    </xdr:from>
    <xdr:to>
      <xdr:col>1</xdr:col>
      <xdr:colOff>733424</xdr:colOff>
      <xdr:row>23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C22BED9-C810-45EF-987A-C0626D8FCA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8" displayName="Table18" ref="A27:D33" totalsRowShown="0" headerRowDxfId="8" dataDxfId="6" headerRowBorderDxfId="7" tableBorderDxfId="5" totalsRowBorderDxfId="4">
  <tableColumns count="4">
    <tableColumn id="1" xr3:uid="{00000000-0010-0000-0000-000001000000}" name="Perioada" dataDxfId="3"/>
    <tableColumn id="2" xr3:uid="{00000000-0010-0000-0000-000002000000}" name="Export" dataDxfId="2"/>
    <tableColumn id="4" xr3:uid="{00000000-0010-0000-0000-000004000000}" name="Import" dataDxfId="1"/>
    <tableColumn id="3" xr3:uid="{00000000-0010-0000-0000-000003000000}" name="Balanţa Comercială" dataDxfId="0" dataCellStyle="Normal 5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31"/>
  <sheetViews>
    <sheetView tabSelected="1" zoomScaleNormal="100" workbookViewId="0">
      <selection activeCell="A2" sqref="A2:M2"/>
    </sheetView>
  </sheetViews>
  <sheetFormatPr defaultColWidth="9.109375" defaultRowHeight="11.4" x14ac:dyDescent="0.2"/>
  <cols>
    <col min="1" max="1" width="9" style="3" customWidth="1"/>
    <col min="2" max="2" width="9.5546875" style="3" customWidth="1"/>
    <col min="3" max="4" width="9.88671875" style="3" customWidth="1"/>
    <col min="5" max="5" width="9.33203125" style="3" customWidth="1"/>
    <col min="6" max="6" width="9.88671875" style="3" customWidth="1"/>
    <col min="7" max="7" width="9.109375" style="3" customWidth="1"/>
    <col min="8" max="8" width="8.6640625" style="3" customWidth="1"/>
    <col min="9" max="9" width="9.109375" style="3" customWidth="1"/>
    <col min="10" max="10" width="11" style="3" customWidth="1"/>
    <col min="11" max="11" width="10.109375" style="3" customWidth="1"/>
    <col min="12" max="12" width="9.88671875" style="3" customWidth="1"/>
    <col min="13" max="13" width="10.44140625" style="3" customWidth="1"/>
    <col min="14" max="14" width="10.109375" style="3" bestFit="1" customWidth="1"/>
    <col min="15" max="15" width="9.33203125" style="3" bestFit="1" customWidth="1"/>
    <col min="16" max="16" width="10.109375" style="3" bestFit="1" customWidth="1"/>
    <col min="17" max="17" width="9.33203125" style="3" bestFit="1" customWidth="1"/>
    <col min="18" max="18" width="10.109375" style="3" bestFit="1" customWidth="1"/>
    <col min="19" max="19" width="9.33203125" style="3" bestFit="1" customWidth="1"/>
    <col min="20" max="20" width="10.109375" style="3" bestFit="1" customWidth="1"/>
    <col min="21" max="21" width="9.33203125" style="3" bestFit="1" customWidth="1"/>
    <col min="22" max="22" width="10.109375" style="3" bestFit="1" customWidth="1"/>
    <col min="23" max="23" width="9.33203125" style="3" bestFit="1" customWidth="1"/>
    <col min="24" max="24" width="10.109375" style="3" bestFit="1" customWidth="1"/>
    <col min="25" max="25" width="9.33203125" style="3" bestFit="1" customWidth="1"/>
    <col min="26" max="16384" width="9.109375" style="3"/>
  </cols>
  <sheetData>
    <row r="2" spans="1:13" ht="13.2" x14ac:dyDescent="0.2">
      <c r="A2" s="147" t="s">
        <v>84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</row>
    <row r="3" spans="1:13" ht="12" x14ac:dyDescent="0.2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13" ht="12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2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" x14ac:dyDescent="0.25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" x14ac:dyDescent="0.25">
      <c r="A7" s="1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2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" x14ac:dyDescent="0.25">
      <c r="A10" s="1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2" x14ac:dyDescent="0.25">
      <c r="A11" s="1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" x14ac:dyDescent="0.25">
      <c r="A12" s="1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2" x14ac:dyDescent="0.25">
      <c r="A13" s="1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2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2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21" ht="12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21" ht="12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21" ht="12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1" spans="1:21" ht="12" x14ac:dyDescent="0.25">
      <c r="A21" s="23" t="s">
        <v>0</v>
      </c>
      <c r="B21" s="37" t="s">
        <v>1</v>
      </c>
      <c r="C21" s="37" t="s">
        <v>2</v>
      </c>
      <c r="D21" s="37" t="s">
        <v>3</v>
      </c>
      <c r="E21" s="37" t="s">
        <v>4</v>
      </c>
      <c r="F21" s="37" t="s">
        <v>5</v>
      </c>
      <c r="G21" s="37" t="s">
        <v>6</v>
      </c>
      <c r="H21" s="37" t="s">
        <v>7</v>
      </c>
      <c r="I21" s="37" t="s">
        <v>8</v>
      </c>
      <c r="J21" s="37" t="s">
        <v>9</v>
      </c>
      <c r="K21" s="37" t="s">
        <v>10</v>
      </c>
      <c r="L21" s="37" t="s">
        <v>11</v>
      </c>
      <c r="M21" s="37" t="s">
        <v>12</v>
      </c>
    </row>
    <row r="22" spans="1:21" ht="12" x14ac:dyDescent="0.25">
      <c r="A22" s="28">
        <v>2018</v>
      </c>
      <c r="B22" s="33">
        <v>220.3</v>
      </c>
      <c r="C22" s="33">
        <v>215.5</v>
      </c>
      <c r="D22" s="33">
        <v>242.1</v>
      </c>
      <c r="E22" s="33">
        <v>199.7</v>
      </c>
      <c r="F22" s="33">
        <v>223</v>
      </c>
      <c r="G22" s="33">
        <v>214.1</v>
      </c>
      <c r="H22" s="33">
        <v>218.8</v>
      </c>
      <c r="I22" s="33">
        <v>218.6</v>
      </c>
      <c r="J22" s="33">
        <v>207.3</v>
      </c>
      <c r="K22" s="33">
        <v>259</v>
      </c>
      <c r="L22" s="33">
        <v>268.89999999999998</v>
      </c>
      <c r="M22" s="34">
        <v>218.8</v>
      </c>
    </row>
    <row r="23" spans="1:21" ht="12" x14ac:dyDescent="0.25">
      <c r="A23" s="28">
        <v>2019</v>
      </c>
      <c r="B23" s="33">
        <v>234.3</v>
      </c>
      <c r="C23" s="33">
        <v>241.4</v>
      </c>
      <c r="D23" s="33">
        <v>257.2</v>
      </c>
      <c r="E23" s="33">
        <v>215.6</v>
      </c>
      <c r="F23" s="33">
        <v>210.5</v>
      </c>
      <c r="G23" s="33">
        <v>202.2</v>
      </c>
      <c r="H23" s="33">
        <v>220.2</v>
      </c>
      <c r="I23" s="33">
        <v>205.8</v>
      </c>
      <c r="J23" s="33">
        <v>238.8</v>
      </c>
      <c r="K23" s="33">
        <v>268.3</v>
      </c>
      <c r="L23" s="33">
        <v>266.60000000000002</v>
      </c>
      <c r="M23" s="34">
        <v>218.3</v>
      </c>
    </row>
    <row r="24" spans="1:21" ht="12" x14ac:dyDescent="0.25">
      <c r="A24" s="28">
        <v>2020</v>
      </c>
      <c r="B24" s="33">
        <v>219.5</v>
      </c>
      <c r="C24" s="33">
        <v>245.3</v>
      </c>
      <c r="D24" s="33">
        <v>210.2</v>
      </c>
      <c r="E24" s="33">
        <v>149.80000000000001</v>
      </c>
      <c r="F24" s="33">
        <v>155.69999999999999</v>
      </c>
      <c r="G24" s="33">
        <v>189.6</v>
      </c>
      <c r="H24" s="33">
        <v>191.1</v>
      </c>
      <c r="I24" s="33">
        <v>163.9</v>
      </c>
      <c r="J24" s="33">
        <v>212.3</v>
      </c>
      <c r="K24" s="33">
        <v>249.4</v>
      </c>
      <c r="L24" s="33">
        <v>262</v>
      </c>
      <c r="M24" s="34">
        <v>218.3</v>
      </c>
    </row>
    <row r="25" spans="1:21" ht="12" x14ac:dyDescent="0.25">
      <c r="A25" s="28">
        <v>2021</v>
      </c>
      <c r="B25" s="33">
        <v>198.4</v>
      </c>
      <c r="C25" s="33">
        <v>227</v>
      </c>
      <c r="D25" s="33">
        <v>259.3</v>
      </c>
      <c r="E25" s="33">
        <v>218.2</v>
      </c>
      <c r="F25" s="33">
        <v>201.7</v>
      </c>
      <c r="G25" s="33">
        <v>226.8</v>
      </c>
      <c r="H25" s="33">
        <v>240.7</v>
      </c>
      <c r="I25" s="33">
        <v>236.3</v>
      </c>
      <c r="J25" s="33">
        <v>294.89999999999998</v>
      </c>
      <c r="K25" s="15">
        <v>352.2</v>
      </c>
      <c r="L25" s="33">
        <v>363.9</v>
      </c>
      <c r="M25" s="34">
        <v>325</v>
      </c>
    </row>
    <row r="26" spans="1:21" ht="12" x14ac:dyDescent="0.25">
      <c r="A26" s="28">
        <v>2022</v>
      </c>
      <c r="B26" s="33">
        <v>330.4</v>
      </c>
      <c r="C26" s="33">
        <v>336.5</v>
      </c>
      <c r="D26" s="33">
        <v>395.8</v>
      </c>
      <c r="E26" s="33">
        <v>396.3</v>
      </c>
      <c r="F26" s="33">
        <v>416</v>
      </c>
      <c r="G26" s="33">
        <v>416.4</v>
      </c>
      <c r="H26" s="33">
        <v>338.2</v>
      </c>
      <c r="I26" s="33">
        <v>329.4</v>
      </c>
      <c r="J26" s="33">
        <v>318.8</v>
      </c>
      <c r="K26" s="33">
        <v>352</v>
      </c>
      <c r="L26" s="33">
        <v>355.8</v>
      </c>
      <c r="M26" s="34">
        <v>349.5</v>
      </c>
    </row>
    <row r="27" spans="1:21" ht="12" x14ac:dyDescent="0.25">
      <c r="A27" s="29">
        <v>2023</v>
      </c>
      <c r="B27" s="10">
        <v>331.1</v>
      </c>
      <c r="C27" s="10">
        <v>356</v>
      </c>
      <c r="D27" s="10">
        <v>384.9</v>
      </c>
      <c r="E27" s="10">
        <v>317.10000000000002</v>
      </c>
      <c r="F27" s="35">
        <v>336.5</v>
      </c>
      <c r="G27" s="35">
        <v>316.60000000000002</v>
      </c>
      <c r="H27" s="35">
        <v>304.2</v>
      </c>
      <c r="I27" s="35">
        <v>321.60000000000002</v>
      </c>
      <c r="J27" s="35"/>
      <c r="K27" s="35"/>
      <c r="L27" s="35"/>
      <c r="M27" s="36"/>
    </row>
    <row r="28" spans="1:21" x14ac:dyDescent="0.2">
      <c r="D28" s="6"/>
      <c r="E28" s="6"/>
    </row>
    <row r="31" spans="1:21" ht="15.6" x14ac:dyDescent="0.3">
      <c r="B31" s="42"/>
      <c r="C31" s="42"/>
      <c r="D31" s="42"/>
      <c r="E31" s="42"/>
      <c r="F31" s="42"/>
      <c r="G31" s="42"/>
      <c r="H31" s="42"/>
      <c r="I31" s="46"/>
      <c r="J31" s="43"/>
      <c r="K31" s="42"/>
      <c r="L31" s="42"/>
      <c r="M31" s="42"/>
      <c r="N31" s="42"/>
      <c r="O31" s="46"/>
      <c r="P31" s="42"/>
      <c r="Q31" s="42"/>
      <c r="R31" s="43"/>
      <c r="S31" s="42"/>
      <c r="T31" s="44"/>
      <c r="U31" s="45"/>
    </row>
  </sheetData>
  <mergeCells count="1">
    <mergeCell ref="A2:M2"/>
  </mergeCells>
  <pageMargins left="0.7" right="0.7" top="0.75" bottom="0.75" header="0.3" footer="0.3"/>
  <pageSetup paperSize="9" orientation="portrait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M41"/>
  <sheetViews>
    <sheetView workbookViewId="0">
      <selection activeCell="A2" sqref="A2:G2"/>
    </sheetView>
  </sheetViews>
  <sheetFormatPr defaultColWidth="9.109375" defaultRowHeight="11.4" x14ac:dyDescent="0.2"/>
  <cols>
    <col min="1" max="1" width="24" style="3" customWidth="1"/>
    <col min="2" max="2" width="14.33203125" style="3" customWidth="1"/>
    <col min="3" max="3" width="14.88671875" style="3" customWidth="1"/>
    <col min="4" max="4" width="14.5546875" style="3" customWidth="1"/>
    <col min="5" max="5" width="14.109375" style="3" customWidth="1"/>
    <col min="6" max="6" width="14.5546875" style="3" customWidth="1"/>
    <col min="7" max="7" width="14.6640625" style="3" customWidth="1"/>
    <col min="8" max="16384" width="9.109375" style="3"/>
  </cols>
  <sheetData>
    <row r="2" spans="1:13" ht="13.2" x14ac:dyDescent="0.2">
      <c r="A2" s="153" t="s">
        <v>107</v>
      </c>
      <c r="B2" s="153"/>
      <c r="C2" s="153"/>
      <c r="D2" s="153"/>
      <c r="E2" s="153"/>
      <c r="F2" s="153"/>
      <c r="G2" s="153"/>
      <c r="H2" s="39"/>
      <c r="I2" s="39"/>
      <c r="J2" s="39"/>
      <c r="K2" s="39"/>
      <c r="L2" s="39"/>
      <c r="M2" s="39"/>
    </row>
    <row r="3" spans="1:13" ht="16.5" customHeight="1" x14ac:dyDescent="0.25">
      <c r="A3" s="4"/>
      <c r="B3" s="4"/>
      <c r="C3" s="4"/>
      <c r="D3" s="4"/>
      <c r="E3" s="4"/>
      <c r="F3" s="4"/>
      <c r="G3" s="4"/>
    </row>
    <row r="4" spans="1:13" ht="16.5" customHeight="1" x14ac:dyDescent="0.25">
      <c r="A4" s="4"/>
      <c r="B4" s="4"/>
      <c r="C4" s="4"/>
      <c r="D4" s="4"/>
      <c r="E4" s="4"/>
      <c r="F4" s="4"/>
      <c r="G4" s="4"/>
    </row>
    <row r="5" spans="1:13" ht="16.5" customHeight="1" x14ac:dyDescent="0.25">
      <c r="A5" s="4"/>
      <c r="B5" s="4"/>
      <c r="C5" s="4"/>
      <c r="D5" s="4"/>
      <c r="E5" s="4"/>
      <c r="F5" s="4"/>
      <c r="G5" s="4"/>
    </row>
    <row r="6" spans="1:13" ht="16.5" customHeight="1" x14ac:dyDescent="0.25">
      <c r="A6" s="4"/>
      <c r="B6" s="4"/>
      <c r="C6" s="4"/>
      <c r="D6" s="4"/>
      <c r="E6" s="4"/>
      <c r="F6" s="4"/>
      <c r="G6" s="4"/>
    </row>
    <row r="7" spans="1:13" ht="16.5" customHeight="1" x14ac:dyDescent="0.25">
      <c r="A7" s="4"/>
      <c r="B7" s="4"/>
      <c r="C7" s="4"/>
      <c r="D7" s="4"/>
      <c r="E7" s="4"/>
      <c r="F7" s="4"/>
      <c r="G7" s="4"/>
    </row>
    <row r="8" spans="1:13" ht="16.5" customHeight="1" x14ac:dyDescent="0.25">
      <c r="A8" s="4"/>
      <c r="B8" s="4"/>
      <c r="C8" s="4"/>
      <c r="D8" s="4"/>
      <c r="E8" s="4"/>
      <c r="F8" s="4"/>
      <c r="G8" s="4"/>
    </row>
    <row r="9" spans="1:13" ht="16.5" customHeight="1" x14ac:dyDescent="0.25">
      <c r="A9" s="4"/>
      <c r="B9" s="4"/>
      <c r="C9" s="4"/>
      <c r="D9" s="4"/>
      <c r="E9" s="4"/>
      <c r="F9" s="4"/>
      <c r="G9" s="4"/>
    </row>
    <row r="10" spans="1:13" ht="16.5" customHeight="1" x14ac:dyDescent="0.25">
      <c r="A10" s="4"/>
      <c r="B10" s="4"/>
      <c r="C10" s="4"/>
      <c r="D10" s="4"/>
      <c r="E10" s="4"/>
      <c r="F10" s="4"/>
      <c r="G10" s="4"/>
    </row>
    <row r="11" spans="1:13" ht="16.5" customHeight="1" x14ac:dyDescent="0.25">
      <c r="A11" s="4"/>
      <c r="B11" s="4"/>
      <c r="C11" s="4"/>
      <c r="D11" s="4"/>
      <c r="E11" s="4"/>
      <c r="F11" s="4"/>
      <c r="G11" s="4"/>
    </row>
    <row r="12" spans="1:13" ht="16.5" customHeight="1" x14ac:dyDescent="0.25">
      <c r="A12" s="4"/>
      <c r="B12" s="4"/>
      <c r="C12" s="4"/>
      <c r="D12" s="4"/>
      <c r="E12" s="4"/>
      <c r="F12" s="4"/>
      <c r="G12" s="4"/>
    </row>
    <row r="13" spans="1:13" ht="16.5" customHeight="1" x14ac:dyDescent="0.25">
      <c r="A13" s="4"/>
      <c r="B13" s="4"/>
      <c r="C13" s="4"/>
      <c r="D13" s="4"/>
      <c r="E13" s="4"/>
      <c r="F13" s="4"/>
      <c r="G13" s="4"/>
    </row>
    <row r="14" spans="1:13" ht="16.5" customHeight="1" x14ac:dyDescent="0.25">
      <c r="A14" s="4"/>
      <c r="B14" s="4"/>
      <c r="C14" s="4"/>
      <c r="D14" s="4"/>
      <c r="E14" s="4"/>
      <c r="F14" s="4"/>
      <c r="G14" s="4"/>
    </row>
    <row r="15" spans="1:13" ht="16.5" customHeight="1" x14ac:dyDescent="0.25">
      <c r="A15" s="4"/>
      <c r="B15" s="4"/>
      <c r="C15" s="4"/>
      <c r="D15" s="4"/>
      <c r="E15" s="4"/>
      <c r="F15" s="4"/>
      <c r="G15" s="4"/>
    </row>
    <row r="16" spans="1:13" ht="16.5" customHeight="1" x14ac:dyDescent="0.25">
      <c r="A16" s="4"/>
      <c r="B16" s="4"/>
      <c r="C16" s="4"/>
      <c r="D16" s="4"/>
      <c r="E16" s="4"/>
      <c r="F16" s="4"/>
      <c r="G16" s="4"/>
    </row>
    <row r="17" spans="1:7" ht="16.5" customHeight="1" x14ac:dyDescent="0.25">
      <c r="A17" s="4"/>
      <c r="B17" s="4"/>
      <c r="C17" s="4"/>
      <c r="D17" s="4"/>
      <c r="E17" s="4"/>
      <c r="F17" s="4"/>
      <c r="G17" s="4"/>
    </row>
    <row r="18" spans="1:7" ht="16.5" customHeight="1" x14ac:dyDescent="0.25">
      <c r="A18" s="4"/>
      <c r="B18" s="4"/>
      <c r="C18" s="4"/>
      <c r="D18" s="4"/>
      <c r="E18" s="4"/>
      <c r="F18" s="4"/>
      <c r="G18" s="4"/>
    </row>
    <row r="19" spans="1:7" ht="16.5" customHeight="1" x14ac:dyDescent="0.25">
      <c r="A19" s="4"/>
      <c r="B19" s="4"/>
      <c r="C19" s="4"/>
      <c r="D19" s="4"/>
      <c r="E19" s="4"/>
      <c r="F19" s="4"/>
      <c r="G19" s="4"/>
    </row>
    <row r="20" spans="1:7" ht="16.5" customHeight="1" x14ac:dyDescent="0.25">
      <c r="A20" s="4"/>
      <c r="B20" s="4"/>
      <c r="C20" s="4"/>
      <c r="D20" s="4"/>
      <c r="E20" s="4"/>
      <c r="F20" s="4"/>
      <c r="G20" s="4"/>
    </row>
    <row r="21" spans="1:7" ht="16.5" customHeight="1" x14ac:dyDescent="0.25">
      <c r="A21" s="2"/>
      <c r="B21" s="2"/>
      <c r="C21" s="2"/>
      <c r="D21" s="2"/>
      <c r="E21" s="2"/>
      <c r="F21" s="2"/>
      <c r="G21" s="2"/>
    </row>
    <row r="22" spans="1:7" ht="16.5" customHeight="1" x14ac:dyDescent="0.25">
      <c r="A22" s="2"/>
      <c r="B22" s="2"/>
      <c r="C22" s="2"/>
      <c r="D22" s="2"/>
      <c r="E22" s="2"/>
      <c r="F22" s="2"/>
      <c r="G22" s="2"/>
    </row>
    <row r="23" spans="1:7" ht="27.75" customHeight="1" x14ac:dyDescent="0.2">
      <c r="A23" s="38" t="s">
        <v>25</v>
      </c>
      <c r="B23" s="24" t="s">
        <v>99</v>
      </c>
      <c r="C23" s="24" t="s">
        <v>100</v>
      </c>
      <c r="D23" s="24" t="s">
        <v>101</v>
      </c>
      <c r="E23" s="24" t="s">
        <v>102</v>
      </c>
      <c r="F23" s="24" t="s">
        <v>103</v>
      </c>
      <c r="G23" s="24" t="s">
        <v>104</v>
      </c>
    </row>
    <row r="24" spans="1:7" ht="12" x14ac:dyDescent="0.25">
      <c r="A24" s="30" t="s">
        <v>26</v>
      </c>
      <c r="B24" s="130">
        <v>7.7</v>
      </c>
      <c r="C24" s="119">
        <v>7.4</v>
      </c>
      <c r="D24" s="119">
        <v>2.8</v>
      </c>
      <c r="E24" s="119">
        <v>1.6</v>
      </c>
      <c r="F24" s="119">
        <v>2.1</v>
      </c>
      <c r="G24" s="131">
        <v>3</v>
      </c>
    </row>
    <row r="25" spans="1:7" ht="12" x14ac:dyDescent="0.25">
      <c r="A25" s="31" t="s">
        <v>27</v>
      </c>
      <c r="B25" s="132">
        <v>3.9</v>
      </c>
      <c r="C25" s="143">
        <v>4.8</v>
      </c>
      <c r="D25" s="143">
        <v>4.8</v>
      </c>
      <c r="E25" s="143">
        <v>5.3</v>
      </c>
      <c r="F25" s="143">
        <v>4.8</v>
      </c>
      <c r="G25" s="133">
        <v>5.6</v>
      </c>
    </row>
    <row r="26" spans="1:7" ht="12" x14ac:dyDescent="0.25">
      <c r="A26" s="31" t="s">
        <v>28</v>
      </c>
      <c r="B26" s="132">
        <v>78.7</v>
      </c>
      <c r="C26" s="143">
        <v>76.8</v>
      </c>
      <c r="D26" s="143">
        <v>85.9</v>
      </c>
      <c r="E26" s="143">
        <v>86.4</v>
      </c>
      <c r="F26" s="143">
        <v>84.7</v>
      </c>
      <c r="G26" s="133">
        <v>83.4</v>
      </c>
    </row>
    <row r="27" spans="1:7" ht="12" x14ac:dyDescent="0.25">
      <c r="A27" s="31" t="s">
        <v>29</v>
      </c>
      <c r="B27" s="132">
        <v>1.9</v>
      </c>
      <c r="C27" s="143">
        <v>1.6</v>
      </c>
      <c r="D27" s="143">
        <v>2.4</v>
      </c>
      <c r="E27" s="143">
        <v>2.2999999999999998</v>
      </c>
      <c r="F27" s="143">
        <v>2.6</v>
      </c>
      <c r="G27" s="133">
        <v>2.6</v>
      </c>
    </row>
    <row r="28" spans="1:7" ht="12" x14ac:dyDescent="0.25">
      <c r="A28" s="31" t="s">
        <v>45</v>
      </c>
      <c r="B28" s="132">
        <v>0.1</v>
      </c>
      <c r="C28" s="143">
        <v>0.1</v>
      </c>
      <c r="D28" s="143">
        <v>0.2</v>
      </c>
      <c r="E28" s="143">
        <v>0.3</v>
      </c>
      <c r="F28" s="143">
        <v>0.2</v>
      </c>
      <c r="G28" s="133">
        <v>0.3</v>
      </c>
    </row>
    <row r="29" spans="1:7" ht="12" x14ac:dyDescent="0.25">
      <c r="A29" s="31" t="s">
        <v>46</v>
      </c>
      <c r="B29" s="132">
        <v>7</v>
      </c>
      <c r="C29" s="143">
        <v>8.6999999999999993</v>
      </c>
      <c r="D29" s="143">
        <v>3.3</v>
      </c>
      <c r="E29" s="143">
        <v>3.6</v>
      </c>
      <c r="F29" s="143">
        <v>4.9000000000000004</v>
      </c>
      <c r="G29" s="133">
        <v>4.5</v>
      </c>
    </row>
    <row r="30" spans="1:7" ht="12" x14ac:dyDescent="0.25">
      <c r="A30" s="32" t="s">
        <v>47</v>
      </c>
      <c r="B30" s="118">
        <v>0.7</v>
      </c>
      <c r="C30" s="121">
        <v>0.6</v>
      </c>
      <c r="D30" s="121">
        <v>0.6</v>
      </c>
      <c r="E30" s="121">
        <v>0.5</v>
      </c>
      <c r="F30" s="121">
        <v>0.7</v>
      </c>
      <c r="G30" s="134">
        <v>0.6</v>
      </c>
    </row>
    <row r="35" spans="2:7" ht="13.8" x14ac:dyDescent="0.2">
      <c r="B35" s="50"/>
      <c r="C35" s="50"/>
      <c r="D35" s="51"/>
      <c r="E35" s="51"/>
      <c r="F35" s="51"/>
      <c r="G35" s="51"/>
    </row>
    <row r="36" spans="2:7" ht="13.8" x14ac:dyDescent="0.2">
      <c r="B36" s="50"/>
      <c r="C36" s="50"/>
      <c r="D36" s="51"/>
      <c r="E36" s="51"/>
      <c r="F36" s="51"/>
      <c r="G36" s="51"/>
    </row>
    <row r="37" spans="2:7" ht="13.8" x14ac:dyDescent="0.2">
      <c r="B37" s="50"/>
      <c r="C37" s="50"/>
      <c r="D37" s="51"/>
      <c r="E37" s="51"/>
      <c r="F37" s="51"/>
      <c r="G37" s="51"/>
    </row>
    <row r="38" spans="2:7" ht="13.8" x14ac:dyDescent="0.2">
      <c r="B38" s="50"/>
      <c r="C38" s="50"/>
      <c r="D38" s="51"/>
      <c r="E38" s="51"/>
      <c r="F38" s="51"/>
      <c r="G38" s="51"/>
    </row>
    <row r="39" spans="2:7" ht="13.8" x14ac:dyDescent="0.2">
      <c r="B39" s="50"/>
      <c r="C39" s="50"/>
      <c r="D39" s="51"/>
      <c r="E39" s="51"/>
      <c r="F39" s="51"/>
      <c r="G39" s="51"/>
    </row>
    <row r="40" spans="2:7" ht="13.8" x14ac:dyDescent="0.2">
      <c r="B40" s="50"/>
      <c r="C40" s="50"/>
      <c r="D40" s="51"/>
      <c r="E40" s="51"/>
      <c r="F40" s="51"/>
      <c r="G40" s="51"/>
    </row>
    <row r="41" spans="2:7" ht="13.8" x14ac:dyDescent="0.2">
      <c r="B41" s="50"/>
      <c r="C41" s="50"/>
      <c r="D41" s="51"/>
      <c r="E41" s="51"/>
      <c r="F41" s="51"/>
      <c r="G41" s="51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M32"/>
  <sheetViews>
    <sheetView workbookViewId="0">
      <selection activeCell="A2" sqref="A2:G2"/>
    </sheetView>
  </sheetViews>
  <sheetFormatPr defaultColWidth="9.109375" defaultRowHeight="11.4" x14ac:dyDescent="0.2"/>
  <cols>
    <col min="1" max="1" width="26.44140625" style="3" bestFit="1" customWidth="1"/>
    <col min="2" max="2" width="14.88671875" style="3" customWidth="1"/>
    <col min="3" max="3" width="15.109375" style="3" customWidth="1"/>
    <col min="4" max="4" width="14.88671875" style="3" customWidth="1"/>
    <col min="5" max="6" width="14.5546875" style="3" customWidth="1"/>
    <col min="7" max="7" width="14.88671875" style="3" customWidth="1"/>
    <col min="8" max="16384" width="9.109375" style="3"/>
  </cols>
  <sheetData>
    <row r="2" spans="1:13" ht="13.2" x14ac:dyDescent="0.2">
      <c r="A2" s="162" t="s">
        <v>111</v>
      </c>
      <c r="B2" s="162"/>
      <c r="C2" s="162"/>
      <c r="D2" s="162"/>
      <c r="E2" s="162"/>
      <c r="F2" s="162"/>
      <c r="G2" s="162"/>
    </row>
    <row r="3" spans="1:13" x14ac:dyDescent="0.2">
      <c r="A3" s="40"/>
      <c r="B3" s="40"/>
      <c r="C3" s="40"/>
      <c r="D3" s="40"/>
      <c r="E3" s="40"/>
      <c r="F3" s="40"/>
      <c r="G3" s="40"/>
      <c r="H3" s="39"/>
      <c r="I3" s="39"/>
      <c r="J3" s="39"/>
      <c r="K3" s="39"/>
      <c r="L3" s="39"/>
      <c r="M3" s="39"/>
    </row>
    <row r="4" spans="1:13" ht="12" x14ac:dyDescent="0.25">
      <c r="A4" s="4"/>
      <c r="B4" s="4"/>
      <c r="C4" s="4"/>
      <c r="D4" s="4"/>
      <c r="E4" s="4"/>
      <c r="F4" s="4"/>
      <c r="G4" s="4"/>
    </row>
    <row r="5" spans="1:13" ht="12" x14ac:dyDescent="0.25">
      <c r="A5" s="4"/>
      <c r="B5" s="4"/>
      <c r="C5" s="4"/>
      <c r="D5" s="4"/>
      <c r="E5" s="4"/>
      <c r="F5" s="4"/>
      <c r="G5" s="4"/>
    </row>
    <row r="6" spans="1:13" ht="12" x14ac:dyDescent="0.25">
      <c r="A6" s="4"/>
      <c r="B6" s="4"/>
      <c r="C6" s="4"/>
      <c r="D6" s="4"/>
      <c r="E6" s="4"/>
      <c r="F6" s="4"/>
      <c r="G6" s="4"/>
    </row>
    <row r="7" spans="1:13" ht="12" x14ac:dyDescent="0.25">
      <c r="A7" s="4"/>
      <c r="B7" s="4"/>
      <c r="C7" s="4"/>
      <c r="D7" s="4"/>
      <c r="E7" s="4"/>
      <c r="F7" s="4"/>
      <c r="G7" s="4"/>
    </row>
    <row r="8" spans="1:13" ht="12" x14ac:dyDescent="0.25">
      <c r="A8" s="4"/>
      <c r="B8" s="4"/>
      <c r="C8" s="4"/>
      <c r="D8" s="4"/>
      <c r="E8" s="4"/>
      <c r="F8" s="4"/>
      <c r="G8" s="4"/>
    </row>
    <row r="9" spans="1:13" ht="12" x14ac:dyDescent="0.25">
      <c r="A9" s="4"/>
      <c r="B9" s="4"/>
      <c r="C9" s="4"/>
      <c r="D9" s="4"/>
      <c r="E9" s="4"/>
      <c r="F9" s="4"/>
      <c r="G9" s="4"/>
    </row>
    <row r="10" spans="1:13" ht="12" x14ac:dyDescent="0.25">
      <c r="A10" s="4"/>
      <c r="B10" s="4"/>
      <c r="C10" s="4"/>
      <c r="D10" s="4"/>
      <c r="E10" s="4"/>
      <c r="F10" s="4"/>
      <c r="G10" s="4"/>
    </row>
    <row r="11" spans="1:13" ht="12" x14ac:dyDescent="0.25">
      <c r="A11" s="4"/>
      <c r="B11" s="4"/>
      <c r="C11" s="4"/>
      <c r="D11" s="4"/>
      <c r="E11" s="4"/>
      <c r="F11" s="4"/>
      <c r="G11" s="4"/>
    </row>
    <row r="12" spans="1:13" ht="12" x14ac:dyDescent="0.25">
      <c r="A12" s="4"/>
      <c r="B12" s="4"/>
      <c r="C12" s="4"/>
      <c r="D12" s="4"/>
      <c r="E12" s="4"/>
      <c r="F12" s="4"/>
      <c r="G12" s="4"/>
    </row>
    <row r="13" spans="1:13" ht="12" x14ac:dyDescent="0.25">
      <c r="A13" s="4"/>
      <c r="B13" s="4"/>
      <c r="C13" s="4"/>
      <c r="D13" s="4"/>
      <c r="E13" s="4"/>
      <c r="F13" s="4"/>
      <c r="G13" s="4"/>
    </row>
    <row r="14" spans="1:13" ht="12" x14ac:dyDescent="0.25">
      <c r="A14" s="4"/>
      <c r="B14" s="4"/>
      <c r="C14" s="4"/>
      <c r="D14" s="4"/>
      <c r="E14" s="4"/>
      <c r="F14" s="4"/>
      <c r="G14" s="4"/>
    </row>
    <row r="15" spans="1:13" ht="12" x14ac:dyDescent="0.25">
      <c r="A15" s="4"/>
      <c r="B15" s="4"/>
      <c r="C15" s="4"/>
      <c r="D15" s="4"/>
      <c r="E15" s="4"/>
      <c r="F15" s="4"/>
      <c r="G15" s="4"/>
    </row>
    <row r="16" spans="1:13" ht="12" x14ac:dyDescent="0.25">
      <c r="A16" s="4"/>
      <c r="B16" s="4"/>
      <c r="C16" s="4"/>
      <c r="D16" s="4"/>
      <c r="E16" s="4"/>
      <c r="F16" s="4"/>
      <c r="G16" s="4"/>
    </row>
    <row r="17" spans="1:7" ht="12" x14ac:dyDescent="0.25">
      <c r="A17" s="4"/>
      <c r="B17" s="4"/>
      <c r="C17" s="4"/>
      <c r="D17" s="4"/>
      <c r="E17" s="4"/>
      <c r="F17" s="4"/>
      <c r="G17" s="4"/>
    </row>
    <row r="18" spans="1:7" ht="12" x14ac:dyDescent="0.25">
      <c r="A18" s="4"/>
      <c r="B18" s="4"/>
      <c r="C18" s="4"/>
      <c r="D18" s="4"/>
      <c r="E18" s="4"/>
      <c r="F18" s="4"/>
      <c r="G18" s="4"/>
    </row>
    <row r="19" spans="1:7" ht="12" x14ac:dyDescent="0.25">
      <c r="A19" s="5"/>
    </row>
    <row r="20" spans="1:7" ht="12" x14ac:dyDescent="0.25">
      <c r="A20" s="5"/>
    </row>
    <row r="21" spans="1:7" ht="12" x14ac:dyDescent="0.25">
      <c r="A21" s="5"/>
    </row>
    <row r="22" spans="1:7" ht="29.25" customHeight="1" x14ac:dyDescent="0.2">
      <c r="A22" s="20"/>
      <c r="B22" s="9" t="s">
        <v>104</v>
      </c>
      <c r="C22" s="9" t="s">
        <v>103</v>
      </c>
      <c r="D22" s="9" t="s">
        <v>102</v>
      </c>
      <c r="E22" s="9" t="s">
        <v>101</v>
      </c>
      <c r="F22" s="9" t="s">
        <v>100</v>
      </c>
      <c r="G22" s="9" t="s">
        <v>99</v>
      </c>
    </row>
    <row r="23" spans="1:7" ht="15" customHeight="1" x14ac:dyDescent="0.25">
      <c r="A23" s="16" t="s">
        <v>48</v>
      </c>
      <c r="B23" s="130">
        <v>49.5</v>
      </c>
      <c r="C23" s="119">
        <v>49</v>
      </c>
      <c r="D23" s="119">
        <v>45.8</v>
      </c>
      <c r="E23" s="119">
        <v>46.5</v>
      </c>
      <c r="F23" s="119">
        <v>46.1</v>
      </c>
      <c r="G23" s="119">
        <v>48.8</v>
      </c>
    </row>
    <row r="24" spans="1:7" ht="15" customHeight="1" x14ac:dyDescent="0.25">
      <c r="A24" s="17" t="s">
        <v>49</v>
      </c>
      <c r="B24" s="132">
        <v>24</v>
      </c>
      <c r="C24" s="143">
        <v>24.4</v>
      </c>
      <c r="D24" s="143">
        <v>25.3</v>
      </c>
      <c r="E24" s="143">
        <v>23.9</v>
      </c>
      <c r="F24" s="143">
        <v>25.4</v>
      </c>
      <c r="G24" s="143">
        <v>18.8</v>
      </c>
    </row>
    <row r="25" spans="1:7" ht="15.75" customHeight="1" x14ac:dyDescent="0.25">
      <c r="A25" s="18" t="s">
        <v>50</v>
      </c>
      <c r="B25" s="118">
        <v>26.5</v>
      </c>
      <c r="C25" s="121">
        <v>26.6</v>
      </c>
      <c r="D25" s="121">
        <v>28.9</v>
      </c>
      <c r="E25" s="121">
        <v>29.6</v>
      </c>
      <c r="F25" s="121">
        <v>28.5</v>
      </c>
      <c r="G25" s="121">
        <v>32.4</v>
      </c>
    </row>
    <row r="26" spans="1:7" x14ac:dyDescent="0.2">
      <c r="G26" s="6"/>
    </row>
    <row r="27" spans="1:7" x14ac:dyDescent="0.2">
      <c r="C27" s="135"/>
    </row>
    <row r="30" spans="1:7" ht="15.6" x14ac:dyDescent="0.2">
      <c r="B30" s="53"/>
      <c r="C30" s="53"/>
      <c r="D30" s="53"/>
      <c r="E30" s="53"/>
      <c r="F30" s="53"/>
      <c r="G30" s="53"/>
    </row>
    <row r="31" spans="1:7" ht="15.6" x14ac:dyDescent="0.2">
      <c r="B31" s="53"/>
      <c r="C31" s="53"/>
      <c r="D31" s="53"/>
      <c r="E31" s="53"/>
      <c r="F31" s="53"/>
      <c r="G31" s="53"/>
    </row>
    <row r="32" spans="1:7" ht="15.6" x14ac:dyDescent="0.2">
      <c r="B32" s="53"/>
      <c r="C32" s="53"/>
      <c r="D32" s="53"/>
      <c r="E32" s="53"/>
      <c r="F32" s="53"/>
      <c r="G32" s="53"/>
    </row>
  </sheetData>
  <mergeCells count="1">
    <mergeCell ref="A2:G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J46"/>
  <sheetViews>
    <sheetView workbookViewId="0">
      <selection activeCell="A2" sqref="A2:G2"/>
    </sheetView>
  </sheetViews>
  <sheetFormatPr defaultColWidth="9.109375" defaultRowHeight="11.4" x14ac:dyDescent="0.2"/>
  <cols>
    <col min="1" max="1" width="22.88671875" style="3" customWidth="1"/>
    <col min="2" max="2" width="14.88671875" style="3" customWidth="1"/>
    <col min="3" max="3" width="14.44140625" style="3" customWidth="1"/>
    <col min="4" max="4" width="14.88671875" style="3" customWidth="1"/>
    <col min="5" max="5" width="14.33203125" style="3" customWidth="1"/>
    <col min="6" max="6" width="14.88671875" style="3" customWidth="1"/>
    <col min="7" max="7" width="14.44140625" style="3" customWidth="1"/>
    <col min="8" max="16384" width="9.109375" style="3"/>
  </cols>
  <sheetData>
    <row r="2" spans="1:10" ht="13.5" customHeight="1" x14ac:dyDescent="0.2">
      <c r="A2" s="153" t="s">
        <v>112</v>
      </c>
      <c r="B2" s="153"/>
      <c r="C2" s="153"/>
      <c r="D2" s="153"/>
      <c r="E2" s="153"/>
      <c r="F2" s="153"/>
      <c r="G2" s="153"/>
      <c r="H2" s="39"/>
      <c r="I2" s="39"/>
      <c r="J2" s="39"/>
    </row>
    <row r="3" spans="1:10" ht="15" customHeight="1" x14ac:dyDescent="0.2"/>
    <row r="4" spans="1:10" ht="13.5" customHeight="1" x14ac:dyDescent="0.2"/>
    <row r="5" spans="1:10" ht="13.5" customHeight="1" x14ac:dyDescent="0.2"/>
    <row r="6" spans="1:10" ht="15" customHeight="1" x14ac:dyDescent="0.2"/>
    <row r="7" spans="1:10" ht="15.75" customHeight="1" x14ac:dyDescent="0.2"/>
    <row r="8" spans="1:10" ht="16.5" customHeight="1" x14ac:dyDescent="0.2"/>
    <row r="9" spans="1:10" ht="13.5" customHeight="1" x14ac:dyDescent="0.2"/>
    <row r="10" spans="1:10" ht="14.25" customHeight="1" x14ac:dyDescent="0.2"/>
    <row r="11" spans="1:10" ht="16.5" customHeight="1" x14ac:dyDescent="0.2"/>
    <row r="12" spans="1:10" ht="17.25" customHeight="1" x14ac:dyDescent="0.2"/>
    <row r="13" spans="1:10" ht="21.75" customHeight="1" x14ac:dyDescent="0.2"/>
    <row r="17" spans="1:7" ht="15.75" customHeight="1" x14ac:dyDescent="0.2"/>
    <row r="24" spans="1:7" ht="26.25" customHeight="1" x14ac:dyDescent="0.2">
      <c r="A24" s="37"/>
      <c r="B24" s="9" t="s">
        <v>104</v>
      </c>
      <c r="C24" s="9" t="s">
        <v>103</v>
      </c>
      <c r="D24" s="9" t="s">
        <v>102</v>
      </c>
      <c r="E24" s="9" t="s">
        <v>101</v>
      </c>
      <c r="F24" s="9" t="s">
        <v>100</v>
      </c>
      <c r="G24" s="9" t="s">
        <v>99</v>
      </c>
    </row>
    <row r="25" spans="1:7" ht="12" x14ac:dyDescent="0.25">
      <c r="A25" s="146" t="s">
        <v>33</v>
      </c>
      <c r="B25" s="138">
        <f>IF(OR(540693.68259="",540693.68259="***"),"-",540693.68259/3703581.02097*100)</f>
        <v>14.599213019198039</v>
      </c>
      <c r="C25" s="138">
        <f>IF(547623.56876="","-",547623.56876/3771658.08092*100)</f>
        <v>14.519438321578217</v>
      </c>
      <c r="D25" s="138">
        <f>IF(398994.1376="","-",398994.1376/3323881.41153*100)</f>
        <v>12.00386199748146</v>
      </c>
      <c r="E25" s="138">
        <f>IF(544332.01446="","-",544332.01446/4403044.02622*100)</f>
        <v>12.362629381367038</v>
      </c>
      <c r="F25" s="138">
        <f>IF(989095.44122="","-",989095.44122/5891602.28837*100)</f>
        <v>16.788224880224359</v>
      </c>
      <c r="G25" s="139">
        <f>IF(889699.63115="","-",889699.63115/5709381.88442*100)</f>
        <v>15.583116511751467</v>
      </c>
    </row>
    <row r="26" spans="1:7" ht="12" x14ac:dyDescent="0.25">
      <c r="A26" s="144" t="s">
        <v>38</v>
      </c>
      <c r="B26" s="137">
        <f>IF(OR(363323.74916="",363323.74916="***"),"-",363323.74916/3703581.02097*100)</f>
        <v>9.8100661792689063</v>
      </c>
      <c r="C26" s="137">
        <f>IF(374306.76398="","-",374306.76398/3771658.08092*100)</f>
        <v>9.9241966251802278</v>
      </c>
      <c r="D26" s="137">
        <f>IF(326894.28344="","-",326894.28344/3323881.41153*100)</f>
        <v>9.8347155920201388</v>
      </c>
      <c r="E26" s="137">
        <f>IF(407680.05537="","-",407680.05537/4403044.02622*100)</f>
        <v>9.2590501694345324</v>
      </c>
      <c r="F26" s="137">
        <f>IF(573055.15968="","-",573055.15968/5891602.28837*100)</f>
        <v>9.7266436468600173</v>
      </c>
      <c r="G26" s="140">
        <f>IF(692842.56042="","-",692842.56042/5709381.88442*100)</f>
        <v>12.135158839359788</v>
      </c>
    </row>
    <row r="27" spans="1:7" ht="12" x14ac:dyDescent="0.25">
      <c r="A27" s="144" t="s">
        <v>94</v>
      </c>
      <c r="B27" s="137">
        <f>IF(OR(387103.38786="",387103.38786="***"),"-",387103.38786/3703581.02097*100)</f>
        <v>10.45213769236279</v>
      </c>
      <c r="C27" s="137">
        <f>IF(381128.14248="","-",381128.14248/3771658.08092*100)</f>
        <v>10.105055503520973</v>
      </c>
      <c r="D27" s="137">
        <f>IF(376457.90102="","-",376457.90102/3323881.41153*100)</f>
        <v>11.325852351835694</v>
      </c>
      <c r="E27" s="137">
        <f>IF(513516.90948="","-",513516.90948/4403044.02622*100)</f>
        <v>11.662770265798423</v>
      </c>
      <c r="F27" s="137">
        <f>IF(596740.90326="","-",596740.90326/5891602.28837*100)</f>
        <v>10.1286691472363</v>
      </c>
      <c r="G27" s="140">
        <f>IF(635455.2684="","-",635455.2684/5709381.88442*100)</f>
        <v>11.13001864762378</v>
      </c>
    </row>
    <row r="28" spans="1:7" ht="12" x14ac:dyDescent="0.25">
      <c r="A28" s="144" t="s">
        <v>35</v>
      </c>
      <c r="B28" s="137">
        <f>IF(OR(213880.3985="",213880.3985="***"),"-",213880.3985/3703581.02097*100)</f>
        <v>5.7749620512955024</v>
      </c>
      <c r="C28" s="137">
        <f>IF(241808.48912="","-",241808.48912/3771658.08092*100)</f>
        <v>6.4111985745276519</v>
      </c>
      <c r="D28" s="137">
        <f>IF(225554.0318="","-",225554.0318/3323881.41153*100)</f>
        <v>6.7858627873301973</v>
      </c>
      <c r="E28" s="137">
        <f>IF(313869.85371="","-",313869.85371/4403044.02622*100)</f>
        <v>7.1284741156553073</v>
      </c>
      <c r="F28" s="137">
        <f>IF(408468.59474="","-",408468.59474/5891602.28837*100)</f>
        <v>6.9330646358515295</v>
      </c>
      <c r="G28" s="140">
        <f>IF(498487.92556="","-",498487.92556/5709381.88442*100)</f>
        <v>8.731031408501412</v>
      </c>
    </row>
    <row r="29" spans="1:7" ht="12" x14ac:dyDescent="0.25">
      <c r="A29" s="144" t="s">
        <v>34</v>
      </c>
      <c r="B29" s="137">
        <f>IF(OR(315471.51497="",315471.51497="***"),"-",315471.51497/3703581.02097*100)</f>
        <v>8.5180130577344659</v>
      </c>
      <c r="C29" s="137">
        <f>IF(318566.36949="","-",318566.36949/3771658.08092*100)</f>
        <v>8.4463215555396758</v>
      </c>
      <c r="D29" s="137">
        <f>IF(272604.66646="","-",272604.66646/3323881.41153*100)</f>
        <v>8.2013956789908047</v>
      </c>
      <c r="E29" s="137">
        <f>IF(355771.82286="","-",355771.82286/4403044.02622*100)</f>
        <v>8.0801332155978685</v>
      </c>
      <c r="F29" s="137">
        <f>IF(384633.3817="","-",384633.3817/5891602.28837*100)</f>
        <v>6.5285021437931201</v>
      </c>
      <c r="G29" s="140">
        <f>IF(406680.20215="","-",406680.20215/5709381.88442*100)</f>
        <v>7.1230162981349334</v>
      </c>
    </row>
    <row r="30" spans="1:7" ht="12" x14ac:dyDescent="0.25">
      <c r="A30" s="144" t="s">
        <v>36</v>
      </c>
      <c r="B30" s="137">
        <f>IF(OR(262531.53794="",262531.53794="***"),"-",262531.53794/3703581.02097*100)</f>
        <v>7.0885863291102167</v>
      </c>
      <c r="C30" s="137">
        <f>IF(264117.52945="","-",264117.52945/3771658.08092*100)</f>
        <v>7.0026901639391239</v>
      </c>
      <c r="D30" s="137">
        <f>IF(218617.79529="","-",218617.79529/3323881.41153*100)</f>
        <v>6.5771839672634131</v>
      </c>
      <c r="E30" s="137">
        <f>IF(292260.33146="","-",292260.33146/4403044.02622*100)</f>
        <v>6.6376881475542406</v>
      </c>
      <c r="F30" s="137">
        <f>IF(298299.08983="","-",298299.08983/5891602.28837*100)</f>
        <v>5.0631233275681424</v>
      </c>
      <c r="G30" s="140">
        <f>IF(313721.19922="","-",313721.19922/5709381.88442*100)</f>
        <v>5.4948364914264278</v>
      </c>
    </row>
    <row r="31" spans="1:7" ht="12" x14ac:dyDescent="0.25">
      <c r="A31" s="144" t="s">
        <v>92</v>
      </c>
      <c r="B31" s="137">
        <f>IF(OR(433895.49398="",433895.49398="***"),"-",433895.49398/3703581.02097*100)</f>
        <v>11.715566407842728</v>
      </c>
      <c r="C31" s="137">
        <f>IF(443829.56742="","-",443829.56742/3771658.08092*100)</f>
        <v>11.767492118790871</v>
      </c>
      <c r="D31" s="137">
        <f>IF(382578.49863="","-",382578.49863/3323881.41153*100)</f>
        <v>11.509992423402888</v>
      </c>
      <c r="E31" s="137">
        <f>IF(536128.98944="","-",536128.98944/4403044.02622*100)</f>
        <v>12.176325883806006</v>
      </c>
      <c r="F31" s="137">
        <f>IF(799926.22749="","-",799926.22749/5891602.28837*100)</f>
        <v>13.577396917457433</v>
      </c>
      <c r="G31" s="140">
        <f>IF(235009.0003="","-",235009.0003/5709381.88442*100)</f>
        <v>4.1161898968661106</v>
      </c>
    </row>
    <row r="32" spans="1:7" ht="12" x14ac:dyDescent="0.25">
      <c r="A32" s="144" t="s">
        <v>37</v>
      </c>
      <c r="B32" s="137">
        <f>IF(OR(129377.35522="",129377.35522="***"),"-",129377.35522/3703581.02097*100)</f>
        <v>3.4933043043328631</v>
      </c>
      <c r="C32" s="137">
        <f>IF(127141.67785="","-",127141.67785/3771658.08092*100)</f>
        <v>3.3709757120663228</v>
      </c>
      <c r="D32" s="137">
        <f>IF(130628.52805="","-",130628.52805/3323881.41153*100)</f>
        <v>3.9299996563316313</v>
      </c>
      <c r="E32" s="137">
        <f>IF(167539.52733="","-",167539.52733/4403044.02622*100)</f>
        <v>3.8050840812017088</v>
      </c>
      <c r="F32" s="137">
        <f>IF(196551.43154="","-",196551.43154/5891602.28837*100)</f>
        <v>3.3361286441210019</v>
      </c>
      <c r="G32" s="140">
        <f>IF(207136.96634="","-",207136.96634/5709381.88442*100)</f>
        <v>3.6280103614236072</v>
      </c>
    </row>
    <row r="33" spans="1:7" ht="12" x14ac:dyDescent="0.25">
      <c r="A33" s="144" t="s">
        <v>95</v>
      </c>
      <c r="B33" s="137">
        <f>IF(OR(19690.16938="",19690.16938="***"),"-",19690.16938/3703581.02097*100)</f>
        <v>0.53165218388669067</v>
      </c>
      <c r="C33" s="137">
        <f>IF(24311.40689="","-",24311.40689/3771658.08092*100)</f>
        <v>0.64458141136881231</v>
      </c>
      <c r="D33" s="137">
        <f>IF(25638.3302="","-",25638.3302/3323881.41153*100)</f>
        <v>0.77133709136146777</v>
      </c>
      <c r="E33" s="137">
        <f>IF(29212.46103="","-",29212.46103/4403044.02622*100)</f>
        <v>0.66346057082419874</v>
      </c>
      <c r="F33" s="137">
        <f>IF(172784.35244="","-",172784.35244/5891602.28837*100)</f>
        <v>2.9327226106398192</v>
      </c>
      <c r="G33" s="140">
        <f>IF(147441.6301="","-",147441.6301/5709381.88442*100)</f>
        <v>2.5824447039064751</v>
      </c>
    </row>
    <row r="34" spans="1:7" ht="12" x14ac:dyDescent="0.25">
      <c r="A34" s="144" t="s">
        <v>93</v>
      </c>
      <c r="B34" s="137">
        <f>IF(OR(95303.70968="",95303.70968="***"),"-",95303.70968/3703581.02097*100)</f>
        <v>2.5732853997356084</v>
      </c>
      <c r="C34" s="137">
        <f>IF(96572.76106="","-",96572.76106/3771658.08092*100)</f>
        <v>2.5604855739320764</v>
      </c>
      <c r="D34" s="137">
        <f>IF(81508.33627="","-",81508.33627/3323881.41153*100)</f>
        <v>2.4522034988149977</v>
      </c>
      <c r="E34" s="137">
        <f>IF(113524.32474="","-",113524.32474/4403044.02622*100)</f>
        <v>2.5783145492973931</v>
      </c>
      <c r="F34" s="137">
        <f>IF(128134.00024="","-",128134.00024/5891602.28837*100)</f>
        <v>2.1748582807929178</v>
      </c>
      <c r="G34" s="140">
        <f>IF(143270.44342="","-",143270.44342/5709381.88442*100)</f>
        <v>2.5093862404083072</v>
      </c>
    </row>
    <row r="35" spans="1:7" ht="12" x14ac:dyDescent="0.25">
      <c r="A35" s="144" t="s">
        <v>40</v>
      </c>
      <c r="B35" s="137">
        <f>IF(OR(77671.04288="",77671.04288="***"),"-",77671.04288/3703581.02097*100)</f>
        <v>2.0971876257119733</v>
      </c>
      <c r="C35" s="137">
        <f>IF(75160.19668="","-",75160.19668/3771658.08092*100)</f>
        <v>1.9927627337223148</v>
      </c>
      <c r="D35" s="137">
        <f>IF(65122.46504="","-",65122.46504/3323881.41153*100)</f>
        <v>1.9592294963984225</v>
      </c>
      <c r="E35" s="137">
        <f>IF(81644.59755="","-",81644.59755/4403044.02622*100)</f>
        <v>1.8542762021866868</v>
      </c>
      <c r="F35" s="137">
        <f>IF(119948.74982="","-",119948.74982/5891602.28837*100)</f>
        <v>2.035927476923864</v>
      </c>
      <c r="G35" s="140">
        <f>IF(122736.51657="","-",122736.51657/5709381.88442*100)</f>
        <v>2.1497338775836408</v>
      </c>
    </row>
    <row r="36" spans="1:7" ht="13.5" customHeight="1" x14ac:dyDescent="0.25">
      <c r="A36" s="144" t="s">
        <v>58</v>
      </c>
      <c r="B36" s="137">
        <f>IF(OR(54346.94099="",54346.94099="***"),"-",54346.94099/3703581.02097*100)</f>
        <v>1.4674160139141783</v>
      </c>
      <c r="C36" s="137">
        <f>IF(73296.69512="","-",73296.69512/3771658.08092*100)</f>
        <v>1.9433547142248149</v>
      </c>
      <c r="D36" s="137">
        <f>IF(53790.02557="","-",53790.02557/3323881.41153*100)</f>
        <v>1.618289550987325</v>
      </c>
      <c r="E36" s="137">
        <f>IF(75089.26197="","-",75089.26197/4403044.02622*100)</f>
        <v>1.7053943027334186</v>
      </c>
      <c r="F36" s="137">
        <f>IF(87829.84986="","-",87829.84986/5891602.28837*100)</f>
        <v>1.4907633876335438</v>
      </c>
      <c r="G36" s="140">
        <f>IF(100962.30716="","-",100962.30716/5709381.88442*100)</f>
        <v>1.7683579274231098</v>
      </c>
    </row>
    <row r="37" spans="1:7" ht="12" customHeight="1" x14ac:dyDescent="0.25">
      <c r="A37" s="144" t="s">
        <v>42</v>
      </c>
      <c r="B37" s="137">
        <f>IF(OR(41939.01462="",41939.01462="***"),"-",41939.01462/3703581.02097*100)</f>
        <v>1.13239090443918</v>
      </c>
      <c r="C37" s="137">
        <f>IF(33887.34833="","-",33887.34833/3771658.08092*100)</f>
        <v>0.89847349900110896</v>
      </c>
      <c r="D37" s="137">
        <f>IF(38440.29875="","-",38440.29875/3323881.41153*100)</f>
        <v>1.1564882735183302</v>
      </c>
      <c r="E37" s="137">
        <f>IF(57903.20066="","-",57903.20066/4403044.02622*100)</f>
        <v>1.3150720346012466</v>
      </c>
      <c r="F37" s="137">
        <f>IF(87005.19501="","-",87005.19501/5891602.28837*100)</f>
        <v>1.476766264106929</v>
      </c>
      <c r="G37" s="140">
        <f>IF(95527.02898="","-",95527.02898/5709381.88442*100)</f>
        <v>1.6731588622698044</v>
      </c>
    </row>
    <row r="38" spans="1:7" ht="11.25" customHeight="1" x14ac:dyDescent="0.25">
      <c r="A38" s="144" t="s">
        <v>57</v>
      </c>
      <c r="B38" s="137">
        <f>IF(OR(16835.56915="",16835.56915="***"),"-",16835.56915/3703581.02097*100)</f>
        <v>0.45457542456005501</v>
      </c>
      <c r="C38" s="137">
        <f>IF(15125.12157="","-",15125.12157/3771658.08092*100)</f>
        <v>0.40102048609641228</v>
      </c>
      <c r="D38" s="137">
        <f>IF(16066.68539="","-",16066.68539/3323881.41153*100)</f>
        <v>0.4833711977288751</v>
      </c>
      <c r="E38" s="137">
        <f>IF(20145.56268="","-",20145.56268/4403044.02622*100)</f>
        <v>0.45753716201867967</v>
      </c>
      <c r="F38" s="137">
        <f>IF(44245.81821="","-",44245.81821/5891602.28837*100)</f>
        <v>0.75099804848234697</v>
      </c>
      <c r="G38" s="140">
        <f>IF(85650.15524="","-",85650.15524/5709381.88442*100)</f>
        <v>1.5001651137354415</v>
      </c>
    </row>
    <row r="39" spans="1:7" ht="12" x14ac:dyDescent="0.25">
      <c r="A39" s="144" t="s">
        <v>59</v>
      </c>
      <c r="B39" s="137">
        <f>IF(OR(48982.73418="",48982.73418="***"),"-",48982.73418/3703581.02097*100)</f>
        <v>1.322577632368658</v>
      </c>
      <c r="C39" s="137">
        <f>IF(49962.05479="","-",49962.05479/3771658.08092*100)</f>
        <v>1.3246708402001548</v>
      </c>
      <c r="D39" s="137">
        <f>IF(42838.58541="","-",42838.58541/3323881.41153*100)</f>
        <v>1.2888120876214164</v>
      </c>
      <c r="E39" s="137">
        <f>IF(69497.80279="","-",69497.80279/4403044.02622*100)</f>
        <v>1.5784035402812824</v>
      </c>
      <c r="F39" s="137">
        <f>IF(90655.90391="","-",90655.90391/5891602.28837*100)</f>
        <v>1.5387308829204984</v>
      </c>
      <c r="G39" s="140">
        <f>IF(79998.78939="","-",79998.78939/5709381.88442*100)</f>
        <v>1.4011812663697281</v>
      </c>
    </row>
    <row r="40" spans="1:7" ht="12" x14ac:dyDescent="0.25">
      <c r="A40" s="144" t="s">
        <v>41</v>
      </c>
      <c r="B40" s="137">
        <f>IF(OR(51838.53331="",51838.53331="***"),"-",51838.53331/3703581.02097*100)</f>
        <v>1.3996867630675738</v>
      </c>
      <c r="C40" s="137">
        <f>IF(54618.77053="","-",54618.77053/3771658.08092*100)</f>
        <v>1.4481368501112153</v>
      </c>
      <c r="D40" s="137">
        <f>IF(49722.56415="","-",49722.56415/3323881.41153*100)</f>
        <v>1.4959187165198062</v>
      </c>
      <c r="E40" s="137">
        <f>IF(61524.51072="","-",61524.51072/4403044.02622*100)</f>
        <v>1.397317636472025</v>
      </c>
      <c r="F40" s="137">
        <f>IF(71143.8314="","-",71143.8314/5891602.28837*100)</f>
        <v>1.2075464010942769</v>
      </c>
      <c r="G40" s="140">
        <f>IF(79231.26872="","-",79231.26872/5709381.88442*100)</f>
        <v>1.3877381181351627</v>
      </c>
    </row>
    <row r="41" spans="1:7" ht="12" x14ac:dyDescent="0.25">
      <c r="A41" s="144" t="s">
        <v>97</v>
      </c>
      <c r="B41" s="137">
        <f>IF(OR(36460.8159="",36460.8159="***"),"-",36460.8159/3703581.02097*100)</f>
        <v>0.98447463937080537</v>
      </c>
      <c r="C41" s="137">
        <f>IF(31872.3423="","-",31872.3423/3771658.08092*100)</f>
        <v>0.84504855997512773</v>
      </c>
      <c r="D41" s="137">
        <f>IF(34109.0217="","-",34109.0217/3323881.41153*100)</f>
        <v>1.0261804642512633</v>
      </c>
      <c r="E41" s="137">
        <f>IF(42227.23081="","-",42227.23081/4403044.02622*100)</f>
        <v>0.95904629975394429</v>
      </c>
      <c r="F41" s="137">
        <f>IF(46168.6331="","-",46168.6331/5891602.28837*100)</f>
        <v>0.78363458428171062</v>
      </c>
      <c r="G41" s="140">
        <f>IF(61506.7044="","-",61506.7044/5709381.88442*100)</f>
        <v>1.0772918267709868</v>
      </c>
    </row>
    <row r="42" spans="1:7" ht="12" x14ac:dyDescent="0.25">
      <c r="A42" s="144" t="s">
        <v>96</v>
      </c>
      <c r="B42" s="137">
        <f>IF(OR(70089.64682="",70089.64682="***"),"-",70089.64682/3703581.02097*100)</f>
        <v>1.892483151391755</v>
      </c>
      <c r="C42" s="137">
        <f>IF(62870.47546="","-",62870.47546/3771658.08092*100)</f>
        <v>1.6669187426624936</v>
      </c>
      <c r="D42" s="137">
        <f>IF(36650.62012="","-",36650.62012/3323881.41153*100)</f>
        <v>1.1026452385715388</v>
      </c>
      <c r="E42" s="137">
        <f>IF(66750.45725="","-",66750.45725/4403044.02622*100)</f>
        <v>1.5160070363253912</v>
      </c>
      <c r="F42" s="137">
        <f>IF(54988.05724="","-",54988.05724/5891602.28837*100)</f>
        <v>0.93332941615129406</v>
      </c>
      <c r="G42" s="140">
        <f>IF(59943.60345="","-",59943.60345/5709381.88442*100)</f>
        <v>1.0499140653662811</v>
      </c>
    </row>
    <row r="43" spans="1:7" ht="12" x14ac:dyDescent="0.25">
      <c r="A43" s="144" t="s">
        <v>39</v>
      </c>
      <c r="B43" s="137">
        <f>IF(OR(74691.1355="",74691.1355="***"),"-",74691.1355/3703581.02097*100)</f>
        <v>2.0167274612622825</v>
      </c>
      <c r="C43" s="137">
        <f>IF(85578.03408="","-",85578.03408/3771658.08092*100)</f>
        <v>2.2689764619152704</v>
      </c>
      <c r="D43" s="137">
        <f>IF(68407.43788="","-",68407.43788/3323881.41153*100)</f>
        <v>2.0580589199935293</v>
      </c>
      <c r="E43" s="137">
        <f>IF(82325.87557="","-",82325.87557/4403044.02622*100)</f>
        <v>1.8697490890336728</v>
      </c>
      <c r="F43" s="137">
        <f>IF(69662.81971="","-",69662.81971/5891602.28837*100)</f>
        <v>1.1824087285646239</v>
      </c>
      <c r="G43" s="140">
        <f>IF(59083.30874="","-",59083.30874/5709381.88442*100)</f>
        <v>1.0348459769564373</v>
      </c>
    </row>
    <row r="44" spans="1:7" ht="12" customHeight="1" x14ac:dyDescent="0.25">
      <c r="A44" s="144" t="s">
        <v>98</v>
      </c>
      <c r="B44" s="137">
        <f>IF(OR(19609.57174="",19609.57174="***"),"-",19609.57174/3703581.02097*100)</f>
        <v>0.52947597552122894</v>
      </c>
      <c r="C44" s="137">
        <f>IF(21458.08861="","-",21458.08861/3771658.08092*100)</f>
        <v>0.56892984861357965</v>
      </c>
      <c r="D44" s="137">
        <f>IF(17780.48799="","-",17780.48799/3323881.41153*100)</f>
        <v>0.53493147885247649</v>
      </c>
      <c r="E44" s="137">
        <f>IF(25562.75143="","-",25562.75143/4403044.02622*100)</f>
        <v>0.58056997108760555</v>
      </c>
      <c r="F44" s="137">
        <f>IF(34494.29029="","-",34494.29029/5891602.28837*100)</f>
        <v>0.58548232894286822</v>
      </c>
      <c r="G44" s="140">
        <f>IF(53923.1775="","-",53923.1775/5709381.88442*100)</f>
        <v>0.94446611895322352</v>
      </c>
    </row>
    <row r="45" spans="1:7" ht="12" x14ac:dyDescent="0.25">
      <c r="A45" s="144" t="s">
        <v>74</v>
      </c>
      <c r="B45" s="137">
        <f>IF(OR(39488.32825="",39488.32825="***"),"-",39488.32825/3703581.02097*100)</f>
        <v>1.0662201805877509</v>
      </c>
      <c r="C45" s="137">
        <f>IF(38839.93712="","-",38839.93712/3771658.08092*100)</f>
        <v>1.0297841502781713</v>
      </c>
      <c r="D45" s="137">
        <f>IF(34980.40445="","-",34980.40445/3323881.41153*100)</f>
        <v>1.0523962837139349</v>
      </c>
      <c r="E45" s="137">
        <f>IF(47838.96305="","-",47838.96305/4403044.02622*100)</f>
        <v>1.0864974950311728</v>
      </c>
      <c r="F45" s="137">
        <f>IF(59060.15679="","-",59060.15679/5891602.28837*100)</f>
        <v>1.0024464296679449</v>
      </c>
      <c r="G45" s="140">
        <f>IF(53717.07228="","-",53717.07228/5709381.88442*100)</f>
        <v>0.94085617966080337</v>
      </c>
    </row>
    <row r="46" spans="1:7" ht="12" x14ac:dyDescent="0.25">
      <c r="A46" s="145" t="s">
        <v>116</v>
      </c>
      <c r="B46" s="141">
        <f>IF(OR(39331.75804="",39331.75804="***"),"-",39331.75804/3703581.02097*100)</f>
        <v>1.0619926448834289</v>
      </c>
      <c r="C46" s="141">
        <f>IF(37945.88657="","-",37945.88657/3771658.08092*100)</f>
        <v>1.0060797070116194</v>
      </c>
      <c r="D46" s="141">
        <f>IF(30109.87895="","-",30109.87895/3323881.41153*100)</f>
        <v>0.90586501809462161</v>
      </c>
      <c r="E46" s="141">
        <f>IF(41681.3178="","-",41681.3178/4403044.02622*100)</f>
        <v>0.94664776349700241</v>
      </c>
      <c r="F46" s="141">
        <f>IF(47432.1274="","-",47432.1274/5891602.28837*100)</f>
        <v>0.80508026642651753</v>
      </c>
      <c r="G46" s="122">
        <f>IF(50823.52489="","-",50823.52489/5709381.88442*100)</f>
        <v>0.89017560777795157</v>
      </c>
    </row>
  </sheetData>
  <mergeCells count="1">
    <mergeCell ref="A2:G2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J57"/>
  <sheetViews>
    <sheetView workbookViewId="0">
      <selection activeCell="A2" sqref="A2:G2"/>
    </sheetView>
  </sheetViews>
  <sheetFormatPr defaultColWidth="9.109375" defaultRowHeight="11.4" x14ac:dyDescent="0.2"/>
  <cols>
    <col min="1" max="1" width="47.109375" style="3" customWidth="1"/>
    <col min="2" max="2" width="13.6640625" style="3" customWidth="1"/>
    <col min="3" max="3" width="11.109375" style="3" customWidth="1"/>
    <col min="4" max="4" width="10.33203125" style="3" customWidth="1"/>
    <col min="5" max="5" width="10.109375" style="3" customWidth="1"/>
    <col min="6" max="16384" width="9.109375" style="3"/>
  </cols>
  <sheetData>
    <row r="2" spans="1:10" ht="13.2" x14ac:dyDescent="0.2">
      <c r="A2" s="147" t="s">
        <v>83</v>
      </c>
      <c r="B2" s="147"/>
      <c r="C2" s="147"/>
      <c r="D2" s="147"/>
      <c r="E2" s="147"/>
      <c r="F2" s="147"/>
      <c r="G2" s="147"/>
    </row>
    <row r="3" spans="1:10" ht="12" x14ac:dyDescent="0.25">
      <c r="A3" s="2"/>
      <c r="B3" s="2"/>
      <c r="C3" s="2"/>
      <c r="D3" s="2"/>
      <c r="E3" s="2"/>
      <c r="F3" s="2"/>
      <c r="G3" s="2"/>
    </row>
    <row r="4" spans="1:10" x14ac:dyDescent="0.2">
      <c r="A4" s="40"/>
      <c r="B4" s="40"/>
      <c r="C4" s="40"/>
      <c r="D4" s="40"/>
      <c r="E4" s="40"/>
      <c r="F4" s="40"/>
      <c r="G4" s="39"/>
      <c r="H4" s="39"/>
      <c r="I4" s="39"/>
      <c r="J4" s="39"/>
    </row>
    <row r="5" spans="1:10" ht="12" x14ac:dyDescent="0.25">
      <c r="A5" s="4"/>
      <c r="B5" s="4"/>
      <c r="C5" s="4"/>
      <c r="D5" s="4"/>
      <c r="E5" s="4"/>
      <c r="F5" s="4"/>
    </row>
    <row r="6" spans="1:10" ht="12" x14ac:dyDescent="0.25">
      <c r="A6" s="4"/>
      <c r="B6" s="4"/>
      <c r="C6" s="4"/>
      <c r="D6" s="4"/>
      <c r="E6" s="4"/>
      <c r="F6" s="4"/>
    </row>
    <row r="7" spans="1:10" ht="12" x14ac:dyDescent="0.25">
      <c r="A7" s="4"/>
      <c r="B7" s="4"/>
      <c r="C7" s="4"/>
      <c r="D7" s="4"/>
      <c r="E7" s="4"/>
      <c r="F7" s="4"/>
    </row>
    <row r="8" spans="1:10" ht="12" x14ac:dyDescent="0.25">
      <c r="A8" s="4"/>
      <c r="B8" s="4"/>
      <c r="C8" s="4"/>
      <c r="D8" s="4"/>
      <c r="E8" s="4"/>
      <c r="F8" s="4"/>
    </row>
    <row r="9" spans="1:10" ht="12" x14ac:dyDescent="0.25">
      <c r="A9" s="4"/>
      <c r="B9" s="4"/>
      <c r="C9" s="4"/>
      <c r="D9" s="4"/>
      <c r="E9" s="4"/>
      <c r="F9" s="4"/>
    </row>
    <row r="10" spans="1:10" ht="12" x14ac:dyDescent="0.25">
      <c r="A10" s="4"/>
      <c r="B10" s="4"/>
      <c r="C10" s="4"/>
      <c r="D10" s="4"/>
      <c r="E10" s="4"/>
      <c r="F10" s="4"/>
    </row>
    <row r="11" spans="1:10" ht="12" x14ac:dyDescent="0.25">
      <c r="A11" s="4"/>
      <c r="B11" s="4"/>
      <c r="C11" s="4"/>
      <c r="D11" s="4"/>
      <c r="E11" s="4"/>
      <c r="F11" s="4"/>
    </row>
    <row r="12" spans="1:10" ht="12" x14ac:dyDescent="0.25">
      <c r="A12" s="4"/>
      <c r="B12" s="4"/>
      <c r="C12" s="4"/>
      <c r="D12" s="4"/>
      <c r="E12" s="4"/>
      <c r="F12" s="4"/>
    </row>
    <row r="13" spans="1:10" ht="12" x14ac:dyDescent="0.25">
      <c r="A13" s="4"/>
      <c r="B13" s="4"/>
      <c r="C13" s="4"/>
      <c r="D13" s="4"/>
      <c r="E13" s="4"/>
      <c r="F13" s="4"/>
    </row>
    <row r="14" spans="1:10" ht="12" x14ac:dyDescent="0.25">
      <c r="A14" s="4"/>
      <c r="B14" s="4"/>
      <c r="C14" s="4"/>
      <c r="D14" s="4"/>
      <c r="E14" s="4"/>
      <c r="F14" s="4"/>
    </row>
    <row r="15" spans="1:10" ht="12" x14ac:dyDescent="0.25">
      <c r="A15" s="4"/>
      <c r="B15" s="4"/>
      <c r="C15" s="4"/>
      <c r="D15" s="4"/>
      <c r="E15" s="4"/>
      <c r="F15" s="4"/>
    </row>
    <row r="16" spans="1:10" ht="12" x14ac:dyDescent="0.25">
      <c r="A16" s="4"/>
      <c r="B16" s="4"/>
      <c r="C16" s="4"/>
      <c r="D16" s="4"/>
      <c r="E16" s="4"/>
      <c r="F16" s="4"/>
    </row>
    <row r="17" spans="1:6" ht="12" x14ac:dyDescent="0.25">
      <c r="A17" s="4"/>
      <c r="B17" s="4"/>
      <c r="C17" s="4"/>
      <c r="D17" s="4"/>
      <c r="E17" s="4"/>
      <c r="F17" s="4"/>
    </row>
    <row r="18" spans="1:6" ht="12" x14ac:dyDescent="0.25">
      <c r="A18" s="4"/>
      <c r="B18" s="4"/>
      <c r="C18" s="4"/>
      <c r="D18" s="4"/>
      <c r="E18" s="4"/>
      <c r="F18" s="4"/>
    </row>
    <row r="19" spans="1:6" ht="12" x14ac:dyDescent="0.25">
      <c r="A19" s="4"/>
      <c r="B19" s="4"/>
      <c r="C19" s="4"/>
      <c r="D19" s="4"/>
      <c r="E19" s="4"/>
      <c r="F19" s="4"/>
    </row>
    <row r="20" spans="1:6" ht="12" x14ac:dyDescent="0.25">
      <c r="A20" s="4"/>
      <c r="B20" s="4"/>
      <c r="C20" s="4"/>
      <c r="D20" s="4"/>
      <c r="E20" s="4"/>
      <c r="F20" s="4"/>
    </row>
    <row r="21" spans="1:6" ht="12" x14ac:dyDescent="0.25">
      <c r="A21" s="5"/>
    </row>
    <row r="22" spans="1:6" ht="12" x14ac:dyDescent="0.25">
      <c r="A22" s="5"/>
    </row>
    <row r="23" spans="1:6" ht="16.5" customHeight="1" x14ac:dyDescent="0.25">
      <c r="A23" s="5"/>
    </row>
    <row r="24" spans="1:6" ht="16.5" customHeight="1" x14ac:dyDescent="0.25">
      <c r="A24" s="5"/>
    </row>
    <row r="25" spans="1:6" ht="9.75" customHeight="1" x14ac:dyDescent="0.25">
      <c r="A25" s="5"/>
    </row>
    <row r="26" spans="1:6" ht="12" x14ac:dyDescent="0.25">
      <c r="A26" s="5"/>
    </row>
    <row r="27" spans="1:6" ht="12" x14ac:dyDescent="0.2">
      <c r="A27" s="97" t="s">
        <v>105</v>
      </c>
      <c r="B27" s="37" t="s">
        <v>44</v>
      </c>
    </row>
    <row r="28" spans="1:6" x14ac:dyDescent="0.2">
      <c r="A28" s="123" t="s">
        <v>77</v>
      </c>
      <c r="B28" s="114">
        <v>16</v>
      </c>
    </row>
    <row r="29" spans="1:6" ht="13.5" customHeight="1" x14ac:dyDescent="0.2">
      <c r="A29" s="124" t="s">
        <v>65</v>
      </c>
      <c r="B29" s="115">
        <v>6.2</v>
      </c>
    </row>
    <row r="30" spans="1:6" x14ac:dyDescent="0.2">
      <c r="A30" s="124" t="s">
        <v>70</v>
      </c>
      <c r="B30" s="115">
        <v>8.6999999999999993</v>
      </c>
    </row>
    <row r="31" spans="1:6" x14ac:dyDescent="0.2">
      <c r="A31" s="124" t="s">
        <v>75</v>
      </c>
      <c r="B31" s="115">
        <v>5.8</v>
      </c>
    </row>
    <row r="32" spans="1:6" x14ac:dyDescent="0.2">
      <c r="A32" s="124" t="s">
        <v>78</v>
      </c>
      <c r="B32" s="115">
        <v>3.8</v>
      </c>
    </row>
    <row r="33" spans="1:5" x14ac:dyDescent="0.2">
      <c r="A33" s="124" t="s">
        <v>64</v>
      </c>
      <c r="B33" s="115">
        <v>3.2</v>
      </c>
    </row>
    <row r="34" spans="1:5" x14ac:dyDescent="0.2">
      <c r="A34" s="124" t="s">
        <v>73</v>
      </c>
      <c r="B34" s="115">
        <v>2.8</v>
      </c>
    </row>
    <row r="35" spans="1:5" x14ac:dyDescent="0.2">
      <c r="A35" s="124" t="s">
        <v>61</v>
      </c>
      <c r="B35" s="115">
        <v>2.2000000000000002</v>
      </c>
    </row>
    <row r="36" spans="1:5" x14ac:dyDescent="0.2">
      <c r="A36" s="124" t="s">
        <v>71</v>
      </c>
      <c r="B36" s="115">
        <v>3.7</v>
      </c>
    </row>
    <row r="37" spans="1:5" x14ac:dyDescent="0.2">
      <c r="A37" s="124" t="s">
        <v>80</v>
      </c>
      <c r="B37" s="115">
        <v>2</v>
      </c>
    </row>
    <row r="38" spans="1:5" x14ac:dyDescent="0.2">
      <c r="A38" s="124" t="s">
        <v>67</v>
      </c>
      <c r="B38" s="115">
        <v>2.1</v>
      </c>
    </row>
    <row r="39" spans="1:5" x14ac:dyDescent="0.2">
      <c r="A39" s="124" t="s">
        <v>91</v>
      </c>
      <c r="B39" s="115">
        <v>2.2999999999999998</v>
      </c>
    </row>
    <row r="40" spans="1:5" x14ac:dyDescent="0.2">
      <c r="A40" s="124" t="s">
        <v>76</v>
      </c>
      <c r="B40" s="115">
        <v>1.8</v>
      </c>
    </row>
    <row r="41" spans="1:5" x14ac:dyDescent="0.2">
      <c r="A41" s="125" t="s">
        <v>68</v>
      </c>
      <c r="B41" s="117">
        <v>39.4</v>
      </c>
    </row>
    <row r="42" spans="1:5" x14ac:dyDescent="0.2">
      <c r="A42" s="109"/>
      <c r="B42" s="33"/>
    </row>
    <row r="43" spans="1:5" ht="11.25" customHeight="1" x14ac:dyDescent="0.25">
      <c r="A43" s="97" t="s">
        <v>106</v>
      </c>
      <c r="B43" s="110" t="s">
        <v>44</v>
      </c>
    </row>
    <row r="44" spans="1:5" ht="12.75" customHeight="1" x14ac:dyDescent="0.2">
      <c r="A44" s="123" t="s">
        <v>77</v>
      </c>
      <c r="B44" s="126">
        <v>15.8</v>
      </c>
      <c r="E44" s="105"/>
    </row>
    <row r="45" spans="1:5" ht="12.75" customHeight="1" x14ac:dyDescent="0.2">
      <c r="A45" s="124" t="s">
        <v>65</v>
      </c>
      <c r="B45" s="127">
        <v>7.6</v>
      </c>
      <c r="E45" s="105"/>
    </row>
    <row r="46" spans="1:5" ht="12.75" customHeight="1" x14ac:dyDescent="0.2">
      <c r="A46" s="124" t="s">
        <v>70</v>
      </c>
      <c r="B46" s="127">
        <v>6.9</v>
      </c>
      <c r="E46" s="105"/>
    </row>
    <row r="47" spans="1:5" ht="12.75" customHeight="1" x14ac:dyDescent="0.2">
      <c r="A47" s="124" t="s">
        <v>75</v>
      </c>
      <c r="B47" s="127">
        <v>6.7</v>
      </c>
      <c r="E47" s="105"/>
    </row>
    <row r="48" spans="1:5" ht="12.75" customHeight="1" x14ac:dyDescent="0.2">
      <c r="A48" s="124" t="s">
        <v>78</v>
      </c>
      <c r="B48" s="127">
        <v>3.5</v>
      </c>
      <c r="E48" s="105"/>
    </row>
    <row r="49" spans="1:5" ht="12.75" customHeight="1" x14ac:dyDescent="0.2">
      <c r="A49" s="124" t="s">
        <v>64</v>
      </c>
      <c r="B49" s="127">
        <v>3.4</v>
      </c>
      <c r="E49" s="105"/>
    </row>
    <row r="50" spans="1:5" ht="12.75" customHeight="1" x14ac:dyDescent="0.2">
      <c r="A50" s="124" t="s">
        <v>73</v>
      </c>
      <c r="B50" s="127">
        <v>2.8</v>
      </c>
      <c r="E50" s="105"/>
    </row>
    <row r="51" spans="1:5" ht="12.75" customHeight="1" x14ac:dyDescent="0.2">
      <c r="A51" s="124" t="s">
        <v>61</v>
      </c>
      <c r="B51" s="127">
        <v>2.6</v>
      </c>
      <c r="E51" s="105"/>
    </row>
    <row r="52" spans="1:5" ht="12.75" customHeight="1" x14ac:dyDescent="0.2">
      <c r="A52" s="124" t="s">
        <v>71</v>
      </c>
      <c r="B52" s="127">
        <v>2.6</v>
      </c>
      <c r="E52" s="105"/>
    </row>
    <row r="53" spans="1:5" ht="12.75" customHeight="1" x14ac:dyDescent="0.2">
      <c r="A53" s="124" t="s">
        <v>80</v>
      </c>
      <c r="B53" s="127">
        <v>2.5</v>
      </c>
      <c r="E53" s="105"/>
    </row>
    <row r="54" spans="1:5" ht="12.75" customHeight="1" x14ac:dyDescent="0.2">
      <c r="A54" s="124" t="s">
        <v>67</v>
      </c>
      <c r="B54" s="127">
        <v>2.4</v>
      </c>
      <c r="E54" s="105"/>
    </row>
    <row r="55" spans="1:5" ht="12.75" customHeight="1" x14ac:dyDescent="0.2">
      <c r="A55" s="124" t="s">
        <v>91</v>
      </c>
      <c r="B55" s="127">
        <v>2.2000000000000002</v>
      </c>
      <c r="E55" s="105"/>
    </row>
    <row r="56" spans="1:5" ht="12.75" customHeight="1" x14ac:dyDescent="0.2">
      <c r="A56" s="124" t="s">
        <v>76</v>
      </c>
      <c r="B56" s="127">
        <v>2.1</v>
      </c>
      <c r="E56" s="105"/>
    </row>
    <row r="57" spans="1:5" ht="12.75" customHeight="1" x14ac:dyDescent="0.2">
      <c r="A57" s="125" t="s">
        <v>68</v>
      </c>
      <c r="B57" s="136">
        <v>38.9</v>
      </c>
    </row>
  </sheetData>
  <mergeCells count="1">
    <mergeCell ref="A2:G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M28"/>
  <sheetViews>
    <sheetView workbookViewId="0">
      <selection activeCell="A2" sqref="A2:M2"/>
    </sheetView>
  </sheetViews>
  <sheetFormatPr defaultColWidth="9.109375" defaultRowHeight="11.4" x14ac:dyDescent="0.2"/>
  <cols>
    <col min="1" max="1" width="9.109375" style="3"/>
    <col min="2" max="2" width="9.88671875" style="3" customWidth="1"/>
    <col min="3" max="3" width="9.6640625" style="3" customWidth="1"/>
    <col min="4" max="4" width="10" style="3" customWidth="1"/>
    <col min="5" max="6" width="9.6640625" style="3" customWidth="1"/>
    <col min="7" max="7" width="9.5546875" style="3" customWidth="1"/>
    <col min="8" max="9" width="9.109375" style="3"/>
    <col min="10" max="10" width="10.6640625" style="3" customWidth="1"/>
    <col min="11" max="11" width="10.88671875" style="3" customWidth="1"/>
    <col min="12" max="12" width="10.44140625" style="3" customWidth="1"/>
    <col min="13" max="13" width="10.5546875" style="3" customWidth="1"/>
    <col min="14" max="16384" width="9.109375" style="3"/>
  </cols>
  <sheetData>
    <row r="2" spans="1:13" ht="13.2" x14ac:dyDescent="0.2">
      <c r="A2" s="153" t="s">
        <v>88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</row>
    <row r="3" spans="1:13" ht="12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3" ht="12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ht="12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ht="12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ht="12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ht="12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ht="12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ht="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ht="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ht="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ht="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ht="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ht="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ht="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ht="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ht="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ht="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ht="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ht="12" x14ac:dyDescent="0.25">
      <c r="A22" s="26" t="s">
        <v>0</v>
      </c>
      <c r="B22" s="37" t="s">
        <v>1</v>
      </c>
      <c r="C22" s="37" t="s">
        <v>2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7</v>
      </c>
      <c r="I22" s="37" t="s">
        <v>8</v>
      </c>
      <c r="J22" s="37" t="s">
        <v>9</v>
      </c>
      <c r="K22" s="37" t="s">
        <v>10</v>
      </c>
      <c r="L22" s="37" t="s">
        <v>11</v>
      </c>
      <c r="M22" s="37" t="s">
        <v>12</v>
      </c>
    </row>
    <row r="23" spans="1:13" ht="12" x14ac:dyDescent="0.25">
      <c r="A23" s="28">
        <v>2018</v>
      </c>
      <c r="B23" s="33">
        <v>-154</v>
      </c>
      <c r="C23" s="33">
        <v>-212.1</v>
      </c>
      <c r="D23" s="33">
        <v>-282</v>
      </c>
      <c r="E23" s="33">
        <v>-244.9</v>
      </c>
      <c r="F23" s="33">
        <v>-282.60000000000002</v>
      </c>
      <c r="G23" s="33">
        <v>-244.6</v>
      </c>
      <c r="H23" s="33">
        <v>-269.2</v>
      </c>
      <c r="I23" s="33">
        <v>-262.10000000000002</v>
      </c>
      <c r="J23" s="33">
        <v>-266.7</v>
      </c>
      <c r="K23" s="33">
        <v>-281.60000000000002</v>
      </c>
      <c r="L23" s="33">
        <v>-253.70000000000005</v>
      </c>
      <c r="M23" s="34">
        <v>-300.49999999999994</v>
      </c>
    </row>
    <row r="24" spans="1:13" ht="12" x14ac:dyDescent="0.25">
      <c r="A24" s="28">
        <v>2019</v>
      </c>
      <c r="B24" s="33">
        <v>-138.30000000000001</v>
      </c>
      <c r="C24" s="33">
        <v>-217.9</v>
      </c>
      <c r="D24" s="33">
        <v>-276.60000000000002</v>
      </c>
      <c r="E24" s="33">
        <v>-300</v>
      </c>
      <c r="F24" s="33">
        <v>-271.10000000000002</v>
      </c>
      <c r="G24" s="33">
        <v>-243.2</v>
      </c>
      <c r="H24" s="33">
        <v>-278.89999999999998</v>
      </c>
      <c r="I24" s="33">
        <v>-258.5</v>
      </c>
      <c r="J24" s="33">
        <v>-262.89999999999998</v>
      </c>
      <c r="K24" s="33">
        <v>-257</v>
      </c>
      <c r="L24" s="33">
        <v>-237.5</v>
      </c>
      <c r="M24" s="34">
        <v>-321.39999999999998</v>
      </c>
    </row>
    <row r="25" spans="1:13" ht="12" x14ac:dyDescent="0.25">
      <c r="A25" s="28">
        <v>2020</v>
      </c>
      <c r="B25" s="33">
        <v>-160.30000000000001</v>
      </c>
      <c r="C25" s="33">
        <v>-239.5</v>
      </c>
      <c r="D25" s="33">
        <v>-290.3</v>
      </c>
      <c r="E25" s="33">
        <v>-135.80000000000001</v>
      </c>
      <c r="F25" s="33">
        <v>-173.7</v>
      </c>
      <c r="G25" s="33">
        <v>-223.9</v>
      </c>
      <c r="H25" s="33">
        <v>-305.5</v>
      </c>
      <c r="I25" s="33">
        <v>-269.7</v>
      </c>
      <c r="J25" s="33">
        <v>-296</v>
      </c>
      <c r="K25" s="33">
        <v>-244.2</v>
      </c>
      <c r="L25" s="33">
        <v>-260.89999999999998</v>
      </c>
      <c r="M25" s="34">
        <v>-349</v>
      </c>
    </row>
    <row r="26" spans="1:13" ht="12" x14ac:dyDescent="0.25">
      <c r="A26" s="28">
        <v>2021</v>
      </c>
      <c r="B26" s="33">
        <v>-201</v>
      </c>
      <c r="C26" s="33">
        <v>-294.39999999999998</v>
      </c>
      <c r="D26" s="33">
        <v>-370.8</v>
      </c>
      <c r="E26" s="33">
        <v>-344</v>
      </c>
      <c r="F26" s="33">
        <v>-361.7</v>
      </c>
      <c r="G26" s="33">
        <v>-362.8</v>
      </c>
      <c r="H26" s="33">
        <v>-321.3</v>
      </c>
      <c r="I26" s="33">
        <v>-338.6</v>
      </c>
      <c r="J26" s="33">
        <v>-376.3</v>
      </c>
      <c r="K26" s="33">
        <v>-294.60000000000002</v>
      </c>
      <c r="L26" s="33">
        <v>-337.6</v>
      </c>
      <c r="M26" s="34">
        <v>-429.2</v>
      </c>
    </row>
    <row r="27" spans="1:13" ht="12" x14ac:dyDescent="0.25">
      <c r="A27" s="28">
        <v>2022</v>
      </c>
      <c r="B27" s="33">
        <v>-291.3</v>
      </c>
      <c r="C27" s="33">
        <v>-332.6</v>
      </c>
      <c r="D27" s="33">
        <v>-352.5</v>
      </c>
      <c r="E27" s="33">
        <v>-374.1</v>
      </c>
      <c r="F27" s="33">
        <v>-356.7</v>
      </c>
      <c r="G27" s="33">
        <v>-352</v>
      </c>
      <c r="H27" s="33">
        <v>-422.8</v>
      </c>
      <c r="I27" s="33">
        <v>-450.6</v>
      </c>
      <c r="J27" s="33">
        <v>-525.29999999999995</v>
      </c>
      <c r="K27" s="33">
        <v>-399.2</v>
      </c>
      <c r="L27" s="33">
        <v>-502.5</v>
      </c>
      <c r="M27" s="34">
        <v>-524.29999999999995</v>
      </c>
    </row>
    <row r="28" spans="1:13" ht="12" x14ac:dyDescent="0.25">
      <c r="A28" s="29">
        <v>2023</v>
      </c>
      <c r="B28" s="10">
        <v>-402.2</v>
      </c>
      <c r="C28" s="10">
        <v>-396.5</v>
      </c>
      <c r="D28" s="35">
        <v>-436.2</v>
      </c>
      <c r="E28" s="35">
        <v>-373.3</v>
      </c>
      <c r="F28" s="35">
        <v>-372.7</v>
      </c>
      <c r="G28" s="35">
        <v>-348.6</v>
      </c>
      <c r="H28" s="35">
        <v>-334.9</v>
      </c>
      <c r="I28" s="35">
        <v>-377</v>
      </c>
      <c r="J28" s="35"/>
      <c r="K28" s="35"/>
      <c r="L28" s="35"/>
      <c r="M28" s="36"/>
    </row>
  </sheetData>
  <mergeCells count="1">
    <mergeCell ref="A2:M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M34"/>
  <sheetViews>
    <sheetView zoomScaleNormal="100" workbookViewId="0">
      <selection activeCell="A2" sqref="A2:F2"/>
    </sheetView>
  </sheetViews>
  <sheetFormatPr defaultColWidth="9.109375" defaultRowHeight="11.4" x14ac:dyDescent="0.2"/>
  <cols>
    <col min="1" max="1" width="20.88671875" style="3" customWidth="1"/>
    <col min="2" max="2" width="21.5546875" style="3" customWidth="1"/>
    <col min="3" max="3" width="21.44140625" style="3" customWidth="1"/>
    <col min="4" max="4" width="22.109375" style="3" customWidth="1"/>
    <col min="5" max="16384" width="9.109375" style="3"/>
  </cols>
  <sheetData>
    <row r="2" spans="1:13" ht="13.2" x14ac:dyDescent="0.2">
      <c r="A2" s="157" t="s">
        <v>113</v>
      </c>
      <c r="B2" s="157"/>
      <c r="C2" s="157"/>
      <c r="D2" s="157"/>
      <c r="E2" s="157"/>
      <c r="F2" s="157"/>
      <c r="G2" s="39"/>
      <c r="H2" s="39"/>
      <c r="I2" s="39"/>
      <c r="J2" s="39"/>
      <c r="K2" s="39"/>
      <c r="L2" s="39"/>
      <c r="M2" s="39"/>
    </row>
    <row r="3" spans="1:13" x14ac:dyDescent="0.2">
      <c r="A3" s="73"/>
      <c r="B3" s="73"/>
      <c r="C3" s="73"/>
      <c r="D3" s="73"/>
      <c r="E3" s="73"/>
      <c r="F3" s="73"/>
      <c r="G3" s="39"/>
      <c r="H3" s="39"/>
      <c r="I3" s="39"/>
      <c r="J3" s="39"/>
      <c r="K3" s="39"/>
      <c r="L3" s="39"/>
      <c r="M3" s="39"/>
    </row>
    <row r="4" spans="1:13" ht="19.5" customHeight="1" x14ac:dyDescent="0.25">
      <c r="A4" s="4"/>
      <c r="B4" s="4"/>
      <c r="C4" s="4"/>
      <c r="D4" s="4"/>
      <c r="E4" s="4"/>
      <c r="F4" s="4"/>
    </row>
    <row r="5" spans="1:13" ht="12" x14ac:dyDescent="0.25">
      <c r="A5" s="4"/>
      <c r="B5" s="4"/>
      <c r="C5" s="4"/>
      <c r="D5" s="4"/>
      <c r="E5" s="4"/>
      <c r="F5" s="4"/>
    </row>
    <row r="6" spans="1:13" ht="12" x14ac:dyDescent="0.25">
      <c r="A6" s="4"/>
      <c r="B6" s="4"/>
      <c r="C6" s="4"/>
      <c r="D6" s="4"/>
      <c r="E6" s="4"/>
      <c r="F6" s="4"/>
    </row>
    <row r="7" spans="1:13" ht="12" x14ac:dyDescent="0.25">
      <c r="A7" s="4"/>
      <c r="B7" s="4"/>
      <c r="C7" s="4"/>
      <c r="D7" s="4"/>
      <c r="E7" s="4"/>
      <c r="F7" s="4"/>
    </row>
    <row r="8" spans="1:13" ht="12" x14ac:dyDescent="0.25">
      <c r="A8" s="4"/>
      <c r="B8" s="4"/>
      <c r="C8" s="4"/>
      <c r="D8" s="4"/>
      <c r="E8" s="4"/>
      <c r="F8" s="4"/>
    </row>
    <row r="9" spans="1:13" ht="12" x14ac:dyDescent="0.25">
      <c r="A9" s="4"/>
      <c r="B9" s="4"/>
      <c r="C9" s="4"/>
      <c r="D9" s="4"/>
      <c r="E9" s="4"/>
      <c r="F9" s="4"/>
    </row>
    <row r="10" spans="1:13" ht="12" x14ac:dyDescent="0.25">
      <c r="A10" s="4"/>
      <c r="B10" s="4"/>
      <c r="C10" s="4"/>
      <c r="D10" s="4"/>
      <c r="E10" s="4"/>
      <c r="F10" s="4"/>
    </row>
    <row r="11" spans="1:13" ht="12" x14ac:dyDescent="0.25">
      <c r="A11" s="4"/>
      <c r="B11" s="4"/>
      <c r="C11" s="4"/>
      <c r="D11" s="4"/>
      <c r="E11" s="4"/>
      <c r="F11" s="4"/>
    </row>
    <row r="12" spans="1:13" ht="12" x14ac:dyDescent="0.25">
      <c r="A12" s="4"/>
      <c r="B12" s="4"/>
      <c r="C12" s="4"/>
      <c r="D12" s="4"/>
      <c r="E12" s="4"/>
      <c r="F12" s="4"/>
    </row>
    <row r="13" spans="1:13" ht="12" x14ac:dyDescent="0.25">
      <c r="A13" s="4"/>
      <c r="B13" s="4"/>
      <c r="C13" s="4"/>
      <c r="D13" s="4"/>
      <c r="E13" s="4"/>
      <c r="F13" s="4"/>
    </row>
    <row r="14" spans="1:13" ht="12" x14ac:dyDescent="0.25">
      <c r="A14" s="4"/>
      <c r="B14" s="4"/>
      <c r="C14" s="4"/>
      <c r="D14" s="4"/>
      <c r="E14" s="4"/>
      <c r="F14" s="4"/>
    </row>
    <row r="15" spans="1:13" ht="12" x14ac:dyDescent="0.25">
      <c r="A15" s="4"/>
      <c r="B15" s="4"/>
      <c r="C15" s="4"/>
      <c r="D15" s="4"/>
      <c r="E15" s="4"/>
      <c r="F15" s="4"/>
    </row>
    <row r="16" spans="1:13" ht="12" x14ac:dyDescent="0.25">
      <c r="A16" s="4"/>
      <c r="B16" s="4"/>
      <c r="C16" s="4"/>
      <c r="D16" s="4"/>
      <c r="E16" s="4"/>
      <c r="F16" s="4"/>
    </row>
    <row r="17" spans="1:6" ht="12" x14ac:dyDescent="0.25">
      <c r="A17" s="4"/>
      <c r="B17" s="4"/>
      <c r="C17" s="4"/>
      <c r="D17" s="4"/>
      <c r="E17" s="4"/>
      <c r="F17" s="4"/>
    </row>
    <row r="18" spans="1:6" ht="12" x14ac:dyDescent="0.25">
      <c r="A18" s="4"/>
      <c r="B18" s="4"/>
      <c r="C18" s="4"/>
      <c r="D18" s="4"/>
      <c r="E18" s="4"/>
      <c r="F18" s="4"/>
    </row>
    <row r="19" spans="1:6" ht="12" x14ac:dyDescent="0.25">
      <c r="A19" s="4"/>
      <c r="B19" s="4"/>
      <c r="C19" s="4"/>
      <c r="D19" s="4"/>
      <c r="E19" s="4"/>
      <c r="F19" s="4"/>
    </row>
    <row r="20" spans="1:6" ht="12" x14ac:dyDescent="0.25">
      <c r="A20" s="4"/>
      <c r="B20" s="4"/>
      <c r="C20" s="4"/>
      <c r="D20" s="4"/>
      <c r="E20" s="4"/>
      <c r="F20" s="4"/>
    </row>
    <row r="21" spans="1:6" ht="12" x14ac:dyDescent="0.25">
      <c r="A21" s="4"/>
      <c r="B21" s="4"/>
      <c r="C21" s="4"/>
      <c r="D21" s="4"/>
      <c r="E21" s="4"/>
      <c r="F21" s="4"/>
    </row>
    <row r="22" spans="1:6" ht="12" x14ac:dyDescent="0.25">
      <c r="A22" s="4"/>
      <c r="B22" s="4"/>
      <c r="C22" s="4"/>
      <c r="D22" s="4"/>
      <c r="E22" s="4"/>
      <c r="F22" s="4"/>
    </row>
    <row r="23" spans="1:6" ht="12" x14ac:dyDescent="0.25">
      <c r="A23" s="4"/>
      <c r="B23" s="4"/>
      <c r="C23" s="4"/>
      <c r="D23" s="4"/>
      <c r="E23" s="4"/>
      <c r="F23" s="4"/>
    </row>
    <row r="24" spans="1:6" ht="12" x14ac:dyDescent="0.25">
      <c r="A24" s="4"/>
      <c r="B24" s="4"/>
      <c r="C24" s="4"/>
      <c r="D24" s="4"/>
      <c r="E24" s="4"/>
      <c r="F24" s="4"/>
    </row>
    <row r="25" spans="1:6" ht="12" x14ac:dyDescent="0.25">
      <c r="A25" s="4"/>
      <c r="B25" s="4"/>
      <c r="C25" s="4"/>
      <c r="D25" s="4"/>
      <c r="E25" s="4"/>
      <c r="F25" s="4"/>
    </row>
    <row r="27" spans="1:6" ht="12" x14ac:dyDescent="0.2">
      <c r="A27" s="95" t="s">
        <v>51</v>
      </c>
      <c r="B27" s="21" t="s">
        <v>52</v>
      </c>
      <c r="C27" s="21" t="s">
        <v>53</v>
      </c>
      <c r="D27" s="22" t="s">
        <v>54</v>
      </c>
    </row>
    <row r="28" spans="1:6" ht="15.75" customHeight="1" x14ac:dyDescent="0.25">
      <c r="A28" s="93" t="s">
        <v>104</v>
      </c>
      <c r="B28" s="112">
        <v>1752.2</v>
      </c>
      <c r="C28" s="113">
        <v>3703.6</v>
      </c>
      <c r="D28" s="139">
        <v>-1951.3999999999999</v>
      </c>
    </row>
    <row r="29" spans="1:6" ht="15" customHeight="1" x14ac:dyDescent="0.25">
      <c r="A29" s="94" t="s">
        <v>103</v>
      </c>
      <c r="B29" s="102">
        <v>1787.2</v>
      </c>
      <c r="C29" s="142">
        <v>3771.7</v>
      </c>
      <c r="D29" s="140">
        <v>-1984.4999999999998</v>
      </c>
    </row>
    <row r="30" spans="1:6" ht="14.25" customHeight="1" x14ac:dyDescent="0.25">
      <c r="A30" s="94" t="s">
        <v>102</v>
      </c>
      <c r="B30" s="102">
        <v>1525.2</v>
      </c>
      <c r="C30" s="142">
        <v>3323.9</v>
      </c>
      <c r="D30" s="140">
        <v>-1798.7</v>
      </c>
    </row>
    <row r="31" spans="1:6" ht="14.25" customHeight="1" x14ac:dyDescent="0.25">
      <c r="A31" s="94" t="s">
        <v>101</v>
      </c>
      <c r="B31" s="102">
        <v>1808.5</v>
      </c>
      <c r="C31" s="142">
        <v>4403</v>
      </c>
      <c r="D31" s="140">
        <v>-2594.5</v>
      </c>
    </row>
    <row r="32" spans="1:6" ht="13.5" customHeight="1" x14ac:dyDescent="0.25">
      <c r="A32" s="94" t="s">
        <v>100</v>
      </c>
      <c r="B32" s="102">
        <v>2959</v>
      </c>
      <c r="C32" s="142">
        <v>5891.6</v>
      </c>
      <c r="D32" s="140">
        <v>-2932.6000000000004</v>
      </c>
    </row>
    <row r="33" spans="1:4" ht="13.5" customHeight="1" x14ac:dyDescent="0.25">
      <c r="A33" s="94" t="s">
        <v>99</v>
      </c>
      <c r="B33" s="120">
        <v>2668</v>
      </c>
      <c r="C33" s="116">
        <v>5709.4</v>
      </c>
      <c r="D33" s="122">
        <v>-3041.3999999999996</v>
      </c>
    </row>
    <row r="34" spans="1:4" x14ac:dyDescent="0.2">
      <c r="A34" s="1"/>
    </row>
  </sheetData>
  <mergeCells count="1">
    <mergeCell ref="A2:F2"/>
  </mergeCells>
  <pageMargins left="0.7" right="0.7" top="0.75" bottom="0.75" header="0.3" footer="0.3"/>
  <pageSetup paperSize="9" orientation="portrait" verticalDpi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G38"/>
  <sheetViews>
    <sheetView workbookViewId="0">
      <selection activeCell="A2" sqref="A2:S2"/>
    </sheetView>
  </sheetViews>
  <sheetFormatPr defaultColWidth="9.109375" defaultRowHeight="11.4" x14ac:dyDescent="0.2"/>
  <cols>
    <col min="1" max="1" width="17.88671875" style="3" customWidth="1"/>
    <col min="2" max="2" width="5" style="3" customWidth="1"/>
    <col min="3" max="3" width="5.88671875" style="3" customWidth="1"/>
    <col min="4" max="4" width="5.6640625" style="3" customWidth="1"/>
    <col min="5" max="5" width="5.88671875" style="3" customWidth="1"/>
    <col min="6" max="6" width="6.109375" style="3" customWidth="1"/>
    <col min="7" max="8" width="5.5546875" style="3" customWidth="1"/>
    <col min="9" max="9" width="5.44140625" style="3" customWidth="1"/>
    <col min="10" max="10" width="5.6640625" style="3" customWidth="1"/>
    <col min="11" max="11" width="5.5546875" style="3" customWidth="1"/>
    <col min="12" max="12" width="6.109375" style="3" customWidth="1"/>
    <col min="13" max="13" width="6.5546875" style="3" customWidth="1"/>
    <col min="14" max="16" width="6" style="3" customWidth="1"/>
    <col min="17" max="17" width="5.88671875" style="3" customWidth="1"/>
    <col min="18" max="18" width="6.44140625" style="3" customWidth="1"/>
    <col min="19" max="19" width="5.88671875" style="3" customWidth="1"/>
    <col min="20" max="20" width="6.44140625" style="3" customWidth="1"/>
    <col min="21" max="21" width="6" style="3" customWidth="1"/>
    <col min="22" max="22" width="5.88671875" style="3" customWidth="1"/>
    <col min="23" max="23" width="6.88671875" style="3" customWidth="1"/>
    <col min="24" max="24" width="6.109375" style="3" customWidth="1"/>
    <col min="25" max="25" width="7.44140625" style="3" customWidth="1"/>
    <col min="26" max="33" width="5.6640625" style="3" customWidth="1"/>
    <col min="34" max="16384" width="9.109375" style="3"/>
  </cols>
  <sheetData>
    <row r="2" spans="1:19" ht="15.75" customHeight="1" x14ac:dyDescent="0.2">
      <c r="A2" s="153" t="s">
        <v>85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</row>
    <row r="3" spans="1:19" ht="15.75" customHeight="1" x14ac:dyDescent="0.2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9" ht="14.25" customHeight="1" x14ac:dyDescent="0.25">
      <c r="A4" s="4"/>
    </row>
    <row r="5" spans="1:19" ht="14.25" customHeight="1" x14ac:dyDescent="0.25">
      <c r="A5" s="4"/>
    </row>
    <row r="6" spans="1:19" ht="15" customHeight="1" x14ac:dyDescent="0.25">
      <c r="A6" s="4"/>
    </row>
    <row r="7" spans="1:19" ht="16.5" customHeight="1" x14ac:dyDescent="0.25">
      <c r="A7" s="4"/>
    </row>
    <row r="8" spans="1:19" ht="15" customHeight="1" x14ac:dyDescent="0.25">
      <c r="A8" s="4"/>
    </row>
    <row r="9" spans="1:19" ht="14.25" customHeight="1" x14ac:dyDescent="0.25">
      <c r="A9" s="4"/>
    </row>
    <row r="10" spans="1:19" ht="13.5" customHeight="1" x14ac:dyDescent="0.25">
      <c r="A10" s="4"/>
    </row>
    <row r="11" spans="1:19" ht="17.25" customHeight="1" x14ac:dyDescent="0.25">
      <c r="A11" s="4"/>
    </row>
    <row r="12" spans="1:19" ht="17.25" customHeight="1" x14ac:dyDescent="0.25">
      <c r="A12" s="4"/>
    </row>
    <row r="13" spans="1:19" ht="16.5" customHeight="1" x14ac:dyDescent="0.25">
      <c r="A13" s="4"/>
    </row>
    <row r="14" spans="1:19" ht="15" customHeight="1" x14ac:dyDescent="0.25">
      <c r="A14" s="4"/>
    </row>
    <row r="15" spans="1:19" ht="15" customHeight="1" x14ac:dyDescent="0.25">
      <c r="A15" s="4"/>
    </row>
    <row r="16" spans="1:19" ht="15.75" customHeight="1" x14ac:dyDescent="0.25">
      <c r="A16" s="4"/>
    </row>
    <row r="17" spans="1:33" ht="22.5" customHeight="1" x14ac:dyDescent="0.25">
      <c r="A17" s="4"/>
    </row>
    <row r="18" spans="1:33" ht="12" x14ac:dyDescent="0.25">
      <c r="A18" s="4"/>
    </row>
    <row r="19" spans="1:33" ht="12" x14ac:dyDescent="0.25">
      <c r="A19" s="5"/>
    </row>
    <row r="20" spans="1:33" ht="12" x14ac:dyDescent="0.25">
      <c r="A20" s="5"/>
    </row>
    <row r="21" spans="1:33" ht="12" x14ac:dyDescent="0.25">
      <c r="A21" s="5"/>
    </row>
    <row r="22" spans="1:33" ht="19.5" customHeight="1" x14ac:dyDescent="0.25">
      <c r="A22" s="5"/>
    </row>
    <row r="23" spans="1:33" ht="15" customHeight="1" x14ac:dyDescent="0.25">
      <c r="A23" s="148"/>
      <c r="B23" s="150">
        <v>2021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2"/>
      <c r="N23" s="150">
        <v>2022</v>
      </c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2"/>
      <c r="Z23" s="154">
        <v>2023</v>
      </c>
      <c r="AA23" s="155"/>
      <c r="AB23" s="155"/>
      <c r="AC23" s="155"/>
      <c r="AD23" s="155"/>
      <c r="AE23" s="155"/>
      <c r="AF23" s="155"/>
      <c r="AG23" s="156"/>
    </row>
    <row r="24" spans="1:33" ht="12" x14ac:dyDescent="0.25">
      <c r="A24" s="149"/>
      <c r="B24" s="20" t="s">
        <v>13</v>
      </c>
      <c r="C24" s="54" t="s">
        <v>14</v>
      </c>
      <c r="D24" s="20" t="s">
        <v>15</v>
      </c>
      <c r="E24" s="20" t="s">
        <v>16</v>
      </c>
      <c r="F24" s="20" t="s">
        <v>17</v>
      </c>
      <c r="G24" s="20" t="s">
        <v>22</v>
      </c>
      <c r="H24" s="20" t="s">
        <v>18</v>
      </c>
      <c r="I24" s="20" t="s">
        <v>23</v>
      </c>
      <c r="J24" s="47" t="s">
        <v>19</v>
      </c>
      <c r="K24" s="27" t="s">
        <v>24</v>
      </c>
      <c r="L24" s="27" t="s">
        <v>20</v>
      </c>
      <c r="M24" s="27" t="s">
        <v>21</v>
      </c>
      <c r="N24" s="89" t="s">
        <v>13</v>
      </c>
      <c r="O24" s="89" t="s">
        <v>14</v>
      </c>
      <c r="P24" s="90" t="s">
        <v>15</v>
      </c>
      <c r="Q24" s="81" t="s">
        <v>16</v>
      </c>
      <c r="R24" s="57" t="s">
        <v>17</v>
      </c>
      <c r="S24" s="57" t="s">
        <v>22</v>
      </c>
      <c r="T24" s="57" t="s">
        <v>18</v>
      </c>
      <c r="U24" s="57" t="s">
        <v>23</v>
      </c>
      <c r="V24" s="57" t="s">
        <v>19</v>
      </c>
      <c r="W24" s="57" t="s">
        <v>24</v>
      </c>
      <c r="X24" s="57" t="s">
        <v>20</v>
      </c>
      <c r="Y24" s="57" t="s">
        <v>21</v>
      </c>
      <c r="Z24" s="21" t="s">
        <v>13</v>
      </c>
      <c r="AA24" s="21" t="s">
        <v>14</v>
      </c>
      <c r="AB24" s="21" t="s">
        <v>15</v>
      </c>
      <c r="AC24" s="21" t="s">
        <v>16</v>
      </c>
      <c r="AD24" s="57" t="s">
        <v>17</v>
      </c>
      <c r="AE24" s="89" t="s">
        <v>22</v>
      </c>
      <c r="AF24" s="89" t="s">
        <v>18</v>
      </c>
      <c r="AG24" s="89" t="s">
        <v>23</v>
      </c>
    </row>
    <row r="25" spans="1:33" ht="28.5" customHeight="1" x14ac:dyDescent="0.25">
      <c r="A25" s="13" t="s">
        <v>55</v>
      </c>
      <c r="B25" s="15">
        <v>90.925213233797848</v>
      </c>
      <c r="C25" s="15">
        <v>114.41147354263464</v>
      </c>
      <c r="D25" s="15">
        <v>114.20579997969134</v>
      </c>
      <c r="E25" s="15">
        <v>84.167356355788357</v>
      </c>
      <c r="F25" s="15">
        <v>92.421884276527052</v>
      </c>
      <c r="G25" s="15">
        <v>112.45124175218632</v>
      </c>
      <c r="H25" s="15">
        <v>106.13290668113962</v>
      </c>
      <c r="I25" s="15">
        <v>98.163759117159898</v>
      </c>
      <c r="J25" s="15">
        <v>124.79747973247373</v>
      </c>
      <c r="K25" s="15">
        <v>119.44752327758337</v>
      </c>
      <c r="L25" s="15">
        <v>103.29810746017232</v>
      </c>
      <c r="M25" s="11">
        <v>89.310814590947814</v>
      </c>
      <c r="N25" s="55">
        <v>101.65548055101389</v>
      </c>
      <c r="O25" s="14">
        <v>101.84864374682041</v>
      </c>
      <c r="P25" s="14">
        <v>117.64360095679429</v>
      </c>
      <c r="Q25" s="56">
        <v>100.12867315249881</v>
      </c>
      <c r="R25" s="14">
        <v>104.95231951698101</v>
      </c>
      <c r="S25" s="14">
        <v>100.11263227721525</v>
      </c>
      <c r="T25" s="14">
        <v>81.219091406345484</v>
      </c>
      <c r="U25" s="14">
        <v>97.395817403540036</v>
      </c>
      <c r="V25" s="14">
        <v>96.775293757579718</v>
      </c>
      <c r="W25" s="79">
        <v>110.41268252711565</v>
      </c>
      <c r="X25" s="79">
        <v>101.07685140675132</v>
      </c>
      <c r="Y25" s="77">
        <v>98.231011775552389</v>
      </c>
      <c r="Z25" s="98">
        <v>94.738709353020752</v>
      </c>
      <c r="AA25" s="79">
        <v>107.53426152887265</v>
      </c>
      <c r="AB25" s="79">
        <v>108.10569775638508</v>
      </c>
      <c r="AC25" s="79">
        <v>82.37132224691446</v>
      </c>
      <c r="AD25" s="14">
        <v>106.12742375699248</v>
      </c>
      <c r="AE25" s="79">
        <v>94.101008956084598</v>
      </c>
      <c r="AF25" s="79">
        <v>96.083754729334231</v>
      </c>
      <c r="AG25" s="77">
        <v>105.69719732985806</v>
      </c>
    </row>
    <row r="26" spans="1:33" ht="40.5" customHeight="1" x14ac:dyDescent="0.25">
      <c r="A26" s="18" t="s">
        <v>56</v>
      </c>
      <c r="B26" s="19">
        <f>IF(219472.10441="","-",198437.26393/219472.10441*100)</f>
        <v>90.415711128050958</v>
      </c>
      <c r="C26" s="10">
        <f>IF(245324.45574="","-",227034.99772/245324.45574*100)</f>
        <v>92.544788099159774</v>
      </c>
      <c r="D26" s="10">
        <f>IF(210230.63314="","-",259287.13538/210230.63314*100)</f>
        <v>123.33461185332185</v>
      </c>
      <c r="E26" s="10">
        <f>IF(149859.83301="","-",218235.12722/149859.83301*100)</f>
        <v>145.62616468779689</v>
      </c>
      <c r="F26" s="10">
        <f>IF(155710.73078="","-",201697.01673/155710.73078*100)</f>
        <v>129.53315145310887</v>
      </c>
      <c r="G26" s="10">
        <f>IF(189578.77956="","-",226810.79989/189578.77956*100)</f>
        <v>119.63933960141166</v>
      </c>
      <c r="H26" s="10">
        <f>IF(191130.33065="","-",240720.89459/191130.33065*100)</f>
        <v>125.94594158412818</v>
      </c>
      <c r="I26" s="10">
        <f>IF(163909.5874="","-",236300.67911/163909.5874*100)</f>
        <v>144.1652577242715</v>
      </c>
      <c r="J26" s="10">
        <f>IF(212259.13319="","-",294897.29212/212259.13319*100)</f>
        <v>138.93267521074247</v>
      </c>
      <c r="K26" s="10">
        <f>IF(249353.22858="","-",352247.51165/249353.22858*100)</f>
        <v>141.26446794210585</v>
      </c>
      <c r="L26" s="10">
        <f>IF(262034.9772="","-",363865.01311/262034.9772*100)</f>
        <v>138.86123791492062</v>
      </c>
      <c r="M26" s="12">
        <f>IF(218242.28602="","-",324970.80722/218242.28602*100)</f>
        <v>148.90368550768355</v>
      </c>
      <c r="N26" s="19">
        <f>IF(198437.26393="","-",330345.74715/198437.26393*100)</f>
        <v>166.47364542706634</v>
      </c>
      <c r="O26" s="78">
        <f>IF(227034.99772="","-",336464.33268/227034.99772*100)</f>
        <v>148.19932435921535</v>
      </c>
      <c r="P26" s="78">
        <f>IF(259287.13538="","-",395828.7569/259287.13538*100)</f>
        <v>152.66039185472528</v>
      </c>
      <c r="Q26" s="78">
        <f>IF(218235.12722="","-",396338.08224/218235.12722*100)</f>
        <v>181.61058088529293</v>
      </c>
      <c r="R26" s="78">
        <f>IF(201697.01673="","-",415966.01044/201697.01673*100)</f>
        <v>206.23310011413275</v>
      </c>
      <c r="S26" s="78">
        <f>IF(226810.79989="","-",416434.52243/226810.79989*100)</f>
        <v>183.60436215205132</v>
      </c>
      <c r="T26" s="78">
        <f>IF(240720.89459="","-",338224.33542/240720.89459*100)</f>
        <v>140.50476839414773</v>
      </c>
      <c r="U26" s="78">
        <f>IF(236300.67911="","-",329416.35614/236300.67911*100)</f>
        <v>139.40559010693906</v>
      </c>
      <c r="V26" s="78">
        <f>IF(294897.29212="","-",318793.64634/294897.29212*100)</f>
        <v>108.10328031438013</v>
      </c>
      <c r="W26" s="10">
        <f>IF(352247.51165="","-",351988.61665/352247.51165*100)</f>
        <v>99.926501964829413</v>
      </c>
      <c r="X26" s="10">
        <f>IF(363865.01311="","-",355779.01102/363865.01311*100)</f>
        <v>97.777746747100537</v>
      </c>
      <c r="Y26" s="12">
        <f>IF(324970.80722="","-",349485.32221/324970.80722*100)</f>
        <v>107.54360528556772</v>
      </c>
      <c r="Z26" s="99">
        <f>IF(330357.20487="","-",331097.88364/330357.20487*100)</f>
        <v>100.22420542342689</v>
      </c>
      <c r="AA26" s="10">
        <f>IF(336464.33268="","-",356043.66411/336464.33268*100)</f>
        <v>105.8191402559811</v>
      </c>
      <c r="AB26" s="78">
        <f>IF(395828.7569="","-",384903.48749/395828.7569*100)</f>
        <v>97.239900027586913</v>
      </c>
      <c r="AC26" s="78">
        <f>IF(396338.08224="","-",317050.09202/396338.08224*100)</f>
        <v>79.994859496749626</v>
      </c>
      <c r="AD26" s="78">
        <f>IF(415966.01044="","-",336477.09468/415966.01044*100)</f>
        <v>80.890526205273758</v>
      </c>
      <c r="AE26" s="78">
        <f>IF(416434.52243="","-",316628.341/416434.52243*100)</f>
        <v>76.033163425643508</v>
      </c>
      <c r="AF26" s="78">
        <f>IF(338224.33542="","-",304228.39857/338224.33542*100)</f>
        <v>89.948701707763121</v>
      </c>
      <c r="AG26" s="111">
        <f>IF(329416.35614="","-",321560.89077/329416.35614*100)</f>
        <v>97.615338393621997</v>
      </c>
    </row>
    <row r="29" spans="1:33" ht="15.6" x14ac:dyDescent="0.3">
      <c r="N29" s="64"/>
      <c r="O29" s="84"/>
      <c r="P29" s="60"/>
      <c r="Q29" s="85"/>
      <c r="R29" s="60"/>
      <c r="S29" s="60"/>
      <c r="T29" s="60"/>
      <c r="U29" s="60"/>
      <c r="V29" s="60"/>
      <c r="W29" s="75"/>
      <c r="X29" s="75"/>
      <c r="Y29" s="75"/>
    </row>
    <row r="30" spans="1:33" ht="15.6" x14ac:dyDescent="0.3">
      <c r="N30" s="61"/>
      <c r="O30" s="86"/>
      <c r="P30" s="87"/>
      <c r="Q30" s="87"/>
      <c r="R30" s="87"/>
      <c r="S30" s="87"/>
      <c r="T30" s="87"/>
      <c r="U30" s="87"/>
      <c r="V30" s="87"/>
      <c r="W30" s="64"/>
      <c r="X30" s="64"/>
      <c r="Y30" s="83"/>
    </row>
    <row r="33" spans="14:21" ht="15.6" x14ac:dyDescent="0.3">
      <c r="N33" s="64"/>
      <c r="O33" s="65"/>
      <c r="P33" s="66"/>
      <c r="Q33" s="66"/>
      <c r="R33" s="66"/>
      <c r="S33" s="67"/>
      <c r="T33" s="46"/>
      <c r="U33" s="46"/>
    </row>
    <row r="34" spans="14:21" ht="15.6" x14ac:dyDescent="0.3">
      <c r="N34" s="66"/>
      <c r="O34" s="66"/>
      <c r="P34" s="66"/>
      <c r="Q34" s="66"/>
      <c r="R34" s="66"/>
      <c r="S34" s="67"/>
      <c r="T34" s="46"/>
      <c r="U34" s="46"/>
    </row>
    <row r="35" spans="14:21" ht="15.6" x14ac:dyDescent="0.3">
      <c r="N35" s="68"/>
      <c r="O35" s="68"/>
      <c r="P35" s="66"/>
      <c r="Q35" s="66"/>
      <c r="R35" s="68"/>
      <c r="S35" s="69"/>
      <c r="T35" s="69"/>
      <c r="U35" s="69"/>
    </row>
    <row r="36" spans="14:21" ht="15.6" x14ac:dyDescent="0.3">
      <c r="N36" s="68"/>
      <c r="O36" s="68"/>
      <c r="P36" s="66"/>
      <c r="Q36" s="66"/>
      <c r="R36" s="68"/>
      <c r="S36" s="69"/>
      <c r="T36" s="69"/>
      <c r="U36" s="69"/>
    </row>
    <row r="37" spans="14:21" ht="16.8" x14ac:dyDescent="0.3">
      <c r="N37" s="63"/>
      <c r="O37" s="65"/>
      <c r="P37" s="66"/>
      <c r="Q37" s="66"/>
      <c r="R37" s="66"/>
      <c r="S37" s="70"/>
      <c r="T37" s="46"/>
      <c r="U37" s="42"/>
    </row>
    <row r="38" spans="14:21" ht="15.6" x14ac:dyDescent="0.3">
      <c r="N38" s="66"/>
      <c r="O38" s="66"/>
      <c r="P38" s="66"/>
      <c r="Q38" s="66"/>
      <c r="R38" s="66"/>
      <c r="S38" s="67"/>
      <c r="T38" s="46"/>
      <c r="U38" s="46"/>
    </row>
  </sheetData>
  <mergeCells count="5">
    <mergeCell ref="A23:A24"/>
    <mergeCell ref="B23:M23"/>
    <mergeCell ref="N23:Y23"/>
    <mergeCell ref="A2:S2"/>
    <mergeCell ref="Z23:AG2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D32" sqref="D32"/>
    </sheetView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29"/>
  <sheetViews>
    <sheetView workbookViewId="0">
      <selection activeCell="A2" sqref="A2:G2"/>
    </sheetView>
  </sheetViews>
  <sheetFormatPr defaultColWidth="9.109375" defaultRowHeight="11.4" x14ac:dyDescent="0.2"/>
  <cols>
    <col min="1" max="1" width="24.44140625" style="3" customWidth="1"/>
    <col min="2" max="2" width="14.5546875" style="3" customWidth="1"/>
    <col min="3" max="3" width="14.6640625" style="3" customWidth="1"/>
    <col min="4" max="4" width="14.109375" style="3" customWidth="1"/>
    <col min="5" max="5" width="15" style="3" customWidth="1"/>
    <col min="6" max="7" width="14.33203125" style="3" customWidth="1"/>
    <col min="8" max="8" width="14.88671875" style="3" customWidth="1"/>
    <col min="9" max="16384" width="9.109375" style="3"/>
  </cols>
  <sheetData>
    <row r="2" spans="1:7" ht="13.2" x14ac:dyDescent="0.2">
      <c r="A2" s="157" t="s">
        <v>108</v>
      </c>
      <c r="B2" s="157"/>
      <c r="C2" s="157"/>
      <c r="D2" s="157"/>
      <c r="E2" s="157"/>
      <c r="F2" s="157"/>
      <c r="G2" s="157"/>
    </row>
    <row r="3" spans="1:7" ht="5.25" customHeight="1" x14ac:dyDescent="0.2">
      <c r="A3" s="73"/>
      <c r="B3" s="73"/>
      <c r="C3" s="73"/>
      <c r="D3" s="73"/>
      <c r="E3" s="73"/>
      <c r="F3" s="73"/>
      <c r="G3" s="73"/>
    </row>
    <row r="4" spans="1:7" ht="17.25" customHeight="1" x14ac:dyDescent="0.2">
      <c r="A4" s="73"/>
      <c r="B4" s="73"/>
      <c r="C4" s="73"/>
      <c r="D4" s="73"/>
      <c r="E4" s="73"/>
      <c r="F4" s="73"/>
      <c r="G4" s="73"/>
    </row>
    <row r="5" spans="1:7" ht="17.25" customHeight="1" x14ac:dyDescent="0.25">
      <c r="A5" s="4"/>
      <c r="B5" s="4"/>
      <c r="C5" s="4"/>
      <c r="D5" s="4"/>
      <c r="E5" s="4"/>
      <c r="F5" s="4"/>
      <c r="G5" s="4"/>
    </row>
    <row r="6" spans="1:7" ht="17.25" customHeight="1" x14ac:dyDescent="0.25">
      <c r="A6" s="4"/>
      <c r="B6" s="4"/>
      <c r="C6" s="4"/>
      <c r="D6" s="4"/>
      <c r="E6" s="4"/>
      <c r="F6" s="4"/>
      <c r="G6" s="4"/>
    </row>
    <row r="7" spans="1:7" ht="17.25" customHeight="1" x14ac:dyDescent="0.25">
      <c r="A7" s="4"/>
      <c r="B7" s="4"/>
      <c r="C7" s="4"/>
      <c r="D7" s="4"/>
      <c r="E7" s="4"/>
      <c r="F7" s="4"/>
      <c r="G7" s="4"/>
    </row>
    <row r="8" spans="1:7" ht="17.25" customHeight="1" x14ac:dyDescent="0.25">
      <c r="A8" s="4"/>
      <c r="B8" s="4"/>
      <c r="C8" s="4"/>
      <c r="D8" s="4"/>
      <c r="E8" s="4"/>
      <c r="F8" s="4"/>
      <c r="G8" s="4"/>
    </row>
    <row r="9" spans="1:7" ht="17.25" customHeight="1" x14ac:dyDescent="0.25">
      <c r="A9" s="4"/>
      <c r="B9" s="4"/>
      <c r="C9" s="4"/>
      <c r="D9" s="4"/>
      <c r="E9" s="4"/>
      <c r="F9" s="4"/>
      <c r="G9" s="4"/>
    </row>
    <row r="10" spans="1:7" ht="17.25" customHeight="1" x14ac:dyDescent="0.25">
      <c r="A10" s="4"/>
      <c r="B10" s="4"/>
      <c r="C10" s="4"/>
      <c r="D10" s="4"/>
      <c r="E10" s="4"/>
      <c r="F10" s="4"/>
      <c r="G10" s="4"/>
    </row>
    <row r="11" spans="1:7" ht="17.25" customHeight="1" x14ac:dyDescent="0.25">
      <c r="A11" s="4"/>
      <c r="B11" s="4"/>
      <c r="C11" s="4"/>
      <c r="D11" s="4"/>
      <c r="E11" s="4"/>
      <c r="F11" s="4"/>
      <c r="G11" s="4"/>
    </row>
    <row r="12" spans="1:7" ht="17.25" customHeight="1" x14ac:dyDescent="0.25">
      <c r="A12" s="4"/>
      <c r="B12" s="4"/>
      <c r="C12" s="4"/>
      <c r="D12" s="4"/>
      <c r="E12" s="4"/>
      <c r="F12" s="4"/>
      <c r="G12" s="4"/>
    </row>
    <row r="13" spans="1:7" ht="17.25" customHeight="1" x14ac:dyDescent="0.25">
      <c r="A13" s="4"/>
      <c r="B13" s="4"/>
      <c r="C13" s="4"/>
      <c r="D13" s="4"/>
      <c r="E13" s="4"/>
      <c r="F13" s="4"/>
      <c r="G13" s="4"/>
    </row>
    <row r="14" spans="1:7" ht="17.25" customHeight="1" x14ac:dyDescent="0.25">
      <c r="A14" s="4"/>
      <c r="B14" s="4"/>
      <c r="C14" s="4"/>
      <c r="D14" s="4"/>
      <c r="E14" s="4"/>
      <c r="F14" s="4"/>
      <c r="G14" s="4"/>
    </row>
    <row r="15" spans="1:7" ht="17.25" customHeight="1" x14ac:dyDescent="0.25">
      <c r="A15" s="4"/>
      <c r="B15" s="4"/>
      <c r="C15" s="4"/>
      <c r="D15" s="4"/>
      <c r="E15" s="4"/>
      <c r="F15" s="4"/>
      <c r="G15" s="4"/>
    </row>
    <row r="16" spans="1:7" ht="17.25" customHeight="1" x14ac:dyDescent="0.25">
      <c r="A16" s="4"/>
      <c r="B16" s="4"/>
      <c r="C16" s="4"/>
      <c r="D16" s="4"/>
      <c r="E16" s="4"/>
      <c r="F16" s="4"/>
      <c r="G16" s="4"/>
    </row>
    <row r="17" spans="1:7" ht="17.25" customHeight="1" x14ac:dyDescent="0.25">
      <c r="A17" s="4"/>
      <c r="B17" s="4"/>
      <c r="C17" s="4"/>
      <c r="D17" s="4"/>
      <c r="E17" s="4"/>
      <c r="F17" s="4"/>
      <c r="G17" s="4"/>
    </row>
    <row r="18" spans="1:7" ht="17.25" customHeight="1" x14ac:dyDescent="0.25">
      <c r="A18" s="4"/>
      <c r="B18" s="4"/>
      <c r="C18" s="4"/>
      <c r="D18" s="4"/>
      <c r="E18" s="4"/>
      <c r="F18" s="4"/>
      <c r="G18" s="4"/>
    </row>
    <row r="19" spans="1:7" ht="17.25" customHeight="1" x14ac:dyDescent="0.25">
      <c r="A19" s="4"/>
      <c r="B19" s="4"/>
      <c r="C19" s="4"/>
      <c r="D19" s="4"/>
      <c r="E19" s="4"/>
      <c r="F19" s="4"/>
      <c r="G19" s="4"/>
    </row>
    <row r="20" spans="1:7" ht="17.25" customHeight="1" x14ac:dyDescent="0.25">
      <c r="A20" s="4"/>
      <c r="B20" s="4"/>
      <c r="C20" s="4"/>
      <c r="D20" s="4"/>
      <c r="E20" s="4"/>
      <c r="F20" s="4"/>
      <c r="G20" s="4"/>
    </row>
    <row r="21" spans="1:7" ht="15" customHeight="1" x14ac:dyDescent="0.25">
      <c r="A21" s="4"/>
      <c r="B21" s="4"/>
      <c r="C21" s="4"/>
      <c r="D21" s="4"/>
      <c r="E21" s="4"/>
      <c r="F21" s="4"/>
      <c r="G21" s="4"/>
    </row>
    <row r="22" spans="1:7" ht="15" customHeight="1" x14ac:dyDescent="0.2"/>
    <row r="23" spans="1:7" ht="30" customHeight="1" x14ac:dyDescent="0.2">
      <c r="A23" s="38" t="s">
        <v>25</v>
      </c>
      <c r="B23" s="24" t="s">
        <v>99</v>
      </c>
      <c r="C23" s="24" t="s">
        <v>100</v>
      </c>
      <c r="D23" s="24" t="s">
        <v>101</v>
      </c>
      <c r="E23" s="24" t="s">
        <v>102</v>
      </c>
      <c r="F23" s="24" t="s">
        <v>103</v>
      </c>
      <c r="G23" s="24" t="s">
        <v>104</v>
      </c>
    </row>
    <row r="24" spans="1:7" ht="12" x14ac:dyDescent="0.25">
      <c r="A24" s="100" t="s">
        <v>26</v>
      </c>
      <c r="B24" s="130">
        <v>13.2</v>
      </c>
      <c r="C24" s="119">
        <v>15.4</v>
      </c>
      <c r="D24" s="119">
        <v>6.6</v>
      </c>
      <c r="E24" s="119">
        <v>8</v>
      </c>
      <c r="F24" s="119">
        <v>6.8</v>
      </c>
      <c r="G24" s="131">
        <v>7</v>
      </c>
    </row>
    <row r="25" spans="1:7" ht="12" x14ac:dyDescent="0.25">
      <c r="A25" s="101" t="s">
        <v>27</v>
      </c>
      <c r="B25" s="132">
        <v>3.1</v>
      </c>
      <c r="C25" s="143">
        <v>9</v>
      </c>
      <c r="D25" s="143">
        <v>2.6</v>
      </c>
      <c r="E25" s="143">
        <v>3.4</v>
      </c>
      <c r="F25" s="143">
        <v>4.5</v>
      </c>
      <c r="G25" s="133">
        <v>3.7</v>
      </c>
    </row>
    <row r="26" spans="1:7" ht="12" x14ac:dyDescent="0.25">
      <c r="A26" s="101" t="s">
        <v>28</v>
      </c>
      <c r="B26" s="132">
        <v>81.599999999999994</v>
      </c>
      <c r="C26" s="143">
        <v>74.5</v>
      </c>
      <c r="D26" s="143">
        <v>89.6</v>
      </c>
      <c r="E26" s="143">
        <v>87.4</v>
      </c>
      <c r="F26" s="143">
        <v>87</v>
      </c>
      <c r="G26" s="133">
        <v>87.2</v>
      </c>
    </row>
    <row r="27" spans="1:7" ht="12" x14ac:dyDescent="0.25">
      <c r="A27" s="101" t="s">
        <v>29</v>
      </c>
      <c r="B27" s="132">
        <v>1.1000000000000001</v>
      </c>
      <c r="C27" s="143">
        <v>0.8</v>
      </c>
      <c r="D27" s="143">
        <v>1.1000000000000001</v>
      </c>
      <c r="E27" s="143">
        <v>1.1000000000000001</v>
      </c>
      <c r="F27" s="143">
        <v>1.6</v>
      </c>
      <c r="G27" s="133">
        <v>2.1</v>
      </c>
    </row>
    <row r="28" spans="1:7" ht="12" x14ac:dyDescent="0.25">
      <c r="A28" s="101" t="s">
        <v>45</v>
      </c>
      <c r="B28" s="132">
        <v>0</v>
      </c>
      <c r="C28" s="143">
        <v>0</v>
      </c>
      <c r="D28" s="143">
        <v>0.1</v>
      </c>
      <c r="E28" s="143">
        <v>0.1</v>
      </c>
      <c r="F28" s="143">
        <v>0.1</v>
      </c>
      <c r="G28" s="133">
        <v>0</v>
      </c>
    </row>
    <row r="29" spans="1:7" ht="12" x14ac:dyDescent="0.25">
      <c r="A29" s="32" t="s">
        <v>46</v>
      </c>
      <c r="B29" s="118">
        <v>1</v>
      </c>
      <c r="C29" s="121">
        <v>0.3</v>
      </c>
      <c r="D29" s="121">
        <v>0</v>
      </c>
      <c r="E29" s="121">
        <v>0</v>
      </c>
      <c r="F29" s="121">
        <v>0</v>
      </c>
      <c r="G29" s="134">
        <v>0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32"/>
  <sheetViews>
    <sheetView workbookViewId="0">
      <selection activeCell="A2" sqref="A2:G2"/>
    </sheetView>
  </sheetViews>
  <sheetFormatPr defaultColWidth="9.109375" defaultRowHeight="11.4" x14ac:dyDescent="0.2"/>
  <cols>
    <col min="1" max="1" width="21.109375" style="3" bestFit="1" customWidth="1"/>
    <col min="2" max="2" width="14.6640625" style="3" customWidth="1"/>
    <col min="3" max="5" width="14.88671875" style="3" customWidth="1"/>
    <col min="6" max="6" width="15" style="3" customWidth="1"/>
    <col min="7" max="7" width="13.6640625" style="3" customWidth="1"/>
    <col min="8" max="16384" width="9.109375" style="3"/>
  </cols>
  <sheetData>
    <row r="2" spans="1:13" ht="13.2" x14ac:dyDescent="0.2">
      <c r="A2" s="157" t="s">
        <v>109</v>
      </c>
      <c r="B2" s="157"/>
      <c r="C2" s="157"/>
      <c r="D2" s="157"/>
      <c r="E2" s="157"/>
      <c r="F2" s="157"/>
      <c r="G2" s="157"/>
      <c r="H2" s="39"/>
      <c r="I2" s="39"/>
      <c r="J2" s="39"/>
      <c r="K2" s="39"/>
      <c r="L2" s="39"/>
      <c r="M2" s="39"/>
    </row>
    <row r="3" spans="1:13" ht="11.25" customHeight="1" x14ac:dyDescent="0.2">
      <c r="A3" s="74"/>
      <c r="B3" s="74"/>
      <c r="C3" s="74"/>
      <c r="D3" s="74"/>
      <c r="E3" s="74"/>
      <c r="F3" s="74"/>
      <c r="G3" s="74"/>
      <c r="H3" s="39"/>
      <c r="I3" s="39"/>
      <c r="J3" s="39"/>
      <c r="K3" s="39"/>
      <c r="L3" s="39"/>
      <c r="M3" s="39"/>
    </row>
    <row r="4" spans="1:13" ht="12" x14ac:dyDescent="0.25">
      <c r="A4" s="4"/>
      <c r="B4" s="4"/>
      <c r="C4" s="4"/>
      <c r="D4" s="4"/>
      <c r="E4" s="4"/>
      <c r="F4" s="4"/>
      <c r="G4" s="4"/>
    </row>
    <row r="5" spans="1:13" ht="12" x14ac:dyDescent="0.25">
      <c r="A5" s="4"/>
      <c r="B5" s="4"/>
      <c r="C5" s="4"/>
      <c r="D5" s="4"/>
      <c r="E5" s="4"/>
      <c r="F5" s="4"/>
      <c r="G5" s="4"/>
    </row>
    <row r="6" spans="1:13" ht="12" x14ac:dyDescent="0.25">
      <c r="A6" s="4"/>
      <c r="B6" s="4"/>
      <c r="C6" s="4"/>
      <c r="D6" s="4"/>
      <c r="E6" s="4"/>
      <c r="F6" s="4"/>
      <c r="G6" s="4"/>
    </row>
    <row r="7" spans="1:13" ht="12" x14ac:dyDescent="0.25">
      <c r="A7" s="4"/>
      <c r="B7" s="4"/>
      <c r="C7" s="4"/>
      <c r="D7" s="4"/>
      <c r="E7" s="4"/>
      <c r="F7" s="4"/>
      <c r="G7" s="4"/>
    </row>
    <row r="8" spans="1:13" ht="12" x14ac:dyDescent="0.25">
      <c r="A8" s="4"/>
      <c r="B8" s="4"/>
      <c r="C8" s="4"/>
      <c r="D8" s="4"/>
      <c r="E8" s="4"/>
      <c r="F8" s="4"/>
      <c r="G8" s="4"/>
    </row>
    <row r="9" spans="1:13" ht="12" x14ac:dyDescent="0.25">
      <c r="A9" s="4"/>
      <c r="B9" s="4"/>
      <c r="C9" s="4"/>
      <c r="D9" s="4"/>
      <c r="E9" s="4"/>
      <c r="F9" s="4"/>
      <c r="G9" s="4"/>
    </row>
    <row r="10" spans="1:13" ht="12" x14ac:dyDescent="0.25">
      <c r="A10" s="4"/>
      <c r="B10" s="4"/>
      <c r="C10" s="4"/>
      <c r="D10" s="4"/>
      <c r="E10" s="4"/>
      <c r="F10" s="4"/>
      <c r="G10" s="4"/>
    </row>
    <row r="11" spans="1:13" ht="12" x14ac:dyDescent="0.25">
      <c r="A11" s="4"/>
      <c r="B11" s="4"/>
      <c r="C11" s="4"/>
      <c r="D11" s="4"/>
      <c r="E11" s="4"/>
      <c r="F11" s="4"/>
      <c r="G11" s="4"/>
    </row>
    <row r="12" spans="1:13" ht="12" x14ac:dyDescent="0.25">
      <c r="A12" s="4"/>
      <c r="B12" s="4"/>
      <c r="C12" s="4"/>
      <c r="D12" s="4"/>
      <c r="E12" s="4"/>
      <c r="F12" s="4"/>
      <c r="G12" s="4"/>
    </row>
    <row r="13" spans="1:13" ht="12" x14ac:dyDescent="0.25">
      <c r="A13" s="4"/>
      <c r="B13" s="4"/>
      <c r="C13" s="4"/>
      <c r="D13" s="4"/>
      <c r="E13" s="4"/>
      <c r="F13" s="4"/>
      <c r="G13" s="4"/>
    </row>
    <row r="14" spans="1:13" ht="12" x14ac:dyDescent="0.25">
      <c r="A14" s="4"/>
      <c r="B14" s="4"/>
      <c r="C14" s="4"/>
      <c r="D14" s="4"/>
      <c r="E14" s="4"/>
      <c r="F14" s="4"/>
      <c r="G14" s="4"/>
    </row>
    <row r="15" spans="1:13" ht="12" x14ac:dyDescent="0.25">
      <c r="A15" s="4"/>
      <c r="B15" s="4"/>
      <c r="C15" s="4"/>
      <c r="D15" s="4"/>
      <c r="E15" s="4"/>
      <c r="F15" s="4"/>
      <c r="G15" s="4"/>
    </row>
    <row r="16" spans="1:13" ht="12" x14ac:dyDescent="0.25">
      <c r="A16" s="4"/>
      <c r="B16" s="4"/>
      <c r="C16" s="4"/>
      <c r="D16" s="4"/>
      <c r="E16" s="4"/>
      <c r="F16" s="4"/>
      <c r="G16" s="4"/>
    </row>
    <row r="17" spans="1:8" ht="12" x14ac:dyDescent="0.25">
      <c r="A17" s="4"/>
      <c r="B17" s="4"/>
      <c r="C17" s="4"/>
      <c r="D17" s="4"/>
      <c r="E17" s="4"/>
      <c r="F17" s="4"/>
      <c r="G17" s="4"/>
    </row>
    <row r="18" spans="1:8" ht="12" x14ac:dyDescent="0.25">
      <c r="A18" s="4"/>
      <c r="B18" s="4"/>
      <c r="C18" s="4"/>
      <c r="D18" s="4"/>
      <c r="E18" s="4"/>
      <c r="F18" s="4"/>
      <c r="G18" s="4"/>
    </row>
    <row r="19" spans="1:8" ht="12" x14ac:dyDescent="0.25">
      <c r="A19" s="5"/>
    </row>
    <row r="20" spans="1:8" ht="12" x14ac:dyDescent="0.25">
      <c r="A20" s="5"/>
    </row>
    <row r="21" spans="1:8" ht="30.75" customHeight="1" x14ac:dyDescent="0.2">
      <c r="A21" s="20"/>
      <c r="B21" s="9" t="s">
        <v>104</v>
      </c>
      <c r="C21" s="9" t="s">
        <v>103</v>
      </c>
      <c r="D21" s="9" t="s">
        <v>102</v>
      </c>
      <c r="E21" s="9" t="s">
        <v>101</v>
      </c>
      <c r="F21" s="9" t="s">
        <v>100</v>
      </c>
      <c r="G21" s="9" t="s">
        <v>99</v>
      </c>
    </row>
    <row r="22" spans="1:8" ht="15" customHeight="1" x14ac:dyDescent="0.25">
      <c r="A22" s="16" t="s">
        <v>30</v>
      </c>
      <c r="B22" s="130">
        <v>66</v>
      </c>
      <c r="C22" s="119">
        <v>63.7</v>
      </c>
      <c r="D22" s="119">
        <v>65</v>
      </c>
      <c r="E22" s="119">
        <v>62.6</v>
      </c>
      <c r="F22" s="119">
        <v>59.5</v>
      </c>
      <c r="G22" s="131">
        <v>63.1</v>
      </c>
      <c r="H22" s="6"/>
    </row>
    <row r="23" spans="1:8" ht="14.25" customHeight="1" x14ac:dyDescent="0.25">
      <c r="A23" s="17" t="s">
        <v>31</v>
      </c>
      <c r="B23" s="132">
        <v>15.8</v>
      </c>
      <c r="C23" s="143">
        <v>14.6</v>
      </c>
      <c r="D23" s="143">
        <v>16.2</v>
      </c>
      <c r="E23" s="143">
        <v>15.6</v>
      </c>
      <c r="F23" s="143">
        <v>21</v>
      </c>
      <c r="G23" s="133">
        <v>24.4</v>
      </c>
      <c r="H23" s="6"/>
    </row>
    <row r="24" spans="1:8" ht="15" customHeight="1" x14ac:dyDescent="0.25">
      <c r="A24" s="18" t="s">
        <v>32</v>
      </c>
      <c r="B24" s="118">
        <v>18.2</v>
      </c>
      <c r="C24" s="121">
        <v>21.7</v>
      </c>
      <c r="D24" s="121">
        <v>18.8</v>
      </c>
      <c r="E24" s="121">
        <v>21.8</v>
      </c>
      <c r="F24" s="121">
        <v>19.5</v>
      </c>
      <c r="G24" s="134">
        <v>12.5</v>
      </c>
      <c r="H24" s="6"/>
    </row>
    <row r="30" spans="1:8" ht="15.6" x14ac:dyDescent="0.2">
      <c r="B30" s="52"/>
      <c r="C30" s="52"/>
      <c r="D30" s="52"/>
      <c r="E30" s="53"/>
      <c r="F30" s="52"/>
      <c r="G30" s="52"/>
    </row>
    <row r="31" spans="1:8" ht="15.6" x14ac:dyDescent="0.2">
      <c r="B31" s="52"/>
      <c r="C31" s="52"/>
      <c r="D31" s="52"/>
      <c r="E31" s="53"/>
      <c r="F31" s="52"/>
      <c r="G31" s="52"/>
    </row>
    <row r="32" spans="1:8" ht="15.6" x14ac:dyDescent="0.2">
      <c r="B32" s="52"/>
      <c r="C32" s="52"/>
      <c r="D32" s="52"/>
      <c r="E32" s="53"/>
      <c r="F32" s="52"/>
      <c r="G32" s="52"/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46"/>
  <sheetViews>
    <sheetView workbookViewId="0">
      <selection activeCell="A2" sqref="A2:G2"/>
    </sheetView>
  </sheetViews>
  <sheetFormatPr defaultColWidth="9.109375" defaultRowHeight="11.4" x14ac:dyDescent="0.2"/>
  <cols>
    <col min="1" max="1" width="21" style="3" customWidth="1"/>
    <col min="2" max="3" width="14.5546875" style="3" customWidth="1"/>
    <col min="4" max="4" width="14.33203125" style="3" customWidth="1"/>
    <col min="5" max="5" width="14.109375" style="3" customWidth="1"/>
    <col min="6" max="6" width="14.33203125" style="3" customWidth="1"/>
    <col min="7" max="7" width="14.44140625" style="3" customWidth="1"/>
    <col min="8" max="16384" width="9.109375" style="3"/>
  </cols>
  <sheetData>
    <row r="2" spans="1:7" ht="13.2" x14ac:dyDescent="0.2">
      <c r="A2" s="157" t="s">
        <v>110</v>
      </c>
      <c r="B2" s="157"/>
      <c r="C2" s="157"/>
      <c r="D2" s="157"/>
      <c r="E2" s="157"/>
      <c r="F2" s="157"/>
      <c r="G2" s="157"/>
    </row>
    <row r="3" spans="1:7" x14ac:dyDescent="0.2">
      <c r="A3" s="73"/>
      <c r="B3" s="73"/>
      <c r="C3" s="73"/>
      <c r="D3" s="73"/>
      <c r="E3" s="73"/>
      <c r="F3" s="73"/>
      <c r="G3" s="73"/>
    </row>
    <row r="4" spans="1:7" ht="13.5" customHeight="1" x14ac:dyDescent="0.25">
      <c r="A4" s="4"/>
      <c r="B4" s="4"/>
      <c r="C4" s="4"/>
      <c r="D4" s="4"/>
      <c r="E4" s="4"/>
      <c r="F4" s="4"/>
      <c r="G4" s="4"/>
    </row>
    <row r="5" spans="1:7" ht="13.5" customHeight="1" x14ac:dyDescent="0.25">
      <c r="A5" s="4"/>
      <c r="B5" s="4"/>
      <c r="C5" s="4"/>
      <c r="D5" s="4"/>
      <c r="E5" s="4"/>
      <c r="F5" s="4"/>
      <c r="G5" s="4"/>
    </row>
    <row r="6" spans="1:7" ht="13.5" customHeight="1" x14ac:dyDescent="0.25">
      <c r="A6" s="4"/>
      <c r="B6" s="4"/>
      <c r="C6" s="4"/>
      <c r="D6" s="4"/>
      <c r="E6" s="4"/>
      <c r="F6" s="4"/>
      <c r="G6" s="4"/>
    </row>
    <row r="7" spans="1:7" ht="13.5" customHeight="1" x14ac:dyDescent="0.25">
      <c r="A7" s="4"/>
      <c r="B7" s="4"/>
      <c r="C7" s="4"/>
      <c r="D7" s="4"/>
      <c r="E7" s="4"/>
      <c r="F7" s="4"/>
      <c r="G7" s="4"/>
    </row>
    <row r="8" spans="1:7" ht="13.5" customHeight="1" x14ac:dyDescent="0.25">
      <c r="A8" s="4"/>
      <c r="B8" s="4"/>
      <c r="C8" s="4"/>
      <c r="D8" s="4"/>
      <c r="E8" s="4"/>
      <c r="F8" s="4"/>
      <c r="G8" s="4"/>
    </row>
    <row r="9" spans="1:7" ht="13.5" customHeight="1" x14ac:dyDescent="0.25">
      <c r="A9" s="4"/>
      <c r="B9" s="4"/>
      <c r="C9" s="4"/>
      <c r="D9" s="4"/>
      <c r="E9" s="4"/>
      <c r="F9" s="4"/>
      <c r="G9" s="4"/>
    </row>
    <row r="10" spans="1:7" ht="13.5" customHeight="1" x14ac:dyDescent="0.25">
      <c r="A10" s="4"/>
      <c r="B10" s="4"/>
      <c r="C10" s="4"/>
      <c r="D10" s="4"/>
      <c r="E10" s="4"/>
      <c r="F10" s="4"/>
      <c r="G10" s="4"/>
    </row>
    <row r="11" spans="1:7" ht="13.5" customHeight="1" x14ac:dyDescent="0.25">
      <c r="A11" s="4"/>
      <c r="B11" s="4"/>
      <c r="C11" s="4"/>
      <c r="D11" s="4"/>
      <c r="E11" s="4"/>
      <c r="F11" s="4"/>
      <c r="G11" s="4"/>
    </row>
    <row r="12" spans="1:7" ht="13.5" customHeight="1" x14ac:dyDescent="0.25">
      <c r="A12" s="4"/>
      <c r="B12" s="4"/>
      <c r="C12" s="4"/>
      <c r="D12" s="4"/>
      <c r="E12" s="4"/>
      <c r="F12" s="4"/>
      <c r="G12" s="4"/>
    </row>
    <row r="13" spans="1:7" ht="13.5" customHeight="1" x14ac:dyDescent="0.25">
      <c r="A13" s="4"/>
      <c r="B13" s="4"/>
      <c r="C13" s="4"/>
      <c r="D13" s="4"/>
      <c r="E13" s="4"/>
      <c r="F13" s="4"/>
      <c r="G13" s="4"/>
    </row>
    <row r="14" spans="1:7" ht="13.5" customHeight="1" x14ac:dyDescent="0.25">
      <c r="A14" s="4"/>
      <c r="B14" s="4"/>
      <c r="C14" s="4"/>
      <c r="D14" s="4"/>
      <c r="E14" s="4"/>
      <c r="F14" s="4"/>
      <c r="G14" s="4"/>
    </row>
    <row r="15" spans="1:7" ht="13.5" customHeight="1" x14ac:dyDescent="0.25">
      <c r="A15" s="4"/>
      <c r="B15" s="4"/>
      <c r="C15" s="4"/>
      <c r="D15" s="4"/>
      <c r="E15" s="4"/>
      <c r="F15" s="4"/>
      <c r="G15" s="4"/>
    </row>
    <row r="16" spans="1:7" ht="13.5" customHeight="1" x14ac:dyDescent="0.25">
      <c r="A16" s="4"/>
      <c r="B16" s="4"/>
      <c r="C16" s="4"/>
      <c r="D16" s="4"/>
      <c r="E16" s="4"/>
      <c r="F16" s="4"/>
      <c r="G16" s="4"/>
    </row>
    <row r="17" spans="1:7" ht="13.5" customHeight="1" x14ac:dyDescent="0.25">
      <c r="A17" s="4"/>
      <c r="B17" s="4"/>
      <c r="C17" s="4"/>
      <c r="D17" s="4"/>
      <c r="E17" s="4"/>
      <c r="F17" s="4"/>
      <c r="G17" s="4"/>
    </row>
    <row r="18" spans="1:7" ht="13.5" customHeight="1" x14ac:dyDescent="0.25">
      <c r="A18" s="4"/>
      <c r="B18" s="4"/>
      <c r="C18" s="4"/>
      <c r="D18" s="4"/>
      <c r="E18" s="4"/>
      <c r="F18" s="4"/>
      <c r="G18" s="4"/>
    </row>
    <row r="19" spans="1:7" ht="13.5" customHeight="1" x14ac:dyDescent="0.25">
      <c r="A19" s="4"/>
      <c r="B19" s="4"/>
      <c r="C19" s="4"/>
      <c r="D19" s="4"/>
      <c r="E19" s="4"/>
      <c r="F19" s="4"/>
      <c r="G19" s="4"/>
    </row>
    <row r="20" spans="1:7" ht="13.5" customHeight="1" x14ac:dyDescent="0.25">
      <c r="A20" s="4"/>
      <c r="B20" s="4"/>
      <c r="C20" s="4"/>
      <c r="D20" s="4"/>
      <c r="E20" s="4"/>
      <c r="F20" s="4"/>
      <c r="G20" s="4"/>
    </row>
    <row r="21" spans="1:7" ht="13.5" customHeight="1" x14ac:dyDescent="0.25">
      <c r="A21" s="4"/>
      <c r="B21" s="4"/>
      <c r="C21" s="4"/>
      <c r="D21" s="4"/>
      <c r="E21" s="4"/>
      <c r="F21" s="4"/>
      <c r="G21" s="4"/>
    </row>
    <row r="22" spans="1:7" ht="13.5" customHeight="1" x14ac:dyDescent="0.25">
      <c r="A22" s="5"/>
    </row>
    <row r="23" spans="1:7" ht="13.5" customHeight="1" x14ac:dyDescent="0.25">
      <c r="A23" s="5"/>
    </row>
    <row r="24" spans="1:7" ht="14.25" customHeight="1" x14ac:dyDescent="0.25">
      <c r="A24" s="5"/>
    </row>
    <row r="25" spans="1:7" ht="27" customHeight="1" x14ac:dyDescent="0.2">
      <c r="A25" s="37"/>
      <c r="B25" s="9" t="s">
        <v>104</v>
      </c>
      <c r="C25" s="9" t="s">
        <v>103</v>
      </c>
      <c r="D25" s="9" t="s">
        <v>102</v>
      </c>
      <c r="E25" s="9" t="s">
        <v>101</v>
      </c>
      <c r="F25" s="9" t="s">
        <v>100</v>
      </c>
      <c r="G25" s="9" t="s">
        <v>99</v>
      </c>
    </row>
    <row r="26" spans="1:7" ht="12" x14ac:dyDescent="0.25">
      <c r="A26" s="144" t="s">
        <v>33</v>
      </c>
      <c r="B26" s="137">
        <f>IF(OR(488303.58459="",488303.58459="***"),"-",488303.58459/1752232.13505*100)</f>
        <v>27.86751679885532</v>
      </c>
      <c r="C26" s="137">
        <f>IF(507799.77685="","-",507799.77685/1787183.4192*100)</f>
        <v>28.413411370910513</v>
      </c>
      <c r="D26" s="137">
        <f>IF(414068.16234="","-",414068.16234/1525216.45469*100)</f>
        <v>27.14815730362411</v>
      </c>
      <c r="E26" s="137">
        <f>IF(495361.60105="","-",495361.60105/1808523.91457*100)</f>
        <v>27.390381573570654</v>
      </c>
      <c r="F26" s="137">
        <f>IF(836554.26489="","-",836554.26489/2959029.60112*100)</f>
        <v>28.271236778887314</v>
      </c>
      <c r="G26" s="139">
        <f>IF(888774.60726="","-",888774.60726/2667989.85236*100)</f>
        <v>33.312518279401424</v>
      </c>
    </row>
    <row r="27" spans="1:7" ht="12" x14ac:dyDescent="0.25">
      <c r="A27" s="144" t="s">
        <v>38</v>
      </c>
      <c r="B27" s="137">
        <f>IF(OR(52659.7922="",52659.7922="***"),"-",52659.7922/1752232.13505*100)</f>
        <v>3.0052977083711201</v>
      </c>
      <c r="C27" s="137">
        <f>IF(46509.82247="","-",46509.82247/1787183.4192*100)</f>
        <v>2.6024090180301287</v>
      </c>
      <c r="D27" s="137">
        <f>IF(38862.21319="","-",38862.21319/1525216.45469*100)</f>
        <v>2.5479801945815446</v>
      </c>
      <c r="E27" s="137">
        <f>IF(55957.02821="","-",55957.02821/1808523.91457*100)</f>
        <v>3.094071787450182</v>
      </c>
      <c r="F27" s="137">
        <f>IF(410394.66613="","-",410394.66613/2959029.60112*100)</f>
        <v>13.869231520180286</v>
      </c>
      <c r="G27" s="140">
        <f>IF(442130.43968="","-",442130.43968/2667989.85236*100)</f>
        <v>16.571668714890674</v>
      </c>
    </row>
    <row r="28" spans="1:7" ht="12" x14ac:dyDescent="0.25">
      <c r="A28" s="144" t="s">
        <v>36</v>
      </c>
      <c r="B28" s="137">
        <f>IF(OR(206057.59192="",206057.59192="***"),"-",206057.59192/1752232.13505*100)</f>
        <v>11.759719947957702</v>
      </c>
      <c r="C28" s="137">
        <f>IF(185030.51636="","-",185030.51636/1787183.4192*100)</f>
        <v>10.353191193035215</v>
      </c>
      <c r="D28" s="137">
        <f>IF(138598.84888="","-",138598.84888/1525216.45469*100)</f>
        <v>9.0871592981974612</v>
      </c>
      <c r="E28" s="137">
        <f>IF(138686.14444="","-",138686.14444/1808523.91457*100)</f>
        <v>7.6684716924506038</v>
      </c>
      <c r="F28" s="137">
        <f>IF(242489.58473="","-",242489.58473/2959029.60112*100)</f>
        <v>8.1949022962871716</v>
      </c>
      <c r="G28" s="140">
        <f>IF(181399.18537="","-",181399.18537/2667989.85236*100)</f>
        <v>6.7990957765278361</v>
      </c>
    </row>
    <row r="29" spans="1:7" ht="12" x14ac:dyDescent="0.25">
      <c r="A29" s="144" t="s">
        <v>34</v>
      </c>
      <c r="B29" s="137">
        <f>IF(OR(147326.28363="",147326.28363="***"),"-",147326.28363/1752232.13505*100)</f>
        <v>8.4079204280656583</v>
      </c>
      <c r="C29" s="137">
        <f>IF(160901.24785="","-",160901.24785/1787183.4192*100)</f>
        <v>9.0030629269168418</v>
      </c>
      <c r="D29" s="137">
        <f>IF(138067.93702="","-",138067.93702/1525216.45469*100)</f>
        <v>9.0523503464340926</v>
      </c>
      <c r="E29" s="137">
        <f>IF(168868.66032="","-",168868.66032/1808523.91457*100)</f>
        <v>9.3373750249883045</v>
      </c>
      <c r="F29" s="137">
        <f>IF(161391.7298="","-",161391.7298/2959029.60112*100)</f>
        <v>5.4542113988624124</v>
      </c>
      <c r="G29" s="140">
        <f>IF(145244.18839="","-",145244.18839/2667989.85236*100)</f>
        <v>5.4439558029623925</v>
      </c>
    </row>
    <row r="30" spans="1:7" ht="12" x14ac:dyDescent="0.25">
      <c r="A30" s="144" t="s">
        <v>58</v>
      </c>
      <c r="B30" s="137">
        <f>IF(OR(26519.42261="",26519.42261="***"),"-",26519.42261/1752232.13505*100)</f>
        <v>1.5134651442312048</v>
      </c>
      <c r="C30" s="137">
        <f>IF(35346.32434="","-",35346.32434/1787183.4192*100)</f>
        <v>1.977767024932569</v>
      </c>
      <c r="D30" s="137">
        <f>IF(51162.64291="","-",51162.64291/1525216.45469*100)</f>
        <v>3.3544512815001593</v>
      </c>
      <c r="E30" s="137">
        <f>IF(54329.48313="","-",54329.48313/1808523.91457*100)</f>
        <v>3.0040787789592232</v>
      </c>
      <c r="F30" s="137">
        <f>IF(65766.64695="","-",65766.64695/2959029.60112*100)</f>
        <v>2.2225748240270109</v>
      </c>
      <c r="G30" s="140">
        <f>IF(102630.03095="","-",102630.03095/2667989.85236*100)</f>
        <v>3.8467174400688773</v>
      </c>
    </row>
    <row r="31" spans="1:7" ht="12" x14ac:dyDescent="0.25">
      <c r="A31" s="144" t="s">
        <v>92</v>
      </c>
      <c r="B31" s="137">
        <f>IF(OR(144095.94283="",144095.94283="***"),"-",144095.94283/1752232.13505*100)</f>
        <v>8.2235646720340636</v>
      </c>
      <c r="C31" s="137">
        <f>IF(147796.11404="","-",147796.11404/1787183.4192*100)</f>
        <v>8.2697787172935069</v>
      </c>
      <c r="D31" s="137">
        <f>IF(150604.40687="","-",150604.40687/1525216.45469*100)</f>
        <v>9.874297278061448</v>
      </c>
      <c r="E31" s="137">
        <f>IF(168922.78548="","-",168922.78548/1808523.91457*100)</f>
        <v>9.3403678059830124</v>
      </c>
      <c r="F31" s="137">
        <f>IF(146647.08607="","-",146647.08607/2959029.60112*100)</f>
        <v>4.9559181839375217</v>
      </c>
      <c r="G31" s="140">
        <f>IF(100133.68826="","-",100133.68826/2667989.85236*100)</f>
        <v>3.7531510163513415</v>
      </c>
    </row>
    <row r="32" spans="1:7" ht="12" x14ac:dyDescent="0.25">
      <c r="A32" s="144" t="s">
        <v>35</v>
      </c>
      <c r="B32" s="137">
        <f>IF(OR(57413.12792="",57413.12792="***"),"-",57413.12792/1752232.13505*100)</f>
        <v>3.276570881880426</v>
      </c>
      <c r="C32" s="137">
        <f>IF(132831.03339="","-",132831.03339/1787183.4192*100)</f>
        <v>7.4324231057078292</v>
      </c>
      <c r="D32" s="137">
        <f>IF(103062.19451="","-",103062.19451/1525216.45469*100)</f>
        <v>6.7572175865980526</v>
      </c>
      <c r="E32" s="137">
        <f>IF(162103.29763="","-",162103.29763/1808523.91457*100)</f>
        <v>8.9632930106175657</v>
      </c>
      <c r="F32" s="137">
        <f>IF(256236.54289="","-",256236.54289/2959029.60112*100)</f>
        <v>8.6594788640510352</v>
      </c>
      <c r="G32" s="140">
        <f>IF(95341.54821="","-",95341.54821/2667989.85236*100)</f>
        <v>3.5735348890350753</v>
      </c>
    </row>
    <row r="33" spans="1:7" ht="12" x14ac:dyDescent="0.25">
      <c r="A33" s="144" t="s">
        <v>37</v>
      </c>
      <c r="B33" s="137">
        <f>IF(OR(60837.52435="",60837.52435="***"),"-",60837.52435/1752232.13505*100)</f>
        <v>3.4720014051256971</v>
      </c>
      <c r="C33" s="137">
        <f>IF(69163.57169="","-",69163.57169/1787183.4192*100)</f>
        <v>3.8699761281894505</v>
      </c>
      <c r="D33" s="137">
        <f>IF(63168.76583="","-",63168.76583/1525216.45469*100)</f>
        <v>4.1416263006970402</v>
      </c>
      <c r="E33" s="137">
        <f>IF(66306.10299="","-",66306.10299/1808523.91457*100)</f>
        <v>3.666310545070405</v>
      </c>
      <c r="F33" s="137">
        <f>IF(81808.07707="","-",81808.07707/2959029.60112*100)</f>
        <v>2.7646927573497555</v>
      </c>
      <c r="G33" s="140">
        <f>IF(77836.13303="","-",77836.13303/2667989.85236*100)</f>
        <v>2.9174073867315942</v>
      </c>
    </row>
    <row r="34" spans="1:7" ht="12" x14ac:dyDescent="0.25">
      <c r="A34" s="144" t="s">
        <v>39</v>
      </c>
      <c r="B34" s="137">
        <f>IF(OR(62373.84694="",62373.84694="***"),"-",62373.84694/1752232.13505*100)</f>
        <v>3.5596794335825925</v>
      </c>
      <c r="C34" s="137">
        <f>IF(53744.81118="","-",53744.81118/1787183.4192*100)</f>
        <v>3.0072353292119218</v>
      </c>
      <c r="D34" s="137">
        <f>IF(42482.22502="","-",42482.22502/1525216.45469*100)</f>
        <v>2.785324331465759</v>
      </c>
      <c r="E34" s="137">
        <f>IF(40820.77061="","-",40820.77061/1808523.91457*100)</f>
        <v>2.2571319229530715</v>
      </c>
      <c r="F34" s="137">
        <f>IF(44723.75091="","-",44723.75091/2959029.60112*100)</f>
        <v>1.5114330351096168</v>
      </c>
      <c r="G34" s="140">
        <f>IF(59482.7831="","-",59482.7831/2667989.85236*100)</f>
        <v>2.2294981012534154</v>
      </c>
    </row>
    <row r="35" spans="1:7" ht="12" x14ac:dyDescent="0.25">
      <c r="A35" s="144" t="s">
        <v>42</v>
      </c>
      <c r="B35" s="137">
        <f>IF(OR(34274.24713="",34274.24713="***"),"-",34274.24713/1752232.13505*100)</f>
        <v>1.9560334754973541</v>
      </c>
      <c r="C35" s="137">
        <f>IF(26849.87302="","-",26849.87302/1787183.4192*100)</f>
        <v>1.5023568779537388</v>
      </c>
      <c r="D35" s="137">
        <f>IF(23259.39528="","-",23259.39528/1525216.45469*100)</f>
        <v>1.5249897946273774</v>
      </c>
      <c r="E35" s="137">
        <f>IF(28158.42324="","-",28158.42324/1808523.91457*100)</f>
        <v>1.5569837375744644</v>
      </c>
      <c r="F35" s="137">
        <f>IF(124113.1936="","-",124113.1936/2959029.60112*100)</f>
        <v>4.1943883749261195</v>
      </c>
      <c r="G35" s="140">
        <f>IF(43884.25851="","-",43884.25851/2667989.85236*100)</f>
        <v>1.6448435315892111</v>
      </c>
    </row>
    <row r="36" spans="1:7" ht="12" x14ac:dyDescent="0.25">
      <c r="A36" s="144" t="s">
        <v>41</v>
      </c>
      <c r="B36" s="137">
        <f>IF(OR(19081.05023="",19081.05023="***"),"-",19081.05023/1752232.13505*100)</f>
        <v>1.0889567568315099</v>
      </c>
      <c r="C36" s="137">
        <f>IF(21365.10907="","-",21365.10907/1787183.4192*100)</f>
        <v>1.1954625832173231</v>
      </c>
      <c r="D36" s="137">
        <f>IF(23082.78459="","-",23082.78459/1525216.45469*100)</f>
        <v>1.5134104093239389</v>
      </c>
      <c r="E36" s="137">
        <f>IF(20057.65553="","-",20057.65553/1808523.91457*100)</f>
        <v>1.1090622229769611</v>
      </c>
      <c r="F36" s="137">
        <f>IF(24722.08417="","-",24722.08417/2959029.60112*100)</f>
        <v>0.83547944774336258</v>
      </c>
      <c r="G36" s="140">
        <f>IF(41921.52225="","-",41921.52225/2667989.85236*100)</f>
        <v>1.571277424946645</v>
      </c>
    </row>
    <row r="37" spans="1:7" ht="12" x14ac:dyDescent="0.25">
      <c r="A37" s="144" t="s">
        <v>59</v>
      </c>
      <c r="B37" s="137">
        <f>IF(OR(14220.74894="",14220.74894="***"),"-",14220.74894/1752232.13505*100)</f>
        <v>0.81157905140201136</v>
      </c>
      <c r="C37" s="137">
        <f>IF(14530.80149="","-",14530.80149/1787183.4192*100)</f>
        <v>0.81305597029903331</v>
      </c>
      <c r="D37" s="137">
        <f>IF(16849.31254="","-",16849.31254/1525216.45469*100)</f>
        <v>1.104716152791875</v>
      </c>
      <c r="E37" s="137">
        <f>IF(15805.10137="","-",15805.10137/1808523.91457*100)</f>
        <v>0.87392271911194874</v>
      </c>
      <c r="F37" s="137">
        <f>IF(25664.33844="","-",25664.33844/2959029.60112*100)</f>
        <v>0.86732280171465614</v>
      </c>
      <c r="G37" s="140">
        <f>IF(33727.20721="","-",33727.20721/2667989.85236*100)</f>
        <v>1.264143009395865</v>
      </c>
    </row>
    <row r="38" spans="1:7" ht="12" x14ac:dyDescent="0.25">
      <c r="A38" s="144" t="s">
        <v>40</v>
      </c>
      <c r="B38" s="137">
        <f>IF(OR(5124.84493="",5124.84493="***"),"-",5124.84493/1752232.13505*100)</f>
        <v>0.29247522788147945</v>
      </c>
      <c r="C38" s="137">
        <f>IF(5536.91966="","-",5536.91966/1787183.4192*100)</f>
        <v>0.30981261355247469</v>
      </c>
      <c r="D38" s="137">
        <f>IF(12999.28927="","-",12999.28927/1525216.45469*100)</f>
        <v>0.85229143903001636</v>
      </c>
      <c r="E38" s="137">
        <f>IF(25329.29058="","-",25329.29058/1808523.91457*100)</f>
        <v>1.4005504918093585</v>
      </c>
      <c r="F38" s="137">
        <f>IF(36415.45027="","-",36415.45027/2959029.60112*100)</f>
        <v>1.2306551531696968</v>
      </c>
      <c r="G38" s="140">
        <f>IF(32523.57687="","-",32523.57687/2667989.85236*100)</f>
        <v>1.2190292568478442</v>
      </c>
    </row>
    <row r="39" spans="1:7" ht="12" x14ac:dyDescent="0.25">
      <c r="A39" s="144" t="s">
        <v>81</v>
      </c>
      <c r="B39" s="137">
        <f>IF(OR(11027.30969="",11027.30969="***"),"-",11027.30969/1752232.13505*100)</f>
        <v>0.62932926918871601</v>
      </c>
      <c r="C39" s="137">
        <f>IF(5650.3732="","-",5650.3732/1787183.4192*100)</f>
        <v>0.31616078905484069</v>
      </c>
      <c r="D39" s="137">
        <f>IF(9763.12026="","-",9763.12026/1525216.45469*100)</f>
        <v>0.64011375106652335</v>
      </c>
      <c r="E39" s="137">
        <f>IF(7910.32739="","-",7910.32739/1808523.91457*100)</f>
        <v>0.4373913624405007</v>
      </c>
      <c r="F39" s="137">
        <f>IF(9622.12038="","-",9622.12038/2959029.60112*100)</f>
        <v>0.32517824006755475</v>
      </c>
      <c r="G39" s="140">
        <f>IF(29874.46328="","-",29874.46328/2667989.85236*100)</f>
        <v>1.1197367656242849</v>
      </c>
    </row>
    <row r="40" spans="1:7" ht="12" x14ac:dyDescent="0.25">
      <c r="A40" s="144" t="s">
        <v>74</v>
      </c>
      <c r="B40" s="137">
        <f>IF(OR(25070.94463="",25070.94463="***"),"-",25070.94463/1752232.13505*100)</f>
        <v>1.4308004132845447</v>
      </c>
      <c r="C40" s="137">
        <f>IF(23820.61778="","-",23820.61778/1787183.4192*100)</f>
        <v>1.3328580337133424</v>
      </c>
      <c r="D40" s="137">
        <f>IF(22797.84012="","-",22797.84012/1525216.45469*100)</f>
        <v>1.4947281777545245</v>
      </c>
      <c r="E40" s="137">
        <f>IF(23263.64499="","-",23263.64499/1808523.91457*100)</f>
        <v>1.2863332800070399</v>
      </c>
      <c r="F40" s="137">
        <f>IF(50966.64602="","-",50966.64602/2959029.60112*100)</f>
        <v>1.7224108201117354</v>
      </c>
      <c r="G40" s="140">
        <f>IF(29357.35167="","-",29357.35167/2667989.85236*100)</f>
        <v>1.1003546975274898</v>
      </c>
    </row>
    <row r="41" spans="1:7" ht="12" x14ac:dyDescent="0.25">
      <c r="A41" s="144" t="s">
        <v>114</v>
      </c>
      <c r="B41" s="137">
        <f>IF(OR(36747.47085="",36747.47085="***"),"-",36747.47085/1752232.13505*100)</f>
        <v>2.0971805113568132</v>
      </c>
      <c r="C41" s="137">
        <f>IF(23005.98346="","-",23005.98346/1787183.4192*100)</f>
        <v>1.2872760127943785</v>
      </c>
      <c r="D41" s="137">
        <f>IF(21506.17834="","-",21506.17834/1525216.45469*100)</f>
        <v>1.4100410649169874</v>
      </c>
      <c r="E41" s="137">
        <f>IF(21633.29758="","-",21633.29758/1808523.91457*100)</f>
        <v>1.1961853202888719</v>
      </c>
      <c r="F41" s="137">
        <f>IF(28108.79762="","-",28108.79762/2959029.60112*100)</f>
        <v>0.9499329648260616</v>
      </c>
      <c r="G41" s="140">
        <f>IF(28832.60245="","-",28832.60245/2667989.85236*100)</f>
        <v>1.0806863611005042</v>
      </c>
    </row>
    <row r="42" spans="1:7" ht="12" x14ac:dyDescent="0.25">
      <c r="A42" s="144" t="s">
        <v>43</v>
      </c>
      <c r="B42" s="137">
        <f>IF(OR(58030.20152="",58030.20152="***"),"-",58030.20152/1752232.13505*100)</f>
        <v>3.3117873116933851</v>
      </c>
      <c r="C42" s="137">
        <f>IF(35611.19338="","-",35611.19338/1787183.4192*100)</f>
        <v>1.9925874981506206</v>
      </c>
      <c r="D42" s="137">
        <f>IF(26275.86633="","-",26275.86633/1525216.45469*100)</f>
        <v>1.7227631035058932</v>
      </c>
      <c r="E42" s="137">
        <f>IF(39221.13315="","-",39221.13315/1808523.91457*100)</f>
        <v>2.168682030357632</v>
      </c>
      <c r="F42" s="137">
        <f>IF(47566.82636="","-",47566.82636/2959029.60112*100)</f>
        <v>1.6075143804575607</v>
      </c>
      <c r="G42" s="140">
        <f>IF(27134.42145="","-",27134.42145/2667989.85236*100)</f>
        <v>1.0170361564905483</v>
      </c>
    </row>
    <row r="43" spans="1:7" ht="12" customHeight="1" x14ac:dyDescent="0.25">
      <c r="A43" s="144" t="s">
        <v>90</v>
      </c>
      <c r="B43" s="137">
        <f>IF(OR(11389.66175="",11389.66175="***"),"-",11389.66175/1752232.13505*100)</f>
        <v>0.65000872442480317</v>
      </c>
      <c r="C43" s="137">
        <f>IF(9520.08056="","-",9520.08056/1787183.4192*100)</f>
        <v>0.53268626251364237</v>
      </c>
      <c r="D43" s="137">
        <f>IF(9515.48221="","-",9515.48221/1525216.45469*100)</f>
        <v>0.62387749494441558</v>
      </c>
      <c r="E43" s="137">
        <f>IF(14629.00065="","-",14629.00065/1808523.91457*100)</f>
        <v>0.808891744927699</v>
      </c>
      <c r="F43" s="137">
        <f>IF(15671.90769="","-",15671.90769/2959029.60112*100)</f>
        <v>0.52962997342331908</v>
      </c>
      <c r="G43" s="140">
        <f>IF(26486.86745="","-",26486.86745/2667989.85236*100)</f>
        <v>0.99276492474552525</v>
      </c>
    </row>
    <row r="44" spans="1:7" ht="12" x14ac:dyDescent="0.25">
      <c r="A44" s="144" t="s">
        <v>89</v>
      </c>
      <c r="B44" s="137">
        <f>IF(OR(5883.00819="",5883.00819="***"),"-",5883.00819/1752232.13505*100)</f>
        <v>0.3357436536131172</v>
      </c>
      <c r="C44" s="137">
        <f>IF(8273.17087="","-",8273.17087/1787183.4192*100)</f>
        <v>0.46291672030525738</v>
      </c>
      <c r="D44" s="137">
        <f>IF(9994.89822="","-",9994.89822/1525216.45469*100)</f>
        <v>0.65531014888188188</v>
      </c>
      <c r="E44" s="137">
        <f>IF(4346.02082="","-",4346.02082/1808523.91457*100)</f>
        <v>0.24030762241998455</v>
      </c>
      <c r="F44" s="137">
        <f>IF(11962.07397="","-",11962.07397/2959029.60112*100)</f>
        <v>0.40425665108156833</v>
      </c>
      <c r="G44" s="140">
        <f>IF(23287.4136="","-",23287.4136/2667989.85236*100)</f>
        <v>0.87284490903894785</v>
      </c>
    </row>
    <row r="45" spans="1:7" ht="12" x14ac:dyDescent="0.25">
      <c r="A45" s="144" t="s">
        <v>57</v>
      </c>
      <c r="B45" s="137">
        <f>IF(OR(24204.58155="",24204.58155="***"),"-",24204.58155/1752232.13505*100)</f>
        <v>1.3813570169062859</v>
      </c>
      <c r="C45" s="137">
        <f>IF(18451.73903="","-",18451.73903/1787183.4192*100)</f>
        <v>1.0324479754998839</v>
      </c>
      <c r="D45" s="137">
        <f>IF(23080.49045="","-",23080.49045/1525216.45469*100)</f>
        <v>1.5132599952634991</v>
      </c>
      <c r="E45" s="137">
        <f>IF(18448.49642="","-",18448.49642/1808523.91457*100)</f>
        <v>1.0200858430111701</v>
      </c>
      <c r="F45" s="137">
        <f>IF(23150.79121="","-",23150.79121/2959029.60112*100)</f>
        <v>0.78237781741816204</v>
      </c>
      <c r="G45" s="140">
        <f>IF(23085.90922="","-",23085.90922/2667989.85236*100)</f>
        <v>0.86529224238162328</v>
      </c>
    </row>
    <row r="46" spans="1:7" ht="12" x14ac:dyDescent="0.25">
      <c r="A46" s="145" t="s">
        <v>115</v>
      </c>
      <c r="B46" s="141">
        <f>IF(OR(34721.95069="",34721.95069="***"),"-",34721.95069/1752232.13505*100)</f>
        <v>1.9815839462965452</v>
      </c>
      <c r="C46" s="141">
        <f>IF(53231.2027="","-",53231.2027/1787183.4192*100)</f>
        <v>2.9784968978633417</v>
      </c>
      <c r="D46" s="141">
        <f>IF(42732.16752="","-",42732.16752/1525216.45469*100)</f>
        <v>2.801711677617936</v>
      </c>
      <c r="E46" s="141">
        <f>IF(44195.36787="","-",44195.36787/1808523.91457*100)</f>
        <v>2.4437259310728008</v>
      </c>
      <c r="F46" s="141">
        <f>IF(57923.17365="","-",57923.17365/2959029.60112*100)</f>
        <v>1.9575057183637481</v>
      </c>
      <c r="G46" s="122">
        <f>IF(20325.02751="","-",20325.02751/2667989.85236*100)</f>
        <v>0.76181052532944504</v>
      </c>
    </row>
  </sheetData>
  <mergeCells count="1">
    <mergeCell ref="A2:G2"/>
  </mergeCell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H58"/>
  <sheetViews>
    <sheetView zoomScaleNormal="100" workbookViewId="0">
      <selection activeCell="A2" sqref="A2:G2"/>
    </sheetView>
  </sheetViews>
  <sheetFormatPr defaultColWidth="9.109375" defaultRowHeight="11.4" x14ac:dyDescent="0.2"/>
  <cols>
    <col min="1" max="1" width="47.109375" style="3" customWidth="1"/>
    <col min="2" max="2" width="13.5546875" style="3" customWidth="1"/>
    <col min="3" max="3" width="10.6640625" style="3" customWidth="1"/>
    <col min="4" max="4" width="12" style="3" customWidth="1"/>
    <col min="5" max="5" width="11.88671875" style="3" customWidth="1"/>
    <col min="6" max="6" width="8.33203125" style="3" customWidth="1"/>
    <col min="7" max="7" width="8" style="3" customWidth="1"/>
    <col min="8" max="8" width="6" style="3" customWidth="1"/>
    <col min="9" max="16384" width="9.109375" style="3"/>
  </cols>
  <sheetData>
    <row r="2" spans="1:8" ht="15" customHeight="1" x14ac:dyDescent="0.25">
      <c r="A2" s="159" t="s">
        <v>82</v>
      </c>
      <c r="B2" s="159"/>
      <c r="C2" s="159"/>
      <c r="D2" s="159"/>
      <c r="E2" s="159"/>
      <c r="F2" s="159"/>
      <c r="G2" s="159"/>
    </row>
    <row r="3" spans="1:8" ht="15" customHeight="1" x14ac:dyDescent="0.25">
      <c r="A3" s="107"/>
      <c r="B3" s="107"/>
      <c r="C3" s="107"/>
      <c r="D3" s="107"/>
      <c r="E3" s="107"/>
      <c r="F3" s="107"/>
      <c r="G3" s="107"/>
    </row>
    <row r="4" spans="1:8" ht="15" customHeight="1" x14ac:dyDescent="0.2">
      <c r="A4" s="48"/>
      <c r="B4" s="48"/>
      <c r="C4" s="48"/>
      <c r="D4" s="48"/>
      <c r="E4" s="48"/>
      <c r="F4" s="48"/>
      <c r="G4" s="48"/>
    </row>
    <row r="5" spans="1:8" ht="15" customHeight="1" x14ac:dyDescent="0.2">
      <c r="A5" s="48"/>
      <c r="B5" s="48"/>
      <c r="C5" s="48"/>
      <c r="D5" s="48"/>
      <c r="E5" s="48"/>
      <c r="F5" s="48"/>
      <c r="G5" s="48"/>
    </row>
    <row r="6" spans="1:8" x14ac:dyDescent="0.2">
      <c r="A6" s="158"/>
      <c r="B6" s="158"/>
      <c r="C6" s="158"/>
      <c r="D6" s="158"/>
      <c r="E6" s="158"/>
      <c r="F6" s="158"/>
      <c r="G6" s="158"/>
      <c r="H6" s="158"/>
    </row>
    <row r="30" spans="1:6" ht="12" x14ac:dyDescent="0.2">
      <c r="A30" s="96" t="s">
        <v>105</v>
      </c>
      <c r="B30" s="37" t="s">
        <v>44</v>
      </c>
    </row>
    <row r="31" spans="1:6" ht="13.8" x14ac:dyDescent="0.2">
      <c r="A31" s="123" t="s">
        <v>65</v>
      </c>
      <c r="B31" s="114">
        <v>12</v>
      </c>
      <c r="C31" s="102"/>
      <c r="D31" s="104"/>
      <c r="E31" s="105"/>
      <c r="F31" s="105"/>
    </row>
    <row r="32" spans="1:6" ht="13.8" x14ac:dyDescent="0.2">
      <c r="A32" s="124" t="s">
        <v>79</v>
      </c>
      <c r="B32" s="115">
        <v>10.9</v>
      </c>
      <c r="C32" s="102"/>
      <c r="D32" s="104"/>
      <c r="E32" s="105"/>
      <c r="F32" s="105"/>
    </row>
    <row r="33" spans="1:6" ht="13.8" x14ac:dyDescent="0.2">
      <c r="A33" s="124" t="s">
        <v>60</v>
      </c>
      <c r="B33" s="115">
        <v>13</v>
      </c>
      <c r="C33" s="102"/>
      <c r="D33" s="104"/>
      <c r="E33" s="105"/>
      <c r="F33" s="105"/>
    </row>
    <row r="34" spans="1:6" ht="13.8" x14ac:dyDescent="0.2">
      <c r="A34" s="124" t="s">
        <v>61</v>
      </c>
      <c r="B34" s="115">
        <v>7.9</v>
      </c>
      <c r="C34" s="102"/>
      <c r="D34" s="104"/>
      <c r="E34" s="105"/>
      <c r="F34" s="105"/>
    </row>
    <row r="35" spans="1:6" ht="13.8" x14ac:dyDescent="0.2">
      <c r="A35" s="124" t="s">
        <v>67</v>
      </c>
      <c r="B35" s="115">
        <v>6.7</v>
      </c>
      <c r="C35" s="102"/>
      <c r="D35" s="104"/>
      <c r="E35" s="105"/>
      <c r="F35" s="105"/>
    </row>
    <row r="36" spans="1:6" ht="13.8" x14ac:dyDescent="0.2">
      <c r="A36" s="124" t="s">
        <v>63</v>
      </c>
      <c r="B36" s="115">
        <v>9.5</v>
      </c>
      <c r="C36" s="102"/>
      <c r="D36" s="104"/>
      <c r="E36" s="105"/>
      <c r="F36" s="105"/>
    </row>
    <row r="37" spans="1:6" ht="13.8" x14ac:dyDescent="0.2">
      <c r="A37" s="124" t="s">
        <v>62</v>
      </c>
      <c r="B37" s="115">
        <v>10</v>
      </c>
      <c r="C37" s="102"/>
      <c r="D37" s="104"/>
      <c r="E37" s="105"/>
      <c r="F37" s="105"/>
    </row>
    <row r="38" spans="1:6" ht="13.8" x14ac:dyDescent="0.2">
      <c r="A38" s="124" t="s">
        <v>69</v>
      </c>
      <c r="B38" s="115">
        <v>3.6</v>
      </c>
      <c r="C38" s="102"/>
      <c r="D38" s="104"/>
      <c r="E38" s="105"/>
      <c r="F38" s="105"/>
    </row>
    <row r="39" spans="1:6" ht="13.8" x14ac:dyDescent="0.2">
      <c r="A39" s="124" t="s">
        <v>66</v>
      </c>
      <c r="B39" s="115">
        <v>3.3</v>
      </c>
      <c r="C39" s="102"/>
      <c r="D39" s="104"/>
      <c r="E39" s="105"/>
      <c r="F39" s="105"/>
    </row>
    <row r="40" spans="1:6" ht="13.8" x14ac:dyDescent="0.2">
      <c r="A40" s="124" t="s">
        <v>76</v>
      </c>
      <c r="B40" s="115">
        <v>2</v>
      </c>
      <c r="C40" s="102"/>
      <c r="D40" s="104"/>
      <c r="E40" s="105"/>
      <c r="F40" s="105"/>
    </row>
    <row r="41" spans="1:6" ht="13.8" x14ac:dyDescent="0.2">
      <c r="A41" s="124" t="s">
        <v>78</v>
      </c>
      <c r="B41" s="115">
        <v>2</v>
      </c>
      <c r="C41" s="102"/>
      <c r="D41" s="104"/>
      <c r="E41" s="105"/>
      <c r="F41" s="105"/>
    </row>
    <row r="42" spans="1:6" ht="13.8" x14ac:dyDescent="0.2">
      <c r="A42" s="124" t="s">
        <v>72</v>
      </c>
      <c r="B42" s="115">
        <v>2.1</v>
      </c>
      <c r="C42" s="102"/>
      <c r="D42" s="104"/>
      <c r="E42" s="105"/>
      <c r="F42" s="105"/>
    </row>
    <row r="43" spans="1:6" ht="13.8" x14ac:dyDescent="0.2">
      <c r="A43" s="125" t="s">
        <v>68</v>
      </c>
      <c r="B43" s="122">
        <v>17</v>
      </c>
      <c r="C43" s="103"/>
      <c r="D43" s="104"/>
      <c r="E43" s="106"/>
      <c r="F43" s="106"/>
    </row>
    <row r="44" spans="1:6" x14ac:dyDescent="0.2">
      <c r="A44" s="59"/>
      <c r="B44" s="80"/>
    </row>
    <row r="45" spans="1:6" ht="12" x14ac:dyDescent="0.25">
      <c r="A45" s="96" t="s">
        <v>106</v>
      </c>
      <c r="B45" s="27" t="s">
        <v>44</v>
      </c>
    </row>
    <row r="46" spans="1:6" ht="13.8" x14ac:dyDescent="0.2">
      <c r="A46" s="123" t="s">
        <v>65</v>
      </c>
      <c r="B46" s="126">
        <v>15.6</v>
      </c>
      <c r="D46" s="105"/>
    </row>
    <row r="47" spans="1:6" ht="13.8" x14ac:dyDescent="0.2">
      <c r="A47" s="124" t="s">
        <v>79</v>
      </c>
      <c r="B47" s="127">
        <v>11.8</v>
      </c>
      <c r="D47" s="105"/>
    </row>
    <row r="48" spans="1:6" ht="13.8" x14ac:dyDescent="0.2">
      <c r="A48" s="124" t="s">
        <v>60</v>
      </c>
      <c r="B48" s="127">
        <v>9.4</v>
      </c>
      <c r="D48" s="105"/>
    </row>
    <row r="49" spans="1:4" ht="13.8" x14ac:dyDescent="0.2">
      <c r="A49" s="124" t="s">
        <v>61</v>
      </c>
      <c r="B49" s="127">
        <v>7.8</v>
      </c>
      <c r="D49" s="105"/>
    </row>
    <row r="50" spans="1:4" ht="13.8" x14ac:dyDescent="0.2">
      <c r="A50" s="124" t="s">
        <v>67</v>
      </c>
      <c r="B50" s="127">
        <v>7.4</v>
      </c>
      <c r="D50" s="105"/>
    </row>
    <row r="51" spans="1:4" ht="13.8" x14ac:dyDescent="0.2">
      <c r="A51" s="124" t="s">
        <v>63</v>
      </c>
      <c r="B51" s="127">
        <v>6.4</v>
      </c>
      <c r="D51" s="105"/>
    </row>
    <row r="52" spans="1:4" ht="13.8" x14ac:dyDescent="0.2">
      <c r="A52" s="124" t="s">
        <v>62</v>
      </c>
      <c r="B52" s="127">
        <v>6.4</v>
      </c>
      <c r="D52" s="105"/>
    </row>
    <row r="53" spans="1:4" ht="13.8" x14ac:dyDescent="0.2">
      <c r="A53" s="124" t="s">
        <v>69</v>
      </c>
      <c r="B53" s="127">
        <v>5</v>
      </c>
      <c r="D53" s="105"/>
    </row>
    <row r="54" spans="1:4" ht="13.8" x14ac:dyDescent="0.2">
      <c r="A54" s="124" t="s">
        <v>66</v>
      </c>
      <c r="B54" s="127">
        <v>3.6</v>
      </c>
      <c r="D54" s="105"/>
    </row>
    <row r="55" spans="1:4" ht="13.8" x14ac:dyDescent="0.2">
      <c r="A55" s="124" t="s">
        <v>76</v>
      </c>
      <c r="B55" s="127">
        <v>2.9</v>
      </c>
      <c r="D55" s="105"/>
    </row>
    <row r="56" spans="1:4" ht="13.8" x14ac:dyDescent="0.2">
      <c r="A56" s="124" t="s">
        <v>78</v>
      </c>
      <c r="B56" s="127">
        <v>2.1</v>
      </c>
      <c r="D56" s="105"/>
    </row>
    <row r="57" spans="1:4" ht="13.8" x14ac:dyDescent="0.2">
      <c r="A57" s="124" t="s">
        <v>72</v>
      </c>
      <c r="B57" s="127">
        <v>1.8</v>
      </c>
      <c r="D57" s="105"/>
    </row>
    <row r="58" spans="1:4" ht="13.8" x14ac:dyDescent="0.2">
      <c r="A58" s="125" t="s">
        <v>68</v>
      </c>
      <c r="B58" s="128">
        <v>19.8</v>
      </c>
      <c r="D58" s="106"/>
    </row>
  </sheetData>
  <mergeCells count="2">
    <mergeCell ref="A6:H6"/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M30"/>
  <sheetViews>
    <sheetView topLeftCell="C1" workbookViewId="0">
      <selection activeCell="A2" sqref="A2:M2"/>
    </sheetView>
  </sheetViews>
  <sheetFormatPr defaultColWidth="9.109375" defaultRowHeight="11.4" x14ac:dyDescent="0.2"/>
  <cols>
    <col min="1" max="1" width="8.5546875" style="3" customWidth="1"/>
    <col min="2" max="2" width="9.6640625" style="3" customWidth="1"/>
    <col min="3" max="3" width="10" style="3" customWidth="1"/>
    <col min="4" max="4" width="9.5546875" style="3" customWidth="1"/>
    <col min="5" max="5" width="9.33203125" style="3" bestFit="1" customWidth="1"/>
    <col min="6" max="6" width="10.33203125" style="3" customWidth="1"/>
    <col min="7" max="7" width="9.33203125" style="3" bestFit="1" customWidth="1"/>
    <col min="8" max="8" width="10" style="3" customWidth="1"/>
    <col min="9" max="9" width="9.33203125" style="3" bestFit="1" customWidth="1"/>
    <col min="10" max="10" width="11.88671875" style="3" bestFit="1" customWidth="1"/>
    <col min="11" max="11" width="11.109375" style="3" bestFit="1" customWidth="1"/>
    <col min="12" max="12" width="11.33203125" style="3" bestFit="1" customWidth="1"/>
    <col min="13" max="13" width="11.44140625" style="3" bestFit="1" customWidth="1"/>
    <col min="14" max="14" width="11.33203125" style="3" bestFit="1" customWidth="1"/>
    <col min="15" max="15" width="9.33203125" style="3" bestFit="1" customWidth="1"/>
    <col min="16" max="16" width="11.33203125" style="3" bestFit="1" customWidth="1"/>
    <col min="17" max="17" width="9.33203125" style="3" bestFit="1" customWidth="1"/>
    <col min="18" max="18" width="11.33203125" style="3" bestFit="1" customWidth="1"/>
    <col min="19" max="19" width="9.33203125" style="3" bestFit="1" customWidth="1"/>
    <col min="20" max="20" width="11.33203125" style="3" bestFit="1" customWidth="1"/>
    <col min="21" max="21" width="9.33203125" style="3" bestFit="1" customWidth="1"/>
    <col min="22" max="22" width="11.33203125" style="3" bestFit="1" customWidth="1"/>
    <col min="23" max="23" width="9.33203125" style="3" bestFit="1" customWidth="1"/>
    <col min="24" max="24" width="11.33203125" style="3" bestFit="1" customWidth="1"/>
    <col min="25" max="25" width="9.33203125" style="3" bestFit="1" customWidth="1"/>
    <col min="26" max="16384" width="9.109375" style="3"/>
  </cols>
  <sheetData>
    <row r="2" spans="1:13" ht="13.2" x14ac:dyDescent="0.2">
      <c r="A2" s="157" t="s">
        <v>86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</row>
    <row r="4" spans="1:13" ht="12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3" ht="12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ht="12" x14ac:dyDescent="0.25">
      <c r="A6" s="4"/>
      <c r="B6" s="4"/>
      <c r="C6" s="4"/>
      <c r="D6" s="4"/>
      <c r="E6" s="4"/>
      <c r="F6" s="4"/>
      <c r="G6" s="4"/>
      <c r="H6" s="4"/>
      <c r="I6" s="4"/>
      <c r="J6" s="4"/>
    </row>
    <row r="7" spans="1:13" ht="12" x14ac:dyDescent="0.25">
      <c r="A7" s="4"/>
      <c r="B7" s="4"/>
      <c r="C7" s="4"/>
      <c r="D7" s="4"/>
      <c r="E7" s="4"/>
      <c r="F7" s="4"/>
      <c r="G7" s="4"/>
      <c r="H7" s="4"/>
      <c r="I7" s="4"/>
      <c r="J7" s="4"/>
    </row>
    <row r="8" spans="1:13" ht="12" x14ac:dyDescent="0.25">
      <c r="A8" s="4"/>
      <c r="B8" s="4"/>
      <c r="C8" s="4"/>
      <c r="D8" s="4"/>
      <c r="E8" s="4"/>
      <c r="F8" s="4"/>
      <c r="G8" s="4"/>
      <c r="H8" s="4"/>
      <c r="I8" s="4"/>
      <c r="J8" s="4"/>
    </row>
    <row r="9" spans="1:13" ht="12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3" ht="1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</row>
    <row r="11" spans="1:13" ht="12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3" ht="1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</row>
    <row r="13" spans="1:13" ht="1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3" ht="1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ht="1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ht="12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3" ht="12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3" ht="12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3" ht="1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3" ht="12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</row>
    <row r="22" spans="1:13" ht="12" x14ac:dyDescent="0.2">
      <c r="A22" s="25" t="s">
        <v>0</v>
      </c>
      <c r="B22" s="25" t="s">
        <v>1</v>
      </c>
      <c r="C22" s="37" t="s">
        <v>2</v>
      </c>
      <c r="D22" s="37" t="s">
        <v>3</v>
      </c>
      <c r="E22" s="37" t="s">
        <v>4</v>
      </c>
      <c r="F22" s="37" t="s">
        <v>5</v>
      </c>
      <c r="G22" s="37" t="s">
        <v>6</v>
      </c>
      <c r="H22" s="37" t="s">
        <v>7</v>
      </c>
      <c r="I22" s="37" t="s">
        <v>8</v>
      </c>
      <c r="J22" s="37" t="s">
        <v>9</v>
      </c>
      <c r="K22" s="37" t="s">
        <v>10</v>
      </c>
      <c r="L22" s="37" t="s">
        <v>11</v>
      </c>
      <c r="M22" s="37" t="s">
        <v>12</v>
      </c>
    </row>
    <row r="23" spans="1:13" ht="12" x14ac:dyDescent="0.25">
      <c r="A23" s="28">
        <v>2018</v>
      </c>
      <c r="B23" s="33">
        <v>374.3</v>
      </c>
      <c r="C23" s="33">
        <v>427.6</v>
      </c>
      <c r="D23" s="33">
        <v>524.1</v>
      </c>
      <c r="E23" s="33">
        <v>444.6</v>
      </c>
      <c r="F23" s="33">
        <v>505.6</v>
      </c>
      <c r="G23" s="33">
        <v>458.7</v>
      </c>
      <c r="H23" s="33">
        <v>488</v>
      </c>
      <c r="I23" s="33">
        <v>480.7</v>
      </c>
      <c r="J23" s="33">
        <v>474</v>
      </c>
      <c r="K23" s="33">
        <v>540.6</v>
      </c>
      <c r="L23" s="33">
        <v>522.6</v>
      </c>
      <c r="M23" s="34">
        <v>519.29999999999995</v>
      </c>
    </row>
    <row r="24" spans="1:13" ht="12" x14ac:dyDescent="0.25">
      <c r="A24" s="28">
        <v>2019</v>
      </c>
      <c r="B24" s="33">
        <v>372.6</v>
      </c>
      <c r="C24" s="33">
        <v>459.3</v>
      </c>
      <c r="D24" s="33">
        <v>533.79999999999995</v>
      </c>
      <c r="E24" s="33">
        <v>515.6</v>
      </c>
      <c r="F24" s="33">
        <v>481.6</v>
      </c>
      <c r="G24" s="33">
        <v>445.4</v>
      </c>
      <c r="H24" s="33">
        <v>499.1</v>
      </c>
      <c r="I24" s="33">
        <v>464.3</v>
      </c>
      <c r="J24" s="33">
        <v>501.7</v>
      </c>
      <c r="K24" s="33">
        <v>525.29999999999995</v>
      </c>
      <c r="L24" s="33">
        <v>504.1</v>
      </c>
      <c r="M24" s="34">
        <v>539.70000000000005</v>
      </c>
    </row>
    <row r="25" spans="1:13" ht="12" x14ac:dyDescent="0.25">
      <c r="A25" s="28">
        <v>2020</v>
      </c>
      <c r="B25" s="33">
        <v>379.8</v>
      </c>
      <c r="C25" s="33">
        <v>484.8</v>
      </c>
      <c r="D25" s="33">
        <v>500.5</v>
      </c>
      <c r="E25" s="33">
        <v>285.60000000000002</v>
      </c>
      <c r="F25" s="33">
        <v>329.4</v>
      </c>
      <c r="G25" s="33">
        <v>413.5</v>
      </c>
      <c r="H25" s="33">
        <v>496.6</v>
      </c>
      <c r="I25" s="33">
        <v>433.6</v>
      </c>
      <c r="J25" s="33">
        <v>508.3</v>
      </c>
      <c r="K25" s="33">
        <v>493.6</v>
      </c>
      <c r="L25" s="33">
        <v>522.9</v>
      </c>
      <c r="M25" s="34">
        <v>567.29999999999995</v>
      </c>
    </row>
    <row r="26" spans="1:13" ht="12" x14ac:dyDescent="0.25">
      <c r="A26" s="28">
        <v>2021</v>
      </c>
      <c r="B26" s="33">
        <v>399.4</v>
      </c>
      <c r="C26" s="33">
        <v>521.4</v>
      </c>
      <c r="D26" s="33">
        <v>630.1</v>
      </c>
      <c r="E26" s="33">
        <v>562.20000000000005</v>
      </c>
      <c r="F26" s="33">
        <v>563.4</v>
      </c>
      <c r="G26" s="33">
        <v>589.6</v>
      </c>
      <c r="H26" s="33">
        <v>562</v>
      </c>
      <c r="I26" s="33">
        <v>574.9</v>
      </c>
      <c r="J26" s="33">
        <v>671.2</v>
      </c>
      <c r="K26" s="33">
        <v>646.79999999999995</v>
      </c>
      <c r="L26" s="33">
        <v>701.5</v>
      </c>
      <c r="M26" s="34">
        <v>754.2</v>
      </c>
    </row>
    <row r="27" spans="1:13" ht="12" x14ac:dyDescent="0.25">
      <c r="A27" s="28">
        <v>2022</v>
      </c>
      <c r="B27" s="33">
        <v>621.70000000000005</v>
      </c>
      <c r="C27" s="33">
        <v>669.1</v>
      </c>
      <c r="D27" s="15">
        <v>748.3</v>
      </c>
      <c r="E27" s="15">
        <v>770.4</v>
      </c>
      <c r="F27" s="15">
        <v>772.7</v>
      </c>
      <c r="G27" s="33">
        <v>768.4</v>
      </c>
      <c r="H27" s="33">
        <v>761</v>
      </c>
      <c r="I27" s="33">
        <v>780</v>
      </c>
      <c r="J27" s="33">
        <v>844.1</v>
      </c>
      <c r="K27" s="33">
        <v>751.2</v>
      </c>
      <c r="L27" s="33">
        <v>858.3</v>
      </c>
      <c r="M27" s="34">
        <v>873.8</v>
      </c>
    </row>
    <row r="28" spans="1:13" ht="12" x14ac:dyDescent="0.25">
      <c r="A28" s="29">
        <v>2023</v>
      </c>
      <c r="B28" s="10">
        <v>733.3</v>
      </c>
      <c r="C28" s="10">
        <v>752.5</v>
      </c>
      <c r="D28" s="10">
        <v>821.1</v>
      </c>
      <c r="E28" s="10">
        <v>690.4</v>
      </c>
      <c r="F28" s="10">
        <v>709.2</v>
      </c>
      <c r="G28" s="35">
        <v>665.2</v>
      </c>
      <c r="H28" s="35">
        <v>639.1</v>
      </c>
      <c r="I28" s="35">
        <v>698.6</v>
      </c>
      <c r="J28" s="35"/>
      <c r="K28" s="35"/>
      <c r="L28" s="35"/>
      <c r="M28" s="36"/>
    </row>
    <row r="29" spans="1:13" x14ac:dyDescent="0.2">
      <c r="E29" s="108"/>
    </row>
    <row r="30" spans="1:13" x14ac:dyDescent="0.2"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</row>
  </sheetData>
  <mergeCells count="1">
    <mergeCell ref="A2:M2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AG32"/>
  <sheetViews>
    <sheetView workbookViewId="0">
      <selection activeCell="A2" sqref="A2:T2"/>
    </sheetView>
  </sheetViews>
  <sheetFormatPr defaultColWidth="9.109375" defaultRowHeight="11.4" x14ac:dyDescent="0.2"/>
  <cols>
    <col min="1" max="1" width="19.109375" style="3" customWidth="1"/>
    <col min="2" max="2" width="6.6640625" style="3" customWidth="1"/>
    <col min="3" max="4" width="5.44140625" style="3" customWidth="1"/>
    <col min="5" max="5" width="5.5546875" style="3" customWidth="1"/>
    <col min="6" max="6" width="5.44140625" style="3" customWidth="1"/>
    <col min="7" max="7" width="6" style="3" customWidth="1"/>
    <col min="8" max="8" width="5.33203125" style="3" customWidth="1"/>
    <col min="9" max="11" width="5.6640625" style="3" customWidth="1"/>
    <col min="12" max="12" width="5.44140625" style="3" customWidth="1"/>
    <col min="13" max="14" width="5.5546875" style="3" customWidth="1"/>
    <col min="15" max="16" width="5.88671875" style="3" customWidth="1"/>
    <col min="17" max="17" width="5.5546875" style="3" customWidth="1"/>
    <col min="18" max="18" width="5.44140625" style="3" customWidth="1"/>
    <col min="19" max="19" width="6" style="3" customWidth="1"/>
    <col min="20" max="20" width="0.109375" style="3" customWidth="1"/>
    <col min="21" max="24" width="6" style="3" customWidth="1"/>
    <col min="25" max="25" width="6.44140625" style="3" customWidth="1"/>
    <col min="26" max="28" width="6.33203125" style="3" customWidth="1"/>
    <col min="29" max="30" width="6.6640625" style="3" customWidth="1"/>
    <col min="31" max="31" width="6.5546875" style="3" customWidth="1"/>
    <col min="32" max="32" width="6.109375" style="3" customWidth="1"/>
    <col min="33" max="33" width="5.88671875" style="3" customWidth="1"/>
    <col min="34" max="16384" width="9.109375" style="3"/>
  </cols>
  <sheetData>
    <row r="2" spans="1:20" ht="13.2" x14ac:dyDescent="0.2">
      <c r="A2" s="153" t="s">
        <v>87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</row>
    <row r="3" spans="1:20" ht="12" x14ac:dyDescent="0.25">
      <c r="A3" s="4"/>
    </row>
    <row r="4" spans="1:20" ht="12" x14ac:dyDescent="0.25">
      <c r="A4" s="4"/>
    </row>
    <row r="5" spans="1:20" ht="12" x14ac:dyDescent="0.25">
      <c r="A5" s="4"/>
    </row>
    <row r="6" spans="1:20" ht="12" x14ac:dyDescent="0.25">
      <c r="A6" s="4"/>
    </row>
    <row r="7" spans="1:20" ht="12" x14ac:dyDescent="0.25">
      <c r="A7" s="4"/>
    </row>
    <row r="8" spans="1:20" ht="12" x14ac:dyDescent="0.25">
      <c r="A8" s="4"/>
    </row>
    <row r="9" spans="1:20" ht="12" x14ac:dyDescent="0.25">
      <c r="A9" s="4"/>
    </row>
    <row r="10" spans="1:20" ht="12" x14ac:dyDescent="0.25">
      <c r="A10" s="4"/>
    </row>
    <row r="11" spans="1:20" ht="12" x14ac:dyDescent="0.25">
      <c r="A11" s="4"/>
    </row>
    <row r="12" spans="1:20" ht="12" x14ac:dyDescent="0.25">
      <c r="A12" s="4"/>
    </row>
    <row r="13" spans="1:20" ht="12" x14ac:dyDescent="0.25">
      <c r="A13" s="4"/>
    </row>
    <row r="14" spans="1:20" ht="12" x14ac:dyDescent="0.25">
      <c r="A14" s="4"/>
    </row>
    <row r="15" spans="1:20" ht="12" x14ac:dyDescent="0.25">
      <c r="A15" s="4"/>
    </row>
    <row r="16" spans="1:20" ht="12" x14ac:dyDescent="0.25">
      <c r="A16" s="4"/>
    </row>
    <row r="17" spans="1:33" ht="12" x14ac:dyDescent="0.25">
      <c r="A17" s="4"/>
    </row>
    <row r="18" spans="1:33" ht="12" x14ac:dyDescent="0.25">
      <c r="A18" s="4"/>
    </row>
    <row r="19" spans="1:33" ht="12" x14ac:dyDescent="0.25">
      <c r="A19" s="4"/>
    </row>
    <row r="20" spans="1:33" ht="12" x14ac:dyDescent="0.25">
      <c r="A20" s="4"/>
    </row>
    <row r="21" spans="1:33" ht="15" customHeight="1" x14ac:dyDescent="0.25">
      <c r="A21" s="4"/>
    </row>
    <row r="22" spans="1:33" ht="12" x14ac:dyDescent="0.25">
      <c r="A22" s="4"/>
    </row>
    <row r="23" spans="1:33" ht="12" x14ac:dyDescent="0.25">
      <c r="A23" s="160"/>
      <c r="B23" s="150">
        <v>2021</v>
      </c>
      <c r="C23" s="151"/>
      <c r="D23" s="151"/>
      <c r="E23" s="151"/>
      <c r="F23" s="151"/>
      <c r="G23" s="151"/>
      <c r="H23" s="151"/>
      <c r="I23" s="151"/>
      <c r="J23" s="151"/>
      <c r="K23" s="151"/>
      <c r="L23" s="151"/>
      <c r="M23" s="152"/>
      <c r="N23" s="150">
        <v>2022</v>
      </c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2"/>
      <c r="Z23" s="154">
        <v>2023</v>
      </c>
      <c r="AA23" s="155"/>
      <c r="AB23" s="155"/>
      <c r="AC23" s="155"/>
      <c r="AD23" s="155"/>
      <c r="AE23" s="155"/>
      <c r="AF23" s="155"/>
      <c r="AG23" s="156"/>
    </row>
    <row r="24" spans="1:33" ht="12" x14ac:dyDescent="0.25">
      <c r="A24" s="161"/>
      <c r="B24" s="21" t="s">
        <v>13</v>
      </c>
      <c r="C24" s="21" t="s">
        <v>14</v>
      </c>
      <c r="D24" s="22" t="s">
        <v>15</v>
      </c>
      <c r="E24" s="21" t="s">
        <v>16</v>
      </c>
      <c r="F24" s="21" t="s">
        <v>17</v>
      </c>
      <c r="G24" s="21" t="s">
        <v>22</v>
      </c>
      <c r="H24" s="21" t="s">
        <v>18</v>
      </c>
      <c r="I24" s="21" t="s">
        <v>23</v>
      </c>
      <c r="J24" s="41" t="s">
        <v>19</v>
      </c>
      <c r="K24" s="29" t="s">
        <v>24</v>
      </c>
      <c r="L24" s="27" t="s">
        <v>20</v>
      </c>
      <c r="M24" s="27" t="s">
        <v>21</v>
      </c>
      <c r="N24" s="49" t="s">
        <v>13</v>
      </c>
      <c r="O24" s="49" t="s">
        <v>14</v>
      </c>
      <c r="P24" s="49" t="s">
        <v>15</v>
      </c>
      <c r="Q24" s="21" t="s">
        <v>16</v>
      </c>
      <c r="R24" s="21" t="s">
        <v>17</v>
      </c>
      <c r="S24" s="21" t="s">
        <v>22</v>
      </c>
      <c r="T24" s="21" t="s">
        <v>18</v>
      </c>
      <c r="U24" s="21" t="s">
        <v>23</v>
      </c>
      <c r="V24" s="21" t="s">
        <v>19</v>
      </c>
      <c r="W24" s="22" t="s">
        <v>24</v>
      </c>
      <c r="X24" s="91" t="s">
        <v>20</v>
      </c>
      <c r="Y24" s="91" t="s">
        <v>21</v>
      </c>
      <c r="Z24" s="91" t="s">
        <v>13</v>
      </c>
      <c r="AA24" s="91" t="s">
        <v>14</v>
      </c>
      <c r="AB24" s="91" t="s">
        <v>15</v>
      </c>
      <c r="AC24" s="91" t="s">
        <v>16</v>
      </c>
      <c r="AD24" s="91" t="s">
        <v>17</v>
      </c>
      <c r="AE24" s="129" t="s">
        <v>22</v>
      </c>
      <c r="AF24" s="129" t="s">
        <v>18</v>
      </c>
      <c r="AG24" s="37" t="s">
        <v>23</v>
      </c>
    </row>
    <row r="25" spans="1:33" ht="27.75" customHeight="1" x14ac:dyDescent="0.25">
      <c r="A25" s="16" t="s">
        <v>55</v>
      </c>
      <c r="B25" s="55">
        <v>70.397914008513311</v>
      </c>
      <c r="C25" s="14">
        <v>130.56565598353049</v>
      </c>
      <c r="D25" s="14">
        <v>120.83026196604835</v>
      </c>
      <c r="E25" s="56">
        <v>89.231037795592442</v>
      </c>
      <c r="F25" s="14">
        <v>100.2114807539604</v>
      </c>
      <c r="G25" s="14">
        <v>104.66057637383682</v>
      </c>
      <c r="H25" s="14">
        <v>95.30942393156748</v>
      </c>
      <c r="I25" s="14">
        <v>102.30310816744974</v>
      </c>
      <c r="J25" s="14">
        <v>116.7433114933096</v>
      </c>
      <c r="K25" s="14">
        <v>96.368466717330918</v>
      </c>
      <c r="L25" s="15">
        <v>108.45193596997535</v>
      </c>
      <c r="M25" s="11">
        <v>107.60757399325725</v>
      </c>
      <c r="N25" s="92">
        <v>82.42810256467493</v>
      </c>
      <c r="O25" s="15">
        <v>107.62832847463979</v>
      </c>
      <c r="P25" s="15">
        <v>111.83649823538117</v>
      </c>
      <c r="Q25" s="15">
        <v>102.95945766976527</v>
      </c>
      <c r="R25" s="15">
        <v>100.28989015201115</v>
      </c>
      <c r="S25" s="15">
        <v>99.449492493428721</v>
      </c>
      <c r="T25" s="15">
        <v>99.042771669685536</v>
      </c>
      <c r="U25" s="15">
        <v>102.48436324688166</v>
      </c>
      <c r="V25" s="15">
        <v>108.22806008303567</v>
      </c>
      <c r="W25" s="88">
        <v>88.988673647198652</v>
      </c>
      <c r="X25" s="88">
        <v>114.26056736134905</v>
      </c>
      <c r="Y25" s="82">
        <v>101.80484196839581</v>
      </c>
      <c r="Z25" s="98">
        <v>83.923113131090105</v>
      </c>
      <c r="AA25" s="79">
        <v>102.61098940878497</v>
      </c>
      <c r="AB25" s="79">
        <v>109.12064094346417</v>
      </c>
      <c r="AC25" s="79">
        <v>84.078157654874644</v>
      </c>
      <c r="AD25" s="79">
        <v>102.7218186786998</v>
      </c>
      <c r="AE25" s="79">
        <v>93.799562886459725</v>
      </c>
      <c r="AF25" s="79">
        <v>96.084801852064871</v>
      </c>
      <c r="AG25" s="77">
        <v>109.30345529246004</v>
      </c>
    </row>
    <row r="26" spans="1:33" ht="42" customHeight="1" x14ac:dyDescent="0.25">
      <c r="A26" s="18" t="s">
        <v>56</v>
      </c>
      <c r="B26" s="19">
        <f>IF(379831.59944="","-",399368.86107/379831.59944*100)</f>
        <v>105.14366410240868</v>
      </c>
      <c r="C26" s="10">
        <f>IF(484785.07909="","-",521438.57325/484785.07909*100)</f>
        <v>107.56077192573727</v>
      </c>
      <c r="D26" s="10">
        <f>IF(500496.7331="","-",630055.59405/500496.7331*100)</f>
        <v>125.88605526903886</v>
      </c>
      <c r="E26" s="10">
        <f>IF(285604.18681="","-",562205.14526/285604.18681*100)</f>
        <v>196.84765533007069</v>
      </c>
      <c r="F26" s="10">
        <f>IF(329360.04715="","-",563394.10094/329360.04715*100)</f>
        <v>171.05720800538208</v>
      </c>
      <c r="G26" s="10">
        <f>IF(413539.17419="","-",589651.5133/413539.17419*100)</f>
        <v>142.58661575531545</v>
      </c>
      <c r="H26" s="10">
        <f>IF(496638.96559="","-",561993.46053/496638.96559*100)</f>
        <v>113.15935709199938</v>
      </c>
      <c r="I26" s="10">
        <f>IF(433625.62616="","-",574936.77782/433625.62616*100)</f>
        <v>132.58828425602752</v>
      </c>
      <c r="J26" s="10">
        <f>IF(508337.58442="","-",671200.23342/508337.58442*100)</f>
        <v>132.03828597207149</v>
      </c>
      <c r="K26" s="10">
        <f>IF(493580.30765="","-",646825.37355/493580.30765*100)</f>
        <v>131.0476458490858</v>
      </c>
      <c r="L26" s="10">
        <f>IF(522886.87074="","-",701494.63996/522886.87074*100)</f>
        <v>134.15801375299989</v>
      </c>
      <c r="M26" s="12">
        <f>IF(567302.1235="","-",754196.91196/567302.1235*100)</f>
        <v>132.94448949123316</v>
      </c>
      <c r="N26" s="19">
        <f>IF(399368.86107="","-",621670.20413/399368.86107*100)</f>
        <v>155.66316373900662</v>
      </c>
      <c r="O26" s="10">
        <f>IF(521438.57325="","-",669093.24933/521438.57325*100)</f>
        <v>128.31679197795137</v>
      </c>
      <c r="P26" s="10">
        <f>IF(630055.59405="","-",748290.45998/630055.59405*100)</f>
        <v>118.765783058918</v>
      </c>
      <c r="Q26" s="10">
        <f>IF(562205.14526="","-",770435.79939/562205.14526*100)</f>
        <v>137.03819786880473</v>
      </c>
      <c r="R26" s="10">
        <f>IF(563394.10094="","-",772669.2169/563394.10094*100)</f>
        <v>137.1454219365863</v>
      </c>
      <c r="S26" s="10">
        <f>IF(589651.5133="","-",768415.61486/589651.5133*100)</f>
        <v>130.31690711002199</v>
      </c>
      <c r="T26" s="10">
        <f>IF(561993.46053="","-",761060.1229/561993.46053*100)</f>
        <v>135.42152646798874</v>
      </c>
      <c r="U26" s="10">
        <f>IF(574936.77782="","-",779967.62088/574936.77782*100)</f>
        <v>135.66145895856928</v>
      </c>
      <c r="V26" s="10">
        <f>IF(671200.23342="","-",844143.83056/671200.23342*100)</f>
        <v>125.76631957631956</v>
      </c>
      <c r="W26" s="10">
        <f>IF(646825.37355="","-",751192.39849/646825.37355*100)</f>
        <v>116.13527069403568</v>
      </c>
      <c r="X26" s="10">
        <f>IF(701494.63996="","-",858316.69649/701494.63996*100)</f>
        <v>122.35541764637607</v>
      </c>
      <c r="Y26" s="12">
        <f>IF(754196.91196="","-",873807.95645/754196.91196*100)</f>
        <v>115.85939196955289</v>
      </c>
      <c r="Z26" s="99">
        <f>IF(621670.20413="","-",733326.83984/621670.20413*100)</f>
        <v>117.96075072735046</v>
      </c>
      <c r="AA26" s="78">
        <f>IF(669093.24933="","-",752473.92596/669093.24933*100)</f>
        <v>112.46174232268726</v>
      </c>
      <c r="AB26" s="78">
        <f>IF(748290.45998="","-",821104.37094/748290.45998*100)</f>
        <v>109.73070149283291</v>
      </c>
      <c r="AC26" s="78">
        <f>IF(770435.79939="","-",690369.42751/770435.79939*100)</f>
        <v>89.607651676701252</v>
      </c>
      <c r="AD26" s="78">
        <f>IF(772669.2169="","-",709160.03154/772669.2169*100)</f>
        <v>91.780546711204167</v>
      </c>
      <c r="AE26" s="78">
        <f>IF(768415.61486="","-",665189.00975/768415.61486*100)</f>
        <v>86.566305640625586</v>
      </c>
      <c r="AF26" s="78">
        <f>IF(761060.1229="","-",639145.54196/761060.1229*100)</f>
        <v>83.980952716922332</v>
      </c>
      <c r="AG26" s="111">
        <f>IF(779967.62088="","-",698608.16171/779967.62088*100)</f>
        <v>89.56886709243058</v>
      </c>
    </row>
    <row r="27" spans="1:33" x14ac:dyDescent="0.2">
      <c r="A27" s="7"/>
      <c r="B27" s="8"/>
      <c r="C27" s="8"/>
      <c r="D27" s="8"/>
      <c r="E27" s="8"/>
      <c r="F27" s="8"/>
      <c r="G27" s="8"/>
      <c r="H27" s="8"/>
    </row>
    <row r="28" spans="1:33" x14ac:dyDescent="0.2">
      <c r="A28" s="7"/>
      <c r="B28" s="8"/>
      <c r="C28" s="8"/>
      <c r="D28" s="8"/>
      <c r="E28" s="8"/>
      <c r="F28" s="8"/>
      <c r="G28" s="8"/>
      <c r="H28" s="8"/>
      <c r="N28" s="58"/>
      <c r="O28" s="15"/>
      <c r="P28" s="15"/>
      <c r="Q28" s="15"/>
      <c r="R28" s="15"/>
      <c r="S28" s="15"/>
      <c r="T28" s="15"/>
      <c r="U28" s="15"/>
      <c r="V28" s="15"/>
      <c r="W28" s="88"/>
      <c r="X28" s="88"/>
      <c r="Y28" s="88"/>
    </row>
    <row r="29" spans="1:33" x14ac:dyDescent="0.2"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33" ht="15.6" x14ac:dyDescent="0.3">
      <c r="N30" s="62"/>
      <c r="O30" s="62"/>
      <c r="P30" s="62"/>
      <c r="Q30" s="15"/>
      <c r="R30" s="15"/>
      <c r="S30" s="15"/>
      <c r="T30" s="15"/>
      <c r="U30" s="15"/>
      <c r="V30" s="67"/>
      <c r="W30" s="76"/>
    </row>
    <row r="31" spans="1:33" ht="15.6" x14ac:dyDescent="0.3">
      <c r="G31" s="42"/>
      <c r="H31" s="42"/>
      <c r="I31" s="45"/>
      <c r="J31" s="42"/>
      <c r="K31" s="42"/>
      <c r="L31" s="42"/>
      <c r="M31" s="45"/>
      <c r="N31" s="42"/>
      <c r="O31" s="45"/>
      <c r="P31" s="42"/>
      <c r="Q31" s="45"/>
      <c r="R31" s="42"/>
      <c r="S31" s="45"/>
      <c r="T31" s="42"/>
      <c r="U31" s="45"/>
      <c r="V31" s="42"/>
      <c r="W31" s="46"/>
      <c r="X31" s="42"/>
      <c r="Y31" s="42"/>
      <c r="Z31" s="42"/>
      <c r="AA31" s="45"/>
      <c r="AB31" s="42"/>
      <c r="AC31" s="44"/>
    </row>
    <row r="32" spans="1:33" ht="15.6" x14ac:dyDescent="0.2">
      <c r="L32" s="45"/>
    </row>
  </sheetData>
  <mergeCells count="5">
    <mergeCell ref="A23:A24"/>
    <mergeCell ref="B23:M23"/>
    <mergeCell ref="N23:Y23"/>
    <mergeCell ref="A2:T2"/>
    <mergeCell ref="Z23:AG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Figura 1</vt:lpstr>
      <vt:lpstr>Figura 2</vt:lpstr>
      <vt:lpstr>Sheet1</vt:lpstr>
      <vt:lpstr>Figura 3</vt:lpstr>
      <vt:lpstr>Figura 4</vt:lpstr>
      <vt:lpstr>Figura 5</vt:lpstr>
      <vt:lpstr>Figura 6</vt:lpstr>
      <vt:lpstr>Figura 7</vt:lpstr>
      <vt:lpstr>Figura 8</vt:lpstr>
      <vt:lpstr>Figura 9</vt:lpstr>
      <vt:lpstr>Figura 10</vt:lpstr>
      <vt:lpstr>Figura 11</vt:lpstr>
      <vt:lpstr>Figura 12</vt:lpstr>
      <vt:lpstr>Figura 13</vt:lpstr>
      <vt:lpstr>Figura 14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Petrusca</dc:creator>
  <cp:lastModifiedBy>Corina Vicol</cp:lastModifiedBy>
  <cp:lastPrinted>2023-02-01T07:21:59Z</cp:lastPrinted>
  <dcterms:created xsi:type="dcterms:W3CDTF">2017-02-13T11:50:10Z</dcterms:created>
  <dcterms:modified xsi:type="dcterms:W3CDTF">2023-10-16T16:42:15Z</dcterms:modified>
</cp:coreProperties>
</file>