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tables/table1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orinaVicol\Desktop\Com_Ext\"/>
    </mc:Choice>
  </mc:AlternateContent>
  <xr:revisionPtr revIDLastSave="0" documentId="13_ncr:1_{FE3F6665-8A68-462B-9824-A40610A98DA3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19" r:id="rId4"/>
    <sheet name="Figura 4" sheetId="3" r:id="rId5"/>
    <sheet name="Figura 5" sheetId="4" r:id="rId6"/>
    <sheet name="Figura 6" sheetId="5" r:id="rId7"/>
    <sheet name="Figura 7" sheetId="17" r:id="rId8"/>
    <sheet name="Figura 8" sheetId="7" r:id="rId9"/>
    <sheet name="Figura 9 " sheetId="8" r:id="rId10"/>
    <sheet name="Figura 10" sheetId="20" r:id="rId11"/>
    <sheet name="Figura 11" sheetId="9" r:id="rId12"/>
    <sheet name="Figura 12" sheetId="10" r:id="rId13"/>
    <sheet name="Figura 13" sheetId="16" r:id="rId14"/>
    <sheet name="Figura 14" sheetId="12" r:id="rId15"/>
    <sheet name="Figura 15" sheetId="13" r:id="rId16"/>
    <sheet name="Figura 16" sheetId="14" r:id="rId17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20" l="1"/>
  <c r="T22" i="19" l="1"/>
  <c r="G46" i="16" l="1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AK26" i="8"/>
  <c r="AJ26" i="8"/>
  <c r="G43" i="5" l="1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AK26" i="2" l="1"/>
  <c r="AJ26" i="2"/>
  <c r="Y26" i="8" l="1"/>
  <c r="X26" i="8"/>
  <c r="W26" i="8"/>
  <c r="V26" i="8"/>
  <c r="U26" i="8"/>
  <c r="T26" i="8"/>
  <c r="S26" i="8"/>
  <c r="R26" i="8"/>
  <c r="Q26" i="8"/>
  <c r="P26" i="8"/>
  <c r="O26" i="8"/>
  <c r="N26" i="8"/>
  <c r="Y26" i="2"/>
  <c r="X26" i="2"/>
  <c r="W26" i="2"/>
  <c r="V26" i="2"/>
  <c r="U26" i="2"/>
  <c r="T26" i="2"/>
  <c r="S26" i="2"/>
  <c r="R26" i="2"/>
  <c r="Q26" i="2"/>
  <c r="P26" i="2"/>
  <c r="O26" i="2"/>
  <c r="N26" i="2"/>
  <c r="AE26" i="8" l="1"/>
  <c r="AI26" i="8"/>
  <c r="AH26" i="8"/>
  <c r="AG26" i="8"/>
  <c r="AF26" i="8"/>
  <c r="AD26" i="8"/>
  <c r="AC26" i="8"/>
  <c r="AI26" i="2" l="1"/>
  <c r="AH26" i="2"/>
  <c r="AG26" i="2"/>
  <c r="AF26" i="2"/>
  <c r="AE26" i="2"/>
  <c r="AD26" i="2"/>
  <c r="AC26" i="2"/>
  <c r="AB26" i="8" l="1"/>
  <c r="AA26" i="8"/>
  <c r="Z26" i="8"/>
  <c r="AB26" i="2" l="1"/>
  <c r="AA26" i="2"/>
  <c r="Z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<sst xmlns="http://schemas.openxmlformats.org/spreadsheetml/2006/main" count="260" uniqueCount="111">
  <si>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</si>
  <si>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</si>
  <si>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</si>
  <si>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</si>
  <si>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</si>
  <si>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</si>
  <si>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</si>
  <si>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</si>
  <si>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</si>
  <si>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</si>
  <si>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</si>
  <si>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</si>
  <si>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</si>
  <si>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</si>
  <si>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</si>
  <si>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</si>
  <si>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</si>
  <si>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</si>
  <si>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</si>
  <si>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</si>
  <si>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</si>
  <si>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</si>
  <si>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</si>
  <si>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</si>
  <si>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</si>
  <si>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</si>
  <si>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</si>
  <si>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</si>
  <si>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</si>
  <si>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</si>
  <si>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</si>
  <si>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</si>
  <si>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</si>
  <si>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</si>
  <si>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</si>
  <si>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</si>
  <si>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</si>
  <si>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</si>
  <si>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</si>
  <si>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</si>
  <si>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</si>
  <si>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</si>
  <si>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</si>
  <si>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</si>
  <si>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</si>
  <si>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</si>
  <si>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</si>
  <si>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</si>
  <si>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</si>
  <si>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</si>
  <si>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</si>
  <si>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</si>
  <si>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</si>
  <si>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</si>
  <si>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</si>
  <si>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</si>
  <si>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</si>
  <si>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</si>
  <si>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</si>
  <si>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</si>
  <si>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</si>
  <si>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</si>
  <si>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</si>
  <si>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</si>
  <si>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</si>
  <si>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</si>
  <si>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</si>
  <si>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</si>
  <si>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</si>
  <si>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</si>
  <si>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</si>
  <si>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</si>
  <si>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</si>
  <si>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</si>
  <si>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</si>
  <si>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</si>
  <si>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</si>
  <si>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</si>
  <si>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</si>
  <si>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</si>
  <si>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</si>
  <si>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t xml:space="preserve">Figura 1. </t>
    </r>
    <r>
      <rPr>
        <b/>
        <i/>
        <sz val="10"/>
        <color theme="1"/>
        <rFont val="Arial"/>
        <family val="2"/>
        <charset val="204"/>
      </rPr>
      <t>Evoluţia lunară a exporturilor de mărfuri, în anii 2018-2023 (milioane dolari SUA)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</si>
  <si>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</si>
  <si>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t>Articole prelucrate din metal</t>
  </si>
  <si>
    <t>Federația Rusă</t>
  </si>
  <si>
    <t>Franța</t>
  </si>
  <si>
    <t>China</t>
  </si>
  <si>
    <t>India</t>
  </si>
  <si>
    <t>Austria</t>
  </si>
  <si>
    <t>Japonia</t>
  </si>
  <si>
    <t>Slovacia</t>
  </si>
  <si>
    <t xml:space="preserve">          </t>
  </si>
  <si>
    <t xml:space="preserve">Hrană destinată animalelor </t>
  </si>
  <si>
    <t>Regatul Unit</t>
  </si>
  <si>
    <t>EXPORT - total</t>
  </si>
  <si>
    <r>
      <t xml:space="preserve">Figura 3. </t>
    </r>
    <r>
      <rPr>
        <b/>
        <i/>
        <sz val="10"/>
        <color rgb="FF000000"/>
        <rFont val="Arial"/>
        <family val="2"/>
        <charset val="204"/>
      </rPr>
      <t>Evoluţia indicilor valorici ai exporturilor de mărfuri, în anii 2000-2023 (în % faţă de anul precedent)</t>
    </r>
  </si>
  <si>
    <t>IMPORT - total</t>
  </si>
  <si>
    <r>
      <t xml:space="preserve">Figura 10. </t>
    </r>
    <r>
      <rPr>
        <b/>
        <i/>
        <sz val="10"/>
        <color rgb="FF000000"/>
        <rFont val="Arial"/>
        <family val="2"/>
        <charset val="204"/>
      </rPr>
      <t>Evoluţia indicilor valorici ai importurilor de mărfuri, în anii 2000-2023 (în % faţă de anul precedent)</t>
    </r>
  </si>
  <si>
    <r>
      <rPr>
        <b/>
        <sz val="10"/>
        <color rgb="FF000000"/>
        <rFont val="Arial"/>
        <family val="2"/>
        <charset val="204"/>
      </rPr>
      <t>Figura 4</t>
    </r>
    <r>
      <rPr>
        <b/>
        <i/>
        <sz val="10"/>
        <color indexed="8"/>
        <rFont val="Arial"/>
        <family val="2"/>
        <charset val="204"/>
      </rPr>
      <t>. Structura exporturilor de mărfuri, în anii 2018-2023, după modul de transport (%)</t>
    </r>
  </si>
  <si>
    <r>
      <rPr>
        <b/>
        <sz val="10"/>
        <color rgb="FF000000"/>
        <rFont val="Arial"/>
        <family val="2"/>
        <charset val="204"/>
      </rPr>
      <t>Figura 5.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anii 2018-2023, pe grupe de ţări (%)</t>
    </r>
  </si>
  <si>
    <r>
      <rPr>
        <b/>
        <sz val="10"/>
        <color rgb="FF000000"/>
        <rFont val="Arial"/>
        <family val="2"/>
        <charset val="204"/>
      </rPr>
      <t>Figura 6</t>
    </r>
    <r>
      <rPr>
        <b/>
        <i/>
        <sz val="10"/>
        <color indexed="8"/>
        <rFont val="Arial"/>
        <family val="2"/>
        <charset val="204"/>
      </rPr>
      <t>. Structura exporturilor, în anii 2018-2023, pe principalele ţări de destinaţie a mărfurilor (%)</t>
    </r>
  </si>
  <si>
    <r>
      <rPr>
        <b/>
        <sz val="10"/>
        <color theme="1"/>
        <rFont val="Arial"/>
        <family val="2"/>
        <charset val="204"/>
      </rPr>
      <t xml:space="preserve">Figura 7.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</si>
  <si>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rPr>
        <b/>
        <sz val="10"/>
        <color indexed="8"/>
        <rFont val="Arial"/>
        <family val="2"/>
        <charset val="204"/>
      </rPr>
      <t>Figura 8.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</si>
  <si>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9.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</si>
  <si>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 de mărfuri, în anii 2018-2023, după modul de transport (%)</t>
    </r>
  </si>
  <si>
    <r>
      <t xml:space="preserve">    </t>
    </r>
    <r>
      <rPr>
        <b/>
        <sz val="10"/>
        <color theme="1"/>
        <rFont val="Arial"/>
        <family val="2"/>
        <charset val="204"/>
      </rPr>
      <t>Figura 12</t>
    </r>
    <r>
      <rPr>
        <b/>
        <i/>
        <sz val="10"/>
        <color theme="1"/>
        <rFont val="Arial"/>
        <family val="2"/>
        <charset val="204"/>
      </rPr>
      <t>. Structura importurilor de mărfuri, în anii 2018-2023, pe grupe de ţări (%)</t>
    </r>
  </si>
  <si>
    <r>
      <t xml:space="preserve">Figura 13. </t>
    </r>
    <r>
      <rPr>
        <b/>
        <i/>
        <sz val="10"/>
        <color rgb="FF000000"/>
        <rFont val="Arial"/>
        <family val="2"/>
        <charset val="204"/>
      </rPr>
      <t>Structura importurilor, în anii 2018-2023, pe principalele ţări de origine a mărfurilor (%)</t>
    </r>
  </si>
  <si>
    <r>
      <t xml:space="preserve">Figura 14.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</si>
  <si>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15.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</si>
  <si>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r>
      <rPr>
        <b/>
        <sz val="10"/>
        <color rgb="FF000000"/>
        <rFont val="Arial"/>
        <family val="2"/>
        <charset val="204"/>
      </rPr>
      <t>Figura 16</t>
    </r>
    <r>
      <rPr>
        <b/>
        <i/>
        <sz val="10"/>
        <color indexed="8"/>
        <rFont val="Arial"/>
        <family val="2"/>
        <charset val="204"/>
      </rPr>
      <t>. Tendinţele comerţului internaţional cu mărfuri, în anii 2018-2023 (milioane dolari SUA)</t>
    </r>
  </si>
  <si>
    <t>Anii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</si>
</sst>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32" fillId="0" borderId="0"/>
    <xf numFmtId="0" fontId="32" fillId="0" borderId="0"/>
  </cellStyleXfs>
  <cellXfs count="1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8" fontId="4" fillId="0" borderId="0" xfId="0" applyNumberFormat="1" applyFont="1" applyAlignment="1">
      <alignment horizontal="left" vertical="top" wrapText="1" indent="1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/>
    <xf numFmtId="164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38" fontId="15" fillId="0" borderId="0" xfId="0" applyNumberFormat="1" applyFont="1" applyAlignment="1">
      <alignment horizontal="left" vertical="top" wrapText="1"/>
    </xf>
    <xf numFmtId="164" fontId="3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0" fontId="33" fillId="0" borderId="0" xfId="0" applyFont="1"/>
    <xf numFmtId="38" fontId="4" fillId="0" borderId="0" xfId="0" applyNumberFormat="1" applyFont="1" applyAlignment="1">
      <alignment horizontal="left" wrapText="1" indent="1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38" fontId="6" fillId="0" borderId="4" xfId="0" applyNumberFormat="1" applyFont="1" applyBorder="1" applyAlignment="1">
      <alignment horizontal="left" vertical="top" wrapText="1" indent="1"/>
    </xf>
    <xf numFmtId="38" fontId="6" fillId="0" borderId="5" xfId="0" applyNumberFormat="1" applyFont="1" applyBorder="1" applyAlignment="1">
      <alignment horizontal="left" vertical="top" wrapText="1" indent="1"/>
    </xf>
    <xf numFmtId="38" fontId="6" fillId="0" borderId="6" xfId="0" applyNumberFormat="1" applyFont="1" applyBorder="1" applyAlignment="1">
      <alignment horizontal="left" vertical="top" wrapText="1" indent="1"/>
    </xf>
    <xf numFmtId="164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 indent="1"/>
    </xf>
    <xf numFmtId="38" fontId="23" fillId="0" borderId="0" xfId="0" applyNumberFormat="1" applyFont="1" applyAlignment="1">
      <alignment horizontal="left" vertical="top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38" fontId="4" fillId="0" borderId="4" xfId="0" applyNumberFormat="1" applyFont="1" applyBorder="1" applyAlignment="1">
      <alignment horizontal="left" wrapText="1" indent="1"/>
    </xf>
    <xf numFmtId="38" fontId="4" fillId="0" borderId="5" xfId="0" applyNumberFormat="1" applyFont="1" applyBorder="1" applyAlignment="1">
      <alignment horizontal="left" wrapText="1" indent="1"/>
    </xf>
    <xf numFmtId="38" fontId="4" fillId="0" borderId="6" xfId="0" applyNumberFormat="1" applyFont="1" applyBorder="1" applyAlignment="1">
      <alignment horizontal="left" wrapText="1" indent="1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8" fontId="6" fillId="0" borderId="4" xfId="0" applyNumberFormat="1" applyFont="1" applyBorder="1" applyAlignment="1">
      <alignment horizontal="left" wrapText="1" indent="1"/>
    </xf>
    <xf numFmtId="38" fontId="6" fillId="0" borderId="5" xfId="0" applyNumberFormat="1" applyFont="1" applyBorder="1" applyAlignment="1">
      <alignment horizontal="left" wrapText="1" indent="1"/>
    </xf>
    <xf numFmtId="38" fontId="6" fillId="0" borderId="6" xfId="0" applyNumberFormat="1" applyFont="1" applyBorder="1" applyAlignment="1">
      <alignment horizontal="left" wrapText="1" indent="1"/>
    </xf>
    <xf numFmtId="0" fontId="3" fillId="0" borderId="1" xfId="0" applyFont="1" applyBorder="1" applyAlignment="1">
      <alignment horizontal="left" indent="1"/>
    </xf>
    <xf numFmtId="164" fontId="2" fillId="0" borderId="6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0000000}"/>
    <cellStyle name="Normal 3" xfId="2" xr:uid="{00000000-0005-0000-0000-000001000000}"/>
    <cellStyle name="Normal 5" xfId="3" xr:uid="{00000000-0005-0000-0000-000002000000}"/>
    <cellStyle name="Normal 6" xfId="4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000"/>
      <color rgb="FF7CAFDD"/>
      <color rgb="FF43682B"/>
      <color rgb="FF264478"/>
      <color rgb="FF997300"/>
      <color rgb="FF636363"/>
      <color rgb="FF9E480E"/>
      <color rgb="FF255E91"/>
      <color rgb="FF70AD4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1'!$B$22:$B$27</c:f>
              <c:numCache>
                <c:formatCode>#,##0.0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1'!$C$22:$C$27</c:f>
              <c:numCache>
                <c:formatCode>#,##0.0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1'!$D$22:$D$27</c:f>
              <c:numCache>
                <c:formatCode>#,##0.0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  <c:pt idx="5">
                  <c:v>384.9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1'!$E$22:$E$27</c:f>
              <c:numCache>
                <c:formatCode>#,##0.0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  <c:pt idx="5">
                  <c:v>317.39999999999998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1'!$F$22:$F$27</c:f>
              <c:numCache>
                <c:formatCode>#,##0.0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1'!$G$22:$G$27</c:f>
              <c:numCache>
                <c:formatCode>#,##0.0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  <c:pt idx="5">
                  <c:v>316.60000000000002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1'!$H$22:$H$27</c:f>
              <c:numCache>
                <c:formatCode>#,##0.0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  <c:pt idx="5">
                  <c:v>304.2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1'!$I$22:$I$27</c:f>
              <c:numCache>
                <c:formatCode>#,##0.0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  <c:pt idx="5">
                  <c:v>321.60000000000002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1'!$J$22:$J$27</c:f>
              <c:numCache>
                <c:formatCode>#,##0.0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  <c:pt idx="5">
                  <c:v>348.1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1'!$K$22:$K$27</c:f>
              <c:numCache>
                <c:formatCode>#,##0.0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351.9</c:v>
                </c:pt>
                <c:pt idx="5">
                  <c:v>341.8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rgbClr val="43682B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1'!$L$22:$L$27</c:f>
              <c:numCache>
                <c:formatCode>#,##0.0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355.4</c:v>
                </c:pt>
                <c:pt idx="5">
                  <c:v>379.1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rgbClr val="7CAFDD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1'!$M$22:$M$27</c:f>
              <c:numCache>
                <c:formatCode>#,##0.0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347</c:v>
                </c:pt>
                <c:pt idx="5">
                  <c:v>311.3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61216"/>
        <c:axId val="93828160"/>
      </c:barChart>
      <c:catAx>
        <c:axId val="939612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828160"/>
        <c:crosses val="autoZero"/>
        <c:auto val="0"/>
        <c:lblAlgn val="ctr"/>
        <c:lblOffset val="100"/>
        <c:tickLblSkip val="1"/>
        <c:noMultiLvlLbl val="0"/>
      </c:catAx>
      <c:valAx>
        <c:axId val="938281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9612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9 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'Figura 9 '!$B$23:$AK$24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9 '!$B$25:$AK$25</c:f>
              <c:numCache>
                <c:formatCode>#,##0.0</c:formatCode>
                <c:ptCount val="36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>
                  <c:v>88.98329870179748</c:v>
                </c:pt>
                <c:pt idx="22">
                  <c:v>114.26713676539435</c:v>
                </c:pt>
                <c:pt idx="23">
                  <c:v>101.80088194210491</c:v>
                </c:pt>
                <c:pt idx="24">
                  <c:v>83.926621848561766</c:v>
                </c:pt>
                <c:pt idx="25">
                  <c:v>102.61098940878497</c:v>
                </c:pt>
                <c:pt idx="26">
                  <c:v>109.12124896586097</c:v>
                </c:pt>
                <c:pt idx="27">
                  <c:v>84.108871928407495</c:v>
                </c:pt>
                <c:pt idx="28">
                  <c:v>102.68878207006242</c:v>
                </c:pt>
                <c:pt idx="29">
                  <c:v>93.851597003176721</c:v>
                </c:pt>
                <c:pt idx="30">
                  <c:v>96.086512164873767</c:v>
                </c:pt>
                <c:pt idx="31">
                  <c:v>109.27507416248771</c:v>
                </c:pt>
                <c:pt idx="32">
                  <c:v>100.47049386929925</c:v>
                </c:pt>
                <c:pt idx="33">
                  <c:v>101.64405035986022</c:v>
                </c:pt>
                <c:pt idx="34" formatCode="0.0">
                  <c:v>103.27573281273996</c:v>
                </c:pt>
                <c:pt idx="35" formatCode="0.0">
                  <c:v>109.89846011737687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9 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9 '!$B$23:$AK$24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9 '!$B$26:$AK$26</c:f>
              <c:numCache>
                <c:formatCode>#,##0.0</c:formatCode>
                <c:ptCount val="36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116.12825608516977</c:v>
                </c:pt>
                <c:pt idx="22">
                  <c:v>122.3550617306131</c:v>
                </c:pt>
                <c:pt idx="23">
                  <c:v>115.85454823982914</c:v>
                </c:pt>
                <c:pt idx="24">
                  <c:v>117.96075072735046</c:v>
                </c:pt>
                <c:pt idx="25">
                  <c:v>112.46174232268726</c:v>
                </c:pt>
                <c:pt idx="26">
                  <c:v>109.73131291449928</c:v>
                </c:pt>
                <c:pt idx="27">
                  <c:v>89.640885386791396</c:v>
                </c:pt>
                <c:pt idx="28">
                  <c:v>91.785057597523661</c:v>
                </c:pt>
                <c:pt idx="29">
                  <c:v>86.618584173522549</c:v>
                </c:pt>
                <c:pt idx="30">
                  <c:v>84.03316568775648</c:v>
                </c:pt>
                <c:pt idx="31">
                  <c:v>89.601282788060971</c:v>
                </c:pt>
                <c:pt idx="32">
                  <c:v>83.178845399391065</c:v>
                </c:pt>
                <c:pt idx="33">
                  <c:v>95.013725878876059</c:v>
                </c:pt>
                <c:pt idx="34" formatCode="0.0">
                  <c:v>85.874315618464465</c:v>
                </c:pt>
                <c:pt idx="35" formatCode="0.0">
                  <c:v>92.705042137749061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5776"/>
        <c:axId val="126082368"/>
      </c:lineChart>
      <c:catAx>
        <c:axId val="1280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82368"/>
        <c:crossesAt val="30"/>
        <c:auto val="1"/>
        <c:lblAlgn val="ctr"/>
        <c:lblOffset val="100"/>
        <c:noMultiLvlLbl val="0"/>
      </c:catAx>
      <c:valAx>
        <c:axId val="12608236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075776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10'!$A$24</c:f>
              <c:strCache>
                <c:ptCount val="1"/>
                <c:pt idx="0">
                  <c:v>IMPORT - total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8.4121986153212099E-3"/>
                  <c:y val="-2.359882736745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5E-451B-A9A0-C7CAFEFC3B00}"/>
                </c:ext>
              </c:extLst>
            </c:dLbl>
            <c:dLbl>
              <c:idx val="1"/>
              <c:layout>
                <c:manualLayout>
                  <c:x val="-2.8040662051070669E-2"/>
                  <c:y val="3.9331378945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5E-451B-A9A0-C7CAFEFC3B00}"/>
                </c:ext>
              </c:extLst>
            </c:dLbl>
            <c:dLbl>
              <c:idx val="2"/>
              <c:layout>
                <c:manualLayout>
                  <c:x val="-1.682439723064242E-2"/>
                  <c:y val="3.146510315660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5E-451B-A9A0-C7CAFEFC3B00}"/>
                </c:ext>
              </c:extLst>
            </c:dLbl>
            <c:dLbl>
              <c:idx val="3"/>
              <c:layout>
                <c:manualLayout>
                  <c:x val="-2.8040662051070656E-2"/>
                  <c:y val="-3.5398241051182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5E-451B-A9A0-C7CAFEFC3B00}"/>
                </c:ext>
              </c:extLst>
            </c:dLbl>
            <c:dLbl>
              <c:idx val="4"/>
              <c:layout>
                <c:manualLayout>
                  <c:x val="-2.3834562743410032E-2"/>
                  <c:y val="3.539824105118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5E-451B-A9A0-C7CAFEFC3B00}"/>
                </c:ext>
              </c:extLst>
            </c:dLbl>
            <c:dLbl>
              <c:idx val="5"/>
              <c:layout>
                <c:manualLayout>
                  <c:x val="-2.3834562743410059E-2"/>
                  <c:y val="-3.5398241051182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5E-451B-A9A0-C7CAFEFC3B00}"/>
                </c:ext>
              </c:extLst>
            </c:dLbl>
            <c:dLbl>
              <c:idx val="6"/>
              <c:layout>
                <c:manualLayout>
                  <c:x val="-2.5236595845963591E-2"/>
                  <c:y val="3.9331378945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5E-451B-A9A0-C7CAFEFC3B00}"/>
                </c:ext>
              </c:extLst>
            </c:dLbl>
            <c:dLbl>
              <c:idx val="7"/>
              <c:layout>
                <c:manualLayout>
                  <c:x val="-2.8040662051070656E-2"/>
                  <c:y val="-3.146510315660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5E-451B-A9A0-C7CAFEFC3B00}"/>
                </c:ext>
              </c:extLst>
            </c:dLbl>
            <c:dLbl>
              <c:idx val="8"/>
              <c:layout>
                <c:manualLayout>
                  <c:x val="-5.6081324102141309E-3"/>
                  <c:y val="-7.8662757891516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5E-451B-A9A0-C7CAFEFC3B00}"/>
                </c:ext>
              </c:extLst>
            </c:dLbl>
            <c:dLbl>
              <c:idx val="9"/>
              <c:layout>
                <c:manualLayout>
                  <c:x val="-4.20609930766065E-3"/>
                  <c:y val="-1.442133901690565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5E-451B-A9A0-C7CAFEFC3B00}"/>
                </c:ext>
              </c:extLst>
            </c:dLbl>
            <c:dLbl>
              <c:idx val="10"/>
              <c:layout>
                <c:manualLayout>
                  <c:x val="-8.4121986153211977E-3"/>
                  <c:y val="2.359882736745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5E-451B-A9A0-C7CAFEFC3B00}"/>
                </c:ext>
              </c:extLst>
            </c:dLbl>
            <c:dLbl>
              <c:idx val="11"/>
              <c:layout>
                <c:manualLayout>
                  <c:x val="-2.3834562743410059E-2"/>
                  <c:y val="-3.146510315660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5E-451B-A9A0-C7CAFEFC3B00}"/>
                </c:ext>
              </c:extLst>
            </c:dLbl>
            <c:dLbl>
              <c:idx val="12"/>
              <c:layout>
                <c:manualLayout>
                  <c:x val="-2.5236595845963591E-2"/>
                  <c:y val="3.146510315660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5E-451B-A9A0-C7CAFEFC3B00}"/>
                </c:ext>
              </c:extLst>
            </c:dLbl>
            <c:dLbl>
              <c:idx val="13"/>
              <c:layout>
                <c:manualLayout>
                  <c:x val="-2.2432529640856524E-2"/>
                  <c:y val="-3.146510315660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5E-451B-A9A0-C7CAFEFC3B00}"/>
                </c:ext>
              </c:extLst>
            </c:dLbl>
            <c:dLbl>
              <c:idx val="14"/>
              <c:layout>
                <c:manualLayout>
                  <c:x val="-7.0101655127677671E-3"/>
                  <c:y val="-1.5732551578303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5E-451B-A9A0-C7CAFEFC3B00}"/>
                </c:ext>
              </c:extLst>
            </c:dLbl>
            <c:dLbl>
              <c:idx val="15"/>
              <c:layout>
                <c:manualLayout>
                  <c:x val="-2.1030496538303096E-2"/>
                  <c:y val="3.9331378945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5E-451B-A9A0-C7CAFEFC3B00}"/>
                </c:ext>
              </c:extLst>
            </c:dLbl>
            <c:dLbl>
              <c:idx val="16"/>
              <c:layout>
                <c:manualLayout>
                  <c:x val="-7.0101655127676639E-3"/>
                  <c:y val="2.359882736745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5E-451B-A9A0-C7CAFEFC3B00}"/>
                </c:ext>
              </c:extLst>
            </c:dLbl>
            <c:dLbl>
              <c:idx val="17"/>
              <c:layout>
                <c:manualLayout>
                  <c:x val="-4.9071158589373755E-2"/>
                  <c:y val="-1.76989656776424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096099102323467E-2"/>
                      <c:h val="4.40316335777246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E15E-451B-A9A0-C7CAFEFC3B00}"/>
                </c:ext>
              </c:extLst>
            </c:dLbl>
            <c:dLbl>
              <c:idx val="18"/>
              <c:layout>
                <c:manualLayout>
                  <c:x val="-7.0101655127676639E-3"/>
                  <c:y val="-1.9665689472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15E-451B-A9A0-C7CAFEFC3B00}"/>
                </c:ext>
              </c:extLst>
            </c:dLbl>
            <c:dLbl>
              <c:idx val="19"/>
              <c:layout>
                <c:manualLayout>
                  <c:x val="-3.0844728256177723E-2"/>
                  <c:y val="3.5398241051182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15E-451B-A9A0-C7CAFEFC3B00}"/>
                </c:ext>
              </c:extLst>
            </c:dLbl>
            <c:dLbl>
              <c:idx val="20"/>
              <c:layout>
                <c:manualLayout>
                  <c:x val="-1.9628463435749564E-2"/>
                  <c:y val="3.933137894575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15E-451B-A9A0-C7CAFEFC3B00}"/>
                </c:ext>
              </c:extLst>
            </c:dLbl>
            <c:dLbl>
              <c:idx val="21"/>
              <c:layout>
                <c:manualLayout>
                  <c:x val="-2.9442695153624087E-2"/>
                  <c:y val="-3.1465103156606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5E-451B-A9A0-C7CAFEFC3B00}"/>
                </c:ext>
              </c:extLst>
            </c:dLbl>
            <c:dLbl>
              <c:idx val="22"/>
              <c:layout>
                <c:manualLayout>
                  <c:x val="-4.2060993076605989E-3"/>
                  <c:y val="-3.9331378945758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5E-451B-A9A0-C7CAFEFC3B00}"/>
                </c:ext>
              </c:extLst>
            </c:dLbl>
            <c:dLbl>
              <c:idx val="23"/>
              <c:layout>
                <c:manualLayout>
                  <c:x val="-1.4020331025535534E-2"/>
                  <c:y val="3.9331378945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15E-451B-A9A0-C7CAFEFC3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10'!$B$23:$Y$23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'Figura 10'!$B$24:$Y$24</c:f>
              <c:numCache>
                <c:formatCode>General</c:formatCode>
                <c:ptCount val="24"/>
                <c:pt idx="0">
                  <c:v>132.4</c:v>
                </c:pt>
                <c:pt idx="1">
                  <c:v>114.9</c:v>
                </c:pt>
                <c:pt idx="2">
                  <c:v>116.3</c:v>
                </c:pt>
                <c:pt idx="3">
                  <c:v>135.1</c:v>
                </c:pt>
                <c:pt idx="4">
                  <c:v>126.1</c:v>
                </c:pt>
                <c:pt idx="5">
                  <c:v>129.6</c:v>
                </c:pt>
                <c:pt idx="6">
                  <c:v>117.5</c:v>
                </c:pt>
                <c:pt idx="7" formatCode="0.0">
                  <c:v>137</c:v>
                </c:pt>
                <c:pt idx="8">
                  <c:v>132.80000000000001</c:v>
                </c:pt>
                <c:pt idx="9">
                  <c:v>66.900000000000006</c:v>
                </c:pt>
                <c:pt idx="10">
                  <c:v>117.6</c:v>
                </c:pt>
                <c:pt idx="11">
                  <c:v>134.69999999999999</c:v>
                </c:pt>
                <c:pt idx="12">
                  <c:v>100.4</c:v>
                </c:pt>
                <c:pt idx="13">
                  <c:v>105.4</c:v>
                </c:pt>
                <c:pt idx="14">
                  <c:v>96.8</c:v>
                </c:pt>
                <c:pt idx="15" formatCode="0.0">
                  <c:v>75</c:v>
                </c:pt>
                <c:pt idx="16">
                  <c:v>100.8</c:v>
                </c:pt>
                <c:pt idx="17">
                  <c:v>120.2</c:v>
                </c:pt>
                <c:pt idx="18" formatCode="#,##0.0">
                  <c:v>119.22287948887191</c:v>
                </c:pt>
                <c:pt idx="19">
                  <c:v>101.4</c:v>
                </c:pt>
                <c:pt idx="20">
                  <c:v>92.7</c:v>
                </c:pt>
                <c:pt idx="21">
                  <c:v>132.5</c:v>
                </c:pt>
                <c:pt idx="22">
                  <c:v>128.5</c:v>
                </c:pt>
                <c:pt idx="23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E-451B-A9A0-C7CAFEFC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5024"/>
        <c:axId val="100811328"/>
      </c:lineChart>
      <c:catAx>
        <c:axId val="121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1328"/>
        <c:crossesAt val="30"/>
        <c:auto val="0"/>
        <c:lblAlgn val="ctr"/>
        <c:lblOffset val="100"/>
        <c:noMultiLvlLbl val="0"/>
      </c:catAx>
      <c:valAx>
        <c:axId val="100811328"/>
        <c:scaling>
          <c:orientation val="minMax"/>
          <c:min val="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66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11'!$B$23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11'!$B$24:$B$30</c:f>
              <c:numCache>
                <c:formatCode>General</c:formatCode>
                <c:ptCount val="7"/>
                <c:pt idx="0">
                  <c:v>7.1</c:v>
                </c:pt>
                <c:pt idx="1">
                  <c:v>3.9</c:v>
                </c:pt>
                <c:pt idx="2">
                  <c:v>79.3</c:v>
                </c:pt>
                <c:pt idx="3">
                  <c:v>2.1</c:v>
                </c:pt>
                <c:pt idx="4">
                  <c:v>0.1</c:v>
                </c:pt>
                <c:pt idx="5">
                  <c:v>6.8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11'!$C$23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11'!$C$24:$C$30</c:f>
              <c:numCache>
                <c:formatCode>General</c:formatCode>
                <c:ptCount val="7"/>
                <c:pt idx="0">
                  <c:v>7.2</c:v>
                </c:pt>
                <c:pt idx="1">
                  <c:v>5.0999999999999996</c:v>
                </c:pt>
                <c:pt idx="2">
                  <c:v>75</c:v>
                </c:pt>
                <c:pt idx="3">
                  <c:v>1.7</c:v>
                </c:pt>
                <c:pt idx="4">
                  <c:v>0.1</c:v>
                </c:pt>
                <c:pt idx="5">
                  <c:v>10.3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11'!$D$23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11'!$D$24:$D$30</c:f>
              <c:numCache>
                <c:formatCode>General</c:formatCode>
                <c:ptCount val="7"/>
                <c:pt idx="0">
                  <c:v>3.2</c:v>
                </c:pt>
                <c:pt idx="1">
                  <c:v>4.4000000000000004</c:v>
                </c:pt>
                <c:pt idx="2">
                  <c:v>83.8</c:v>
                </c:pt>
                <c:pt idx="3">
                  <c:v>2.5</c:v>
                </c:pt>
                <c:pt idx="4">
                  <c:v>0.2</c:v>
                </c:pt>
                <c:pt idx="5">
                  <c:v>5.3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11'!$E$23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11'!$E$24:$E$30</c:f>
              <c:numCache>
                <c:formatCode>General</c:formatCode>
                <c:ptCount val="7"/>
                <c:pt idx="0">
                  <c:v>1.5</c:v>
                </c:pt>
                <c:pt idx="1">
                  <c:v>4.5999999999999996</c:v>
                </c:pt>
                <c:pt idx="2">
                  <c:v>87.5</c:v>
                </c:pt>
                <c:pt idx="3">
                  <c:v>2.4</c:v>
                </c:pt>
                <c:pt idx="4">
                  <c:v>0.2</c:v>
                </c:pt>
                <c:pt idx="5">
                  <c:v>3.2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11'!$F$23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11'!$F$24:$F$30</c:f>
              <c:numCache>
                <c:formatCode>General</c:formatCode>
                <c:ptCount val="7"/>
                <c:pt idx="0">
                  <c:v>2.1</c:v>
                </c:pt>
                <c:pt idx="1">
                  <c:v>4.5999999999999996</c:v>
                </c:pt>
                <c:pt idx="2">
                  <c:v>84.6</c:v>
                </c:pt>
                <c:pt idx="3">
                  <c:v>2.8</c:v>
                </c:pt>
                <c:pt idx="4">
                  <c:v>0.2</c:v>
                </c:pt>
                <c:pt idx="5">
                  <c:v>4.9000000000000004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11'!$G$23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11'!$G$24:$G$30</c:f>
              <c:numCache>
                <c:formatCode>General</c:formatCode>
                <c:ptCount val="7"/>
                <c:pt idx="0">
                  <c:v>2.8</c:v>
                </c:pt>
                <c:pt idx="1">
                  <c:v>5.7</c:v>
                </c:pt>
                <c:pt idx="2">
                  <c:v>82.8</c:v>
                </c:pt>
                <c:pt idx="3">
                  <c:v>2.7</c:v>
                </c:pt>
                <c:pt idx="4">
                  <c:v>0.2</c:v>
                </c:pt>
                <c:pt idx="5">
                  <c:v>5.2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382464"/>
        <c:axId val="128386752"/>
      </c:barChart>
      <c:catAx>
        <c:axId val="1283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6752"/>
        <c:crossesAt val="0"/>
        <c:auto val="1"/>
        <c:lblAlgn val="ctr"/>
        <c:lblOffset val="100"/>
        <c:noMultiLvlLbl val="0"/>
      </c:catAx>
      <c:valAx>
        <c:axId val="1283867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246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026759118227319"/>
          <c:y val="0.91909764444001463"/>
          <c:w val="0.79917419617867314"/>
          <c:h val="6.8948164425183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12'!$A$23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12'!$B$22:$G$22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12'!$B$23:$G$23</c:f>
              <c:numCache>
                <c:formatCode>0.0</c:formatCode>
                <c:ptCount val="6"/>
                <c:pt idx="0">
                  <c:v>48.4</c:v>
                </c:pt>
                <c:pt idx="1">
                  <c:v>48.5</c:v>
                </c:pt>
                <c:pt idx="2">
                  <c:v>45.6</c:v>
                </c:pt>
                <c:pt idx="3">
                  <c:v>43.9</c:v>
                </c:pt>
                <c:pt idx="4">
                  <c:v>47.3</c:v>
                </c:pt>
                <c:pt idx="5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12'!$A$24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12'!$B$22:$G$22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12'!$B$24:$G$24</c:f>
              <c:numCache>
                <c:formatCode>0.0</c:formatCode>
                <c:ptCount val="6"/>
                <c:pt idx="0">
                  <c:v>25.2</c:v>
                </c:pt>
                <c:pt idx="1">
                  <c:v>24.2</c:v>
                </c:pt>
                <c:pt idx="2">
                  <c:v>24.3</c:v>
                </c:pt>
                <c:pt idx="3">
                  <c:v>26.5</c:v>
                </c:pt>
                <c:pt idx="4">
                  <c:v>23.7</c:v>
                </c:pt>
                <c:pt idx="5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12'!$A$25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12'!$B$22:$G$22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12'!$B$25:$G$25</c:f>
              <c:numCache>
                <c:formatCode>0.0</c:formatCode>
                <c:ptCount val="6"/>
                <c:pt idx="0">
                  <c:v>26.4</c:v>
                </c:pt>
                <c:pt idx="1">
                  <c:v>27.3</c:v>
                </c:pt>
                <c:pt idx="2">
                  <c:v>30.1</c:v>
                </c:pt>
                <c:pt idx="3">
                  <c:v>29.6</c:v>
                </c:pt>
                <c:pt idx="4">
                  <c:v>29</c:v>
                </c:pt>
                <c:pt idx="5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21920"/>
        <c:axId val="128389056"/>
      </c:barChart>
      <c:catAx>
        <c:axId val="1287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9056"/>
        <c:crosses val="autoZero"/>
        <c:auto val="0"/>
        <c:lblAlgn val="ctr"/>
        <c:lblOffset val="100"/>
        <c:noMultiLvlLbl val="0"/>
      </c:catAx>
      <c:valAx>
        <c:axId val="128389056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72192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67551676195514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13'!$B$24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13'!$A$25:$A$46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Belarus</c:v>
                </c:pt>
                <c:pt idx="18">
                  <c:v>Austria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13'!$B$25:$B$46</c:f>
              <c:numCache>
                <c:formatCode>#,##0.0</c:formatCode>
                <c:ptCount val="22"/>
                <c:pt idx="0">
                  <c:v>14.551671273759718</c:v>
                </c:pt>
                <c:pt idx="1">
                  <c:v>10.018750887854313</c:v>
                </c:pt>
                <c:pt idx="2">
                  <c:v>10.421492010800124</c:v>
                </c:pt>
                <c:pt idx="3">
                  <c:v>5.9096763228032891</c:v>
                </c:pt>
                <c:pt idx="4">
                  <c:v>8.3874807850394504</c:v>
                </c:pt>
                <c:pt idx="5">
                  <c:v>6.7618702598486777</c:v>
                </c:pt>
                <c:pt idx="6">
                  <c:v>12.511275866267221</c:v>
                </c:pt>
                <c:pt idx="7">
                  <c:v>3.5194988905636202</c:v>
                </c:pt>
                <c:pt idx="8">
                  <c:v>2.2981621694920644</c:v>
                </c:pt>
                <c:pt idx="9">
                  <c:v>0.53890206979745625</c:v>
                </c:pt>
                <c:pt idx="10">
                  <c:v>1.9223756875545075</c:v>
                </c:pt>
                <c:pt idx="11">
                  <c:v>1.5096229616873711</c:v>
                </c:pt>
                <c:pt idx="12">
                  <c:v>1.1209628773979803</c:v>
                </c:pt>
                <c:pt idx="13">
                  <c:v>0.41894280136179968</c:v>
                </c:pt>
                <c:pt idx="14">
                  <c:v>1.2649646490190993</c:v>
                </c:pt>
                <c:pt idx="15">
                  <c:v>1.3171068936764854</c:v>
                </c:pt>
                <c:pt idx="16">
                  <c:v>0.92115255698175924</c:v>
                </c:pt>
                <c:pt idx="17">
                  <c:v>2.2251480353841</c:v>
                </c:pt>
                <c:pt idx="18">
                  <c:v>1.7992710912446288</c:v>
                </c:pt>
                <c:pt idx="19">
                  <c:v>1.0532602543963254</c:v>
                </c:pt>
                <c:pt idx="20">
                  <c:v>0.57437307541193572</c:v>
                </c:pt>
                <c:pt idx="21">
                  <c:v>1.0405745616416346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13'!$C$24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13'!$A$25:$A$46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Belarus</c:v>
                </c:pt>
                <c:pt idx="18">
                  <c:v>Austria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13'!$C$25:$C$46</c:f>
              <c:numCache>
                <c:formatCode>#,##0.0</c:formatCode>
                <c:ptCount val="22"/>
                <c:pt idx="0">
                  <c:v>14.397778916405199</c:v>
                </c:pt>
                <c:pt idx="1">
                  <c:v>9.7379975115085369</c:v>
                </c:pt>
                <c:pt idx="2">
                  <c:v>10.30884892762276</c:v>
                </c:pt>
                <c:pt idx="3">
                  <c:v>6.8557929622745304</c:v>
                </c:pt>
                <c:pt idx="4">
                  <c:v>8.286118596880522</c:v>
                </c:pt>
                <c:pt idx="5">
                  <c:v>6.9564698169805093</c:v>
                </c:pt>
                <c:pt idx="6">
                  <c:v>11.853072987161932</c:v>
                </c:pt>
                <c:pt idx="7">
                  <c:v>3.4510097731284981</c:v>
                </c:pt>
                <c:pt idx="8">
                  <c:v>2.516293327968639</c:v>
                </c:pt>
                <c:pt idx="9">
                  <c:v>0.60970497288862924</c:v>
                </c:pt>
                <c:pt idx="10">
                  <c:v>1.86375894665603</c:v>
                </c:pt>
                <c:pt idx="11">
                  <c:v>1.9329331953993025</c:v>
                </c:pt>
                <c:pt idx="12">
                  <c:v>0.96213370786586083</c:v>
                </c:pt>
                <c:pt idx="13">
                  <c:v>0.38037787621628016</c:v>
                </c:pt>
                <c:pt idx="14">
                  <c:v>1.27222663933652</c:v>
                </c:pt>
                <c:pt idx="15">
                  <c:v>1.3858157186395066</c:v>
                </c:pt>
                <c:pt idx="16">
                  <c:v>0.88447339598293118</c:v>
                </c:pt>
                <c:pt idx="17">
                  <c:v>2.2418543125180839</c:v>
                </c:pt>
                <c:pt idx="18">
                  <c:v>1.5772202862790119</c:v>
                </c:pt>
                <c:pt idx="19">
                  <c:v>0.97767148917947033</c:v>
                </c:pt>
                <c:pt idx="20">
                  <c:v>0.58475617311058992</c:v>
                </c:pt>
                <c:pt idx="21">
                  <c:v>1.0052894945715949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13'!$D$24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13'!$A$25:$A$46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Belarus</c:v>
                </c:pt>
                <c:pt idx="18">
                  <c:v>Austria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13'!$D$25:$D$46</c:f>
              <c:numCache>
                <c:formatCode>#,##0.0</c:formatCode>
                <c:ptCount val="22"/>
                <c:pt idx="0">
                  <c:v>11.667894199328801</c:v>
                </c:pt>
                <c:pt idx="1">
                  <c:v>9.7381631151297796</c:v>
                </c:pt>
                <c:pt idx="2">
                  <c:v>11.924514924775032</c:v>
                </c:pt>
                <c:pt idx="3">
                  <c:v>7.1673845431832914</c:v>
                </c:pt>
                <c:pt idx="4">
                  <c:v>8.3494080640895625</c:v>
                </c:pt>
                <c:pt idx="5">
                  <c:v>6.403750100019991</c:v>
                </c:pt>
                <c:pt idx="6">
                  <c:v>11.143380885270689</c:v>
                </c:pt>
                <c:pt idx="7">
                  <c:v>4.0097780675894592</c:v>
                </c:pt>
                <c:pt idx="8">
                  <c:v>2.2403439272273067</c:v>
                </c:pt>
                <c:pt idx="9">
                  <c:v>0.73028529282041021</c:v>
                </c:pt>
                <c:pt idx="10">
                  <c:v>1.8550587555750306</c:v>
                </c:pt>
                <c:pt idx="11">
                  <c:v>1.7743959140075496</c:v>
                </c:pt>
                <c:pt idx="12">
                  <c:v>1.1578663038287935</c:v>
                </c:pt>
                <c:pt idx="13">
                  <c:v>0.46262745508502573</c:v>
                </c:pt>
                <c:pt idx="14">
                  <c:v>1.2637041892667309</c:v>
                </c:pt>
                <c:pt idx="15">
                  <c:v>1.445316551204862</c:v>
                </c:pt>
                <c:pt idx="16">
                  <c:v>1.0418703571147743</c:v>
                </c:pt>
                <c:pt idx="17">
                  <c:v>2.1008771655835914</c:v>
                </c:pt>
                <c:pt idx="18">
                  <c:v>1.1584994746946478</c:v>
                </c:pt>
                <c:pt idx="19">
                  <c:v>1.1019863680983746</c:v>
                </c:pt>
                <c:pt idx="20">
                  <c:v>0.56932457225392108</c:v>
                </c:pt>
                <c:pt idx="21">
                  <c:v>0.9258974883679012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13'!$E$24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13'!$A$25:$A$46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Belarus</c:v>
                </c:pt>
                <c:pt idx="18">
                  <c:v>Austria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13'!$E$25:$E$46</c:f>
              <c:numCache>
                <c:formatCode>#,##0.0</c:formatCode>
                <c:ptCount val="22"/>
                <c:pt idx="0">
                  <c:v>11.564249529744933</c:v>
                </c:pt>
                <c:pt idx="1">
                  <c:v>9.296620851259016</c:v>
                </c:pt>
                <c:pt idx="2">
                  <c:v>11.656278207858161</c:v>
                </c:pt>
                <c:pt idx="3">
                  <c:v>7.5756028416830601</c:v>
                </c:pt>
                <c:pt idx="4">
                  <c:v>7.6168862204047478</c:v>
                </c:pt>
                <c:pt idx="5">
                  <c:v>6.1928771400686902</c:v>
                </c:pt>
                <c:pt idx="6">
                  <c:v>14.685235655279035</c:v>
                </c:pt>
                <c:pt idx="7">
                  <c:v>3.6453897408875542</c:v>
                </c:pt>
                <c:pt idx="8">
                  <c:v>2.3778667901624537</c:v>
                </c:pt>
                <c:pt idx="9">
                  <c:v>0.64782744417442095</c:v>
                </c:pt>
                <c:pt idx="10">
                  <c:v>1.6943277342471057</c:v>
                </c:pt>
                <c:pt idx="11">
                  <c:v>1.6016283574892036</c:v>
                </c:pt>
                <c:pt idx="12">
                  <c:v>1.0759087968567607</c:v>
                </c:pt>
                <c:pt idx="13">
                  <c:v>0.58387774887841326</c:v>
                </c:pt>
                <c:pt idx="14">
                  <c:v>1.4964416362748723</c:v>
                </c:pt>
                <c:pt idx="15">
                  <c:v>1.4029876044768612</c:v>
                </c:pt>
                <c:pt idx="16">
                  <c:v>0.9396876539506358</c:v>
                </c:pt>
                <c:pt idx="17">
                  <c:v>2.0244909141110439</c:v>
                </c:pt>
                <c:pt idx="18">
                  <c:v>1.3616607115581787</c:v>
                </c:pt>
                <c:pt idx="19">
                  <c:v>1.0704641972675937</c:v>
                </c:pt>
                <c:pt idx="20">
                  <c:v>0.55158954239875901</c:v>
                </c:pt>
                <c:pt idx="21">
                  <c:v>0.90258363319089818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13'!$F$24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13'!$A$25:$A$46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Belarus</c:v>
                </c:pt>
                <c:pt idx="18">
                  <c:v>Austria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13'!$F$25:$F$46</c:f>
              <c:numCache>
                <c:formatCode>#,##0.0</c:formatCode>
                <c:ptCount val="22"/>
                <c:pt idx="0">
                  <c:v>17.870579775856559</c:v>
                </c:pt>
                <c:pt idx="1">
                  <c:v>9.2611802794154698</c:v>
                </c:pt>
                <c:pt idx="2">
                  <c:v>10.274064732874159</c:v>
                </c:pt>
                <c:pt idx="3">
                  <c:v>7.1726159389216972</c:v>
                </c:pt>
                <c:pt idx="4">
                  <c:v>6.2707275573184704</c:v>
                </c:pt>
                <c:pt idx="5">
                  <c:v>4.7543731738656083</c:v>
                </c:pt>
                <c:pt idx="6">
                  <c:v>12.422983703297726</c:v>
                </c:pt>
                <c:pt idx="7">
                  <c:v>3.2849329109227901</c:v>
                </c:pt>
                <c:pt idx="8">
                  <c:v>1.9266343352049329</c:v>
                </c:pt>
                <c:pt idx="9">
                  <c:v>2.749653769592642</c:v>
                </c:pt>
                <c:pt idx="10">
                  <c:v>1.9375489927292939</c:v>
                </c:pt>
                <c:pt idx="11">
                  <c:v>1.4998303084117002</c:v>
                </c:pt>
                <c:pt idx="12">
                  <c:v>1.6002069108615573</c:v>
                </c:pt>
                <c:pt idx="13">
                  <c:v>1.7991405682367234</c:v>
                </c:pt>
                <c:pt idx="14">
                  <c:v>1.4586220717432175</c:v>
                </c:pt>
                <c:pt idx="15">
                  <c:v>1.1446722949645682</c:v>
                </c:pt>
                <c:pt idx="16">
                  <c:v>0.80154291025879509</c:v>
                </c:pt>
                <c:pt idx="17">
                  <c:v>1.0333417629615247</c:v>
                </c:pt>
                <c:pt idx="18">
                  <c:v>0.8967046494142572</c:v>
                </c:pt>
                <c:pt idx="19">
                  <c:v>0.95440593263287876</c:v>
                </c:pt>
                <c:pt idx="20">
                  <c:v>0.68462044065771699</c:v>
                </c:pt>
                <c:pt idx="21">
                  <c:v>0.76856909726055722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13'!$G$24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13'!$A$25:$A$46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Belarus</c:v>
                </c:pt>
                <c:pt idx="18">
                  <c:v>Austria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13'!$G$25:$G$46</c:f>
              <c:numCache>
                <c:formatCode>#,##0.0</c:formatCode>
                <c:ptCount val="22"/>
                <c:pt idx="0">
                  <c:v>14.988560768213826</c:v>
                </c:pt>
                <c:pt idx="1">
                  <c:v>12.408225927080728</c:v>
                </c:pt>
                <c:pt idx="2">
                  <c:v>11.731433399058984</c:v>
                </c:pt>
                <c:pt idx="3">
                  <c:v>8.5413941187562266</c:v>
                </c:pt>
                <c:pt idx="4">
                  <c:v>7.1235878607656593</c:v>
                </c:pt>
                <c:pt idx="5">
                  <c:v>5.4218929723207072</c:v>
                </c:pt>
                <c:pt idx="6">
                  <c:v>3.708270052885497</c:v>
                </c:pt>
                <c:pt idx="7">
                  <c:v>3.654757402619238</c:v>
                </c:pt>
                <c:pt idx="8">
                  <c:v>2.5006915233363634</c:v>
                </c:pt>
                <c:pt idx="9">
                  <c:v>2.4179875806512787</c:v>
                </c:pt>
                <c:pt idx="10">
                  <c:v>2.0909259929119912</c:v>
                </c:pt>
                <c:pt idx="11">
                  <c:v>1.9082529276631264</c:v>
                </c:pt>
                <c:pt idx="12">
                  <c:v>1.6942505433371546</c:v>
                </c:pt>
                <c:pt idx="13">
                  <c:v>1.5574263707745013</c:v>
                </c:pt>
                <c:pt idx="14">
                  <c:v>1.4170528808966121</c:v>
                </c:pt>
                <c:pt idx="15">
                  <c:v>1.3908047629440592</c:v>
                </c:pt>
                <c:pt idx="16">
                  <c:v>1.1481921857801292</c:v>
                </c:pt>
                <c:pt idx="17">
                  <c:v>1.0096798955107085</c:v>
                </c:pt>
                <c:pt idx="18">
                  <c:v>0.99662723504545025</c:v>
                </c:pt>
                <c:pt idx="19">
                  <c:v>0.97252616646192758</c:v>
                </c:pt>
                <c:pt idx="20">
                  <c:v>0.95138649174101286</c:v>
                </c:pt>
                <c:pt idx="21">
                  <c:v>0.87583026949259213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567872"/>
        <c:axId val="128391360"/>
      </c:barChart>
      <c:catAx>
        <c:axId val="1275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91360"/>
        <c:crosses val="autoZero"/>
        <c:auto val="1"/>
        <c:lblAlgn val="ctr"/>
        <c:lblOffset val="100"/>
        <c:noMultiLvlLbl val="0"/>
      </c:catAx>
      <c:valAx>
        <c:axId val="128391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7567872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1508615770854723E-2"/>
          <c:y val="0.90304502634845052"/>
          <c:w val="0.91624066754501532"/>
          <c:h val="6.9392527484452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2983360570494733"/>
          <c:y val="8.48959697362332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42054211186989"/>
          <c:y val="0.12491082658988956"/>
          <c:w val="0.52192988462254575"/>
          <c:h val="0.63180986033255537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Lbls>
            <c:dLbl>
              <c:idx val="0"/>
              <c:layout>
                <c:manualLayout>
                  <c:x val="-5.5387758134006836E-2"/>
                  <c:y val="1.5641901708733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5.2476848412816322E-2"/>
                  <c:y val="-8.34080815249147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72797504085575"/>
                      <c:h val="0.14773005973066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1.7061729312137869E-2"/>
                  <c:y val="-0.1529881539773543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94805130490762"/>
                      <c:h val="0.131974565631015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3.9571077318974864E-2"/>
                  <c:y val="-0.1923432819613742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01970980042588"/>
                      <c:h val="0.183714465445969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6.6509066229421446E-2"/>
                  <c:y val="-0.113947510562514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3.5316198682711714E-2"/>
                  <c:y val="4.11198718127079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8.924478779775176E-2"/>
                  <c:y val="3.195259296145962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74358697153701"/>
                      <c:h val="0.1699726141799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17298978359970449"/>
                  <c:y val="-2.4762280671309419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20354120494665"/>
                      <c:h val="0.187663522127137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22404385182984202"/>
                  <c:y val="-5.769044868707562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13031466032421"/>
                      <c:h val="0.155196972988411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21944213341256871"/>
                  <c:y val="-0.1809871006660932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62776506483598"/>
                      <c:h val="0.15874852164953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693005001733274"/>
                  <c:y val="-0.2897845158081310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29595728451563"/>
                      <c:h val="0.13441000926739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3060218887733374"/>
                  <c:y val="-0.428152669320789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5.030579903927105E-2"/>
                  <c:y val="-0.55422444651677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0.19832189168573608"/>
                  <c:y val="-0.21152036508081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14'!$A$44:$A$57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Vehicule rutiere</c:v>
                </c:pt>
                <c:pt idx="3">
                  <c:v>Gaz şi produse industriale obţinute din gaz</c:v>
                </c:pt>
                <c:pt idx="4">
                  <c:v>Produse medicinale şi farmaceutice</c:v>
                </c:pt>
                <c:pt idx="5">
                  <c:v>Fire, tesături, articole textile </c:v>
                </c:pt>
                <c:pt idx="6">
                  <c:v>Maşini şi aparate industriale </c:v>
                </c:pt>
                <c:pt idx="7">
                  <c:v>Aparate şi echipamente de telecomunicaţii </c:v>
                </c:pt>
                <c:pt idx="8">
                  <c:v>Legume şi fructe</c:v>
                </c:pt>
                <c:pt idx="9">
                  <c:v>Maşini şi aparate specializate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14'!$B$44:$B$57</c:f>
              <c:numCache>
                <c:formatCode>0.0</c:formatCode>
                <c:ptCount val="14"/>
                <c:pt idx="0">
                  <c:v>15</c:v>
                </c:pt>
                <c:pt idx="1">
                  <c:v>7.7</c:v>
                </c:pt>
                <c:pt idx="2">
                  <c:v>7.2</c:v>
                </c:pt>
                <c:pt idx="3">
                  <c:v>6.7</c:v>
                </c:pt>
                <c:pt idx="4">
                  <c:v>3.5</c:v>
                </c:pt>
                <c:pt idx="5">
                  <c:v>3.4</c:v>
                </c:pt>
                <c:pt idx="6">
                  <c:v>2.9</c:v>
                </c:pt>
                <c:pt idx="7">
                  <c:v>2.9</c:v>
                </c:pt>
                <c:pt idx="8">
                  <c:v>2.7</c:v>
                </c:pt>
                <c:pt idx="9">
                  <c:v>2.5</c:v>
                </c:pt>
                <c:pt idx="10">
                  <c:v>2.4</c:v>
                </c:pt>
                <c:pt idx="11">
                  <c:v>2.2999999999999998</c:v>
                </c:pt>
                <c:pt idx="12">
                  <c:v>2.1</c:v>
                </c:pt>
                <c:pt idx="13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704839079581072"/>
          <c:y val="4.96985560728614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78201881303409"/>
          <c:y val="0.11184088515881624"/>
          <c:w val="0.53981480000639726"/>
          <c:h val="0.65779810457824517"/>
        </c:manualLayout>
      </c:layout>
      <c:pieChart>
        <c:varyColors val="1"/>
        <c:ser>
          <c:idx val="0"/>
          <c:order val="0"/>
          <c:tx>
            <c:strRef>
              <c:f>'Figura 14'!$B$27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9-44C7-A51E-FDC47C6964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9-44C7-A51E-FDC47C6964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9-44C7-A51E-FDC47C6964E7}"/>
              </c:ext>
            </c:extLst>
          </c:dPt>
          <c:dPt>
            <c:idx val="3"/>
            <c:bubble3D val="0"/>
            <c:explosion val="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9-44C7-A51E-FDC47C6964E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9-44C7-A51E-FDC47C6964E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9-44C7-A51E-FDC47C6964E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9-44C7-A51E-FDC47C6964E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9-44C7-A51E-FDC47C6964E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9-44C7-A51E-FDC47C6964E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D9-44C7-A51E-FDC47C6964E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D9-44C7-A51E-FDC47C6964E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D9-44C7-A51E-FDC47C6964E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D9-44C7-A51E-FDC47C6964E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F0-4C23-A26D-005511921D52}"/>
              </c:ext>
            </c:extLst>
          </c:dPt>
          <c:dLbls>
            <c:dLbl>
              <c:idx val="0"/>
              <c:layout>
                <c:manualLayout>
                  <c:x val="-6.8636954361287361E-2"/>
                  <c:y val="7.14826178062892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9-44C7-A51E-FDC47C6964E7}"/>
                </c:ext>
              </c:extLst>
            </c:dLbl>
            <c:dLbl>
              <c:idx val="1"/>
              <c:layout>
                <c:manualLayout>
                  <c:x val="-5.2376347374053972E-2"/>
                  <c:y val="-7.704978294606906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1008225091921"/>
                      <c:h val="0.17267625527374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D9-44C7-A51E-FDC47C6964E7}"/>
                </c:ext>
              </c:extLst>
            </c:dLbl>
            <c:dLbl>
              <c:idx val="2"/>
              <c:layout>
                <c:manualLayout>
                  <c:x val="-6.4724919093851136E-3"/>
                  <c:y val="-0.1164137112288756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14476467140637"/>
                      <c:h val="0.130852267444771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D9-44C7-A51E-FDC47C6964E7}"/>
                </c:ext>
              </c:extLst>
            </c:dLbl>
            <c:dLbl>
              <c:idx val="3"/>
              <c:layout>
                <c:manualLayout>
                  <c:x val="3.1033432714114618E-2"/>
                  <c:y val="-0.1894701309475280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1798027673725"/>
                      <c:h val="0.200158278853507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3D9-44C7-A51E-FDC47C6964E7}"/>
                </c:ext>
              </c:extLst>
            </c:dLbl>
            <c:dLbl>
              <c:idx val="4"/>
              <c:layout>
                <c:manualLayout>
                  <c:x val="7.1833448003465583E-2"/>
                  <c:y val="-0.125875546210674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9-44C7-A51E-FDC47C6964E7}"/>
                </c:ext>
              </c:extLst>
            </c:dLbl>
            <c:dLbl>
              <c:idx val="5"/>
              <c:layout>
                <c:manualLayout>
                  <c:x val="1.1272807566486116E-2"/>
                  <c:y val="-2.472219872749966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3314119268217"/>
                      <c:h val="0.17215664401512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3D9-44C7-A51E-FDC47C6964E7}"/>
                </c:ext>
              </c:extLst>
            </c:dLbl>
            <c:dLbl>
              <c:idx val="6"/>
              <c:layout>
                <c:manualLayout>
                  <c:x val="-5.5970236730117535E-2"/>
                  <c:y val="3.04686505467470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5994385714209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D9-44C7-A51E-FDC47C6964E7}"/>
                </c:ext>
              </c:extLst>
            </c:dLbl>
            <c:dLbl>
              <c:idx val="7"/>
              <c:layout>
                <c:manualLayout>
                  <c:x val="-0.1570095303621028"/>
                  <c:y val="3.683694851494928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5259281910149"/>
                      <c:h val="0.178473113204173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3D9-44C7-A51E-FDC47C6964E7}"/>
                </c:ext>
              </c:extLst>
            </c:dLbl>
            <c:dLbl>
              <c:idx val="8"/>
              <c:layout>
                <c:manualLayout>
                  <c:x val="-0.2053930637311113"/>
                  <c:y val="-7.438048445579192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33992798981809"/>
                      <c:h val="0.17545826045861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3D9-44C7-A51E-FDC47C6964E7}"/>
                </c:ext>
              </c:extLst>
            </c:dLbl>
            <c:dLbl>
              <c:idx val="9"/>
              <c:layout>
                <c:manualLayout>
                  <c:x val="-0.19050913538720282"/>
                  <c:y val="-0.1835874330422593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00789949799965"/>
                      <c:h val="0.1664448211003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3D9-44C7-A51E-FDC47C6964E7}"/>
                </c:ext>
              </c:extLst>
            </c:dLbl>
            <c:dLbl>
              <c:idx val="10"/>
              <c:layout>
                <c:manualLayout>
                  <c:x val="-0.17035221429503744"/>
                  <c:y val="-0.308353497720157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5465547437225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3D9-44C7-A51E-FDC47C6964E7}"/>
                </c:ext>
              </c:extLst>
            </c:dLbl>
            <c:dLbl>
              <c:idx val="11"/>
              <c:layout>
                <c:manualLayout>
                  <c:x val="-0.13115944244833475"/>
                  <c:y val="-0.431823324536748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D9-44C7-A51E-FDC47C6964E7}"/>
                </c:ext>
              </c:extLst>
            </c:dLbl>
            <c:dLbl>
              <c:idx val="12"/>
              <c:layout>
                <c:manualLayout>
                  <c:x val="-4.6022984990953829E-2"/>
                  <c:y val="-0.553747416450327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D9-44C7-A51E-FDC47C6964E7}"/>
                </c:ext>
              </c:extLst>
            </c:dLbl>
            <c:dLbl>
              <c:idx val="13"/>
              <c:layout>
                <c:manualLayout>
                  <c:x val="0.20307239507682898"/>
                  <c:y val="-0.204779048395517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66110227478502"/>
                      <c:h val="8.40939215833563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9F0-4C23-A26D-005511921D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14'!$A$28:$A$41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Vehicule rutiere</c:v>
                </c:pt>
                <c:pt idx="3">
                  <c:v>Gaz şi produse industriale obţinute din gaz</c:v>
                </c:pt>
                <c:pt idx="4">
                  <c:v>Produse medicinale şi farmaceutice</c:v>
                </c:pt>
                <c:pt idx="5">
                  <c:v>Fire, tesături, articole textile </c:v>
                </c:pt>
                <c:pt idx="6">
                  <c:v>Maşini şi aparate industriale </c:v>
                </c:pt>
                <c:pt idx="7">
                  <c:v>Aparate şi echipamente de telecomunicaţii </c:v>
                </c:pt>
                <c:pt idx="8">
                  <c:v>Legume şi fructe</c:v>
                </c:pt>
                <c:pt idx="9">
                  <c:v>Maşini şi aparate specializate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14'!$B$28:$B$41</c:f>
              <c:numCache>
                <c:formatCode>0.0</c:formatCode>
                <c:ptCount val="14"/>
                <c:pt idx="0">
                  <c:v>16.7</c:v>
                </c:pt>
                <c:pt idx="1">
                  <c:v>6.3</c:v>
                </c:pt>
                <c:pt idx="2">
                  <c:v>5.9</c:v>
                </c:pt>
                <c:pt idx="3">
                  <c:v>9.1999999999999993</c:v>
                </c:pt>
                <c:pt idx="4">
                  <c:v>3</c:v>
                </c:pt>
                <c:pt idx="5">
                  <c:v>3.5</c:v>
                </c:pt>
                <c:pt idx="6">
                  <c:v>2.7</c:v>
                </c:pt>
                <c:pt idx="7">
                  <c:v>2.2000000000000002</c:v>
                </c:pt>
                <c:pt idx="8">
                  <c:v>2.1</c:v>
                </c:pt>
                <c:pt idx="9">
                  <c:v>3.1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1.8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3D9-44C7-A51E-FDC47C69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15'!$B$22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15'!$B$23:$B$28</c:f>
              <c:numCache>
                <c:formatCode>#,##0.0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15'!$C$22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15'!$C$23:$C$28</c:f>
              <c:numCache>
                <c:formatCode>#,##0.0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15'!$D$22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15'!$D$23:$D$28</c:f>
              <c:numCache>
                <c:formatCode>#,##0.0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  <c:pt idx="5">
                  <c:v>-436.2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15'!$E$22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15'!$E$23:$E$28</c:f>
              <c:numCache>
                <c:formatCode>#,##0.0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  <c:pt idx="5">
                  <c:v>-373.2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15'!$F$22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15'!$F$23:$F$28</c:f>
              <c:numCache>
                <c:formatCode>#,##0.0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  <c:pt idx="5">
                  <c:v>-372.7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15'!$G$22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15'!$G$23:$G$28</c:f>
              <c:numCache>
                <c:formatCode>#,##0.0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  <c:pt idx="5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15'!$H$22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15'!$H$23:$H$28</c:f>
              <c:numCache>
                <c:formatCode>#,##0.0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-422.9</c:v>
                </c:pt>
                <c:pt idx="5">
                  <c:v>-335.3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15'!$I$22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15'!$I$23:$I$28</c:f>
              <c:numCache>
                <c:formatCode>#,##0.0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  <c:pt idx="5">
                  <c:v>-377.3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15'!$J$22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15'!$J$23:$J$28</c:f>
              <c:numCache>
                <c:formatCode>#,##0.0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  <c:pt idx="5">
                  <c:v>-354.1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15'!$K$22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15'!$K$23:$K$28</c:f>
              <c:numCache>
                <c:formatCode>#,##0.0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  <c:pt idx="5">
                  <c:v>-371.9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15'!$L$22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15'!$L$23:$L$28</c:f>
              <c:numCache>
                <c:formatCode>#,##0.0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-502.9</c:v>
                </c:pt>
                <c:pt idx="5">
                  <c:v>-358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15'!$M$22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15'!$A$23:$A$28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15'!$M$23:$M$28</c:f>
              <c:numCache>
                <c:formatCode>#,##0.0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-526.79999999999995</c:v>
                </c:pt>
                <c:pt idx="5">
                  <c:v>-498.7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8304"/>
        <c:axId val="133212992"/>
      </c:barChart>
      <c:catAx>
        <c:axId val="1338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212992"/>
        <c:scaling>
          <c:orientation val="minMax"/>
          <c:min val="-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5830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16'!$B$28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194475690538683E-2"/>
                  <c:y val="1.6359226864225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403217454960988E-2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91154677094E-2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33220847461E-2"/>
                  <c:y val="1.600288582142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4016997875265E-2"/>
                      <c:h val="6.7576708367975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2216044423018551E-2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661703001410538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16'!$A$29:$A$34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16'!$B$29:$B$34</c:f>
              <c:numCache>
                <c:formatCode>0.0</c:formatCode>
                <c:ptCount val="6"/>
                <c:pt idx="0" formatCode="General">
                  <c:v>2706.2</c:v>
                </c:pt>
                <c:pt idx="1">
                  <c:v>2779.2</c:v>
                </c:pt>
                <c:pt idx="2">
                  <c:v>2467.1</c:v>
                </c:pt>
                <c:pt idx="3">
                  <c:v>3144.5</c:v>
                </c:pt>
                <c:pt idx="4">
                  <c:v>4332.1000000000004</c:v>
                </c:pt>
                <c:pt idx="5">
                  <c:v>4048.6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16'!$C$28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83528844608877E-3"/>
                  <c:y val="8.064391133497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16'!$A$29:$A$34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16'!$C$29:$C$34</c:f>
              <c:numCache>
                <c:formatCode>0.0</c:formatCode>
                <c:ptCount val="6"/>
                <c:pt idx="0">
                  <c:v>5760.1</c:v>
                </c:pt>
                <c:pt idx="1">
                  <c:v>5842.5</c:v>
                </c:pt>
                <c:pt idx="2">
                  <c:v>5416</c:v>
                </c:pt>
                <c:pt idx="3">
                  <c:v>7176.8</c:v>
                </c:pt>
                <c:pt idx="4">
                  <c:v>9219</c:v>
                </c:pt>
                <c:pt idx="5">
                  <c:v>8673.7000000000007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33806080"/>
        <c:axId val="133217024"/>
      </c:barChart>
      <c:lineChart>
        <c:grouping val="standard"/>
        <c:varyColors val="0"/>
        <c:ser>
          <c:idx val="2"/>
          <c:order val="2"/>
          <c:tx>
            <c:strRef>
              <c:f>'Figura 16'!$D$28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334159033333685E-2"/>
                  <c:y val="-3.6736027176085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7440540815932143E-2"/>
                  <c:y val="3.9036086512644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1627788494309696E-2"/>
                  <c:y val="-3.5296040885784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7850650194830061E-2"/>
                  <c:y val="3.525451406750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0761471081175227E-2"/>
                  <c:y val="-4.000231614366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123675805584548E-2"/>
                      <c:h val="4.1578580584106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2.9403914872086771E-2"/>
                  <c:y val="-3.990581015751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16'!$A$29:$A$34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16'!$D$29:$D$34</c:f>
              <c:numCache>
                <c:formatCode>#,##0.0</c:formatCode>
                <c:ptCount val="6"/>
                <c:pt idx="0">
                  <c:v>-3053.9</c:v>
                </c:pt>
                <c:pt idx="1">
                  <c:v>-3063.3</c:v>
                </c:pt>
                <c:pt idx="2">
                  <c:v>-2948.9</c:v>
                </c:pt>
                <c:pt idx="3">
                  <c:v>-4032.3</c:v>
                </c:pt>
                <c:pt idx="4">
                  <c:v>-4886.8999999999996</c:v>
                </c:pt>
                <c:pt idx="5">
                  <c:v>-4625.1000000000004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6080"/>
        <c:axId val="133217024"/>
      </c:lineChart>
      <c:catAx>
        <c:axId val="1338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7024"/>
        <c:crosses val="autoZero"/>
        <c:auto val="1"/>
        <c:lblAlgn val="ctr"/>
        <c:lblOffset val="100"/>
        <c:noMultiLvlLbl val="0"/>
      </c:catAx>
      <c:valAx>
        <c:axId val="1332170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06080"/>
        <c:crosses val="autoZero"/>
        <c:crossBetween val="between"/>
        <c:majorUnit val="10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multiLvlStrRef>
              <c:f>'Figura 2'!$B$23:$AK$24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2'!$B$25:$AK$25</c:f>
              <c:numCache>
                <c:formatCode>#,##0.0</c:formatCode>
                <c:ptCount val="36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>
                  <c:v>110.39404185134238</c:v>
                </c:pt>
                <c:pt idx="22">
                  <c:v>100.990226814244</c:v>
                </c:pt>
                <c:pt idx="23">
                  <c:v>97.626571809884439</c:v>
                </c:pt>
                <c:pt idx="24">
                  <c:v>95.423145055942825</c:v>
                </c:pt>
                <c:pt idx="25">
                  <c:v>107.53426155303467</c:v>
                </c:pt>
                <c:pt idx="26">
                  <c:v>108.10569775638508</c:v>
                </c:pt>
                <c:pt idx="27">
                  <c:v>82.457500951649791</c:v>
                </c:pt>
                <c:pt idx="28">
                  <c:v>106.03224634475339</c:v>
                </c:pt>
                <c:pt idx="29">
                  <c:v>94.094313438764019</c:v>
                </c:pt>
                <c:pt idx="30">
                  <c:v>96.062601900370808</c:v>
                </c:pt>
                <c:pt idx="31">
                  <c:v>105.70970185102763</c:v>
                </c:pt>
                <c:pt idx="32">
                  <c:v>108.24618309689178</c:v>
                </c:pt>
                <c:pt idx="33">
                  <c:v>98.195823302702834</c:v>
                </c:pt>
                <c:pt idx="34" formatCode="0.0">
                  <c:v>110.91874480343407</c:v>
                </c:pt>
                <c:pt idx="35" formatCode="0.0">
                  <c:v>82.115324381991456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'Figura 2'!$B$23:$AK$24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2'!$B$26:$AK$26</c:f>
              <c:numCache>
                <c:formatCode>#,##0.0</c:formatCode>
                <c:ptCount val="36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>
                  <c:v>148.19932435921535</c:v>
                </c:pt>
                <c:pt idx="14">
                  <c:v>152.66039185472528</c:v>
                </c:pt>
                <c:pt idx="15">
                  <c:v>181.61058088529293</c:v>
                </c:pt>
                <c:pt idx="16">
                  <c:v>206.23310011413275</c:v>
                </c:pt>
                <c:pt idx="17">
                  <c:v>183.60436215205132</c:v>
                </c:pt>
                <c:pt idx="18">
                  <c:v>140.50476839414773</c:v>
                </c:pt>
                <c:pt idx="19">
                  <c:v>139.40559010693906</c:v>
                </c:pt>
                <c:pt idx="20">
                  <c:v>108.10328031438013</c:v>
                </c:pt>
                <c:pt idx="21">
                  <c:v>99.909631642673943</c:v>
                </c:pt>
                <c:pt idx="22">
                  <c:v>97.67745613743709</c:v>
                </c:pt>
                <c:pt idx="23">
                  <c:v>106.77223390564465</c:v>
                </c:pt>
                <c:pt idx="24">
                  <c:v>100.22420542342689</c:v>
                </c:pt>
                <c:pt idx="25">
                  <c:v>105.81914027975773</c:v>
                </c:pt>
                <c:pt idx="26">
                  <c:v>97.239900027586913</c:v>
                </c:pt>
                <c:pt idx="27">
                  <c:v>80.07855189343411</c:v>
                </c:pt>
                <c:pt idx="28">
                  <c:v>80.902535364374799</c:v>
                </c:pt>
                <c:pt idx="29">
                  <c:v>76.039040702545819</c:v>
                </c:pt>
                <c:pt idx="30">
                  <c:v>89.935850911576011</c:v>
                </c:pt>
                <c:pt idx="31">
                  <c:v>97.612939025815066</c:v>
                </c:pt>
                <c:pt idx="32">
                  <c:v>109.18311544351715</c:v>
                </c:pt>
                <c:pt idx="33">
                  <c:v>97.118700719080934</c:v>
                </c:pt>
                <c:pt idx="34" formatCode="0.0">
                  <c:v>106.66660250713915</c:v>
                </c:pt>
                <c:pt idx="35" formatCode="0.0">
                  <c:v>89.719043731819852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5024"/>
        <c:axId val="100811328"/>
      </c:lineChart>
      <c:catAx>
        <c:axId val="121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1328"/>
        <c:crossesAt val="30"/>
        <c:auto val="0"/>
        <c:lblAlgn val="ctr"/>
        <c:lblOffset val="100"/>
        <c:noMultiLvlLbl val="0"/>
      </c:catAx>
      <c:valAx>
        <c:axId val="10081132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66502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3'!$A$22</c:f>
              <c:strCache>
                <c:ptCount val="1"/>
                <c:pt idx="0">
                  <c:v>EXPORT - total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7316017316017316E-2"/>
                  <c:y val="3.2921821367363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4B-491C-9143-48F02CFD4055}"/>
                </c:ext>
              </c:extLst>
            </c:dLbl>
            <c:dLbl>
              <c:idx val="1"/>
              <c:layout>
                <c:manualLayout>
                  <c:x val="-3.030303030303029E-2"/>
                  <c:y val="-3.2921821367363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4B-491C-9143-48F02CFD4055}"/>
                </c:ext>
              </c:extLst>
            </c:dLbl>
            <c:dLbl>
              <c:idx val="2"/>
              <c:layout>
                <c:manualLayout>
                  <c:x val="-1.875901875901876E-2"/>
                  <c:y val="2.8806593696443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4B-491C-9143-48F02CFD4055}"/>
                </c:ext>
              </c:extLst>
            </c:dLbl>
            <c:dLbl>
              <c:idx val="3"/>
              <c:layout>
                <c:manualLayout>
                  <c:x val="-2.5974025974025976E-2"/>
                  <c:y val="-3.7037049038284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4B-491C-9143-48F02CFD4055}"/>
                </c:ext>
              </c:extLst>
            </c:dLbl>
            <c:dLbl>
              <c:idx val="4"/>
              <c:layout>
                <c:manualLayout>
                  <c:x val="-1.58730158730159E-2"/>
                  <c:y val="-3.2921821367363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B-491C-9143-48F02CFD4055}"/>
                </c:ext>
              </c:extLst>
            </c:dLbl>
            <c:dLbl>
              <c:idx val="5"/>
              <c:layout>
                <c:manualLayout>
                  <c:x val="-1.4430014430014484E-2"/>
                  <c:y val="-2.8806593696443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4B-491C-9143-48F02CFD4055}"/>
                </c:ext>
              </c:extLst>
            </c:dLbl>
            <c:dLbl>
              <c:idx val="6"/>
              <c:layout>
                <c:manualLayout>
                  <c:x val="-2.1645021645021644E-2"/>
                  <c:y val="3.7037049038284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4B-491C-9143-48F02CFD4055}"/>
                </c:ext>
              </c:extLst>
            </c:dLbl>
            <c:dLbl>
              <c:idx val="7"/>
              <c:layout>
                <c:manualLayout>
                  <c:x val="-2.5974025974025976E-2"/>
                  <c:y val="-3.703704903828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4B-491C-9143-48F02CFD4055}"/>
                </c:ext>
              </c:extLst>
            </c:dLbl>
            <c:dLbl>
              <c:idx val="8"/>
              <c:layout>
                <c:manualLayout>
                  <c:x val="-8.6580086580087118E-3"/>
                  <c:y val="-2.0576138354602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4B-491C-9143-48F02CFD4055}"/>
                </c:ext>
              </c:extLst>
            </c:dLbl>
            <c:dLbl>
              <c:idx val="9"/>
              <c:layout>
                <c:manualLayout>
                  <c:x val="-1.8759018759018812E-2"/>
                  <c:y val="4.1152276709204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4B-491C-9143-48F02CFD4055}"/>
                </c:ext>
              </c:extLst>
            </c:dLbl>
            <c:dLbl>
              <c:idx val="10"/>
              <c:layout>
                <c:manualLayout>
                  <c:x val="-8.658008658008606E-3"/>
                  <c:y val="2.8806593696443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4B-491C-9143-48F02CFD4055}"/>
                </c:ext>
              </c:extLst>
            </c:dLbl>
            <c:dLbl>
              <c:idx val="11"/>
              <c:layout>
                <c:manualLayout>
                  <c:x val="-2.1645021645021644E-2"/>
                  <c:y val="-3.703704903828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4B-491C-9143-48F02CFD4055}"/>
                </c:ext>
              </c:extLst>
            </c:dLbl>
            <c:dLbl>
              <c:idx val="12"/>
              <c:layout>
                <c:manualLayout>
                  <c:x val="-2.3088023088023088E-2"/>
                  <c:y val="4.1152276709204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4B-491C-9143-48F02CFD4055}"/>
                </c:ext>
              </c:extLst>
            </c:dLbl>
            <c:dLbl>
              <c:idx val="13"/>
              <c:layout>
                <c:manualLayout>
                  <c:x val="-2.1645021645021644E-2"/>
                  <c:y val="-3.7037049038284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4B-491C-9143-48F02CFD4055}"/>
                </c:ext>
              </c:extLst>
            </c:dLbl>
            <c:dLbl>
              <c:idx val="14"/>
              <c:layout>
                <c:manualLayout>
                  <c:x val="-8.658008658008658E-3"/>
                  <c:y val="-2.0576138354602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07-4753-88F9-1B1D23EA67FD}"/>
                </c:ext>
              </c:extLst>
            </c:dLbl>
            <c:dLbl>
              <c:idx val="15"/>
              <c:layout>
                <c:manualLayout>
                  <c:x val="-2.8860028860029918E-3"/>
                  <c:y val="2.469136602552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4B-491C-9143-48F02CFD4055}"/>
                </c:ext>
              </c:extLst>
            </c:dLbl>
            <c:dLbl>
              <c:idx val="16"/>
              <c:layout>
                <c:manualLayout>
                  <c:x val="-7.2150072150073208E-3"/>
                  <c:y val="1.2345683012761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4B-491C-9143-48F02CFD4055}"/>
                </c:ext>
              </c:extLst>
            </c:dLbl>
            <c:dLbl>
              <c:idx val="17"/>
              <c:layout>
                <c:manualLayout>
                  <c:x val="-3.0303030303030408E-2"/>
                  <c:y val="-3.7037049038284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4B-491C-9143-48F02CFD4055}"/>
                </c:ext>
              </c:extLst>
            </c:dLbl>
            <c:dLbl>
              <c:idx val="18"/>
              <c:layout>
                <c:manualLayout>
                  <c:x val="-1.7316017316017424E-2"/>
                  <c:y val="-2.8806593696443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4B-491C-9143-48F02CFD4055}"/>
                </c:ext>
              </c:extLst>
            </c:dLbl>
            <c:dLbl>
              <c:idx val="19"/>
              <c:layout>
                <c:manualLayout>
                  <c:x val="-1.587301587301598E-2"/>
                  <c:y val="-3.2921821367363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54B-491C-9143-48F02CFD4055}"/>
                </c:ext>
              </c:extLst>
            </c:dLbl>
            <c:dLbl>
              <c:idx val="20"/>
              <c:layout>
                <c:manualLayout>
                  <c:x val="-2.0202020202020204E-2"/>
                  <c:y val="3.703704903828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4B-491C-9143-48F02CFD4055}"/>
                </c:ext>
              </c:extLst>
            </c:dLbl>
            <c:dLbl>
              <c:idx val="21"/>
              <c:layout>
                <c:manualLayout>
                  <c:x val="-4.9062049062049168E-2"/>
                  <c:y val="-1.2345683012761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4B-491C-9143-48F02CFD4055}"/>
                </c:ext>
              </c:extLst>
            </c:dLbl>
            <c:dLbl>
              <c:idx val="22"/>
              <c:layout>
                <c:manualLayout>
                  <c:x val="-2.3088023088022984E-2"/>
                  <c:y val="-3.2921821367363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4B-491C-9143-48F02CFD4055}"/>
                </c:ext>
              </c:extLst>
            </c:dLbl>
            <c:dLbl>
              <c:idx val="23"/>
              <c:layout>
                <c:manualLayout>
                  <c:x val="-1.0100953289929668E-2"/>
                  <c:y val="4.11524387260420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3281294383656E-2"/>
                      <c:h val="5.84158188055535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A54B-491C-9143-48F02CFD40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3'!$B$21:$Y$21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'Figura 3'!$B$22:$Y$22</c:f>
              <c:numCache>
                <c:formatCode>General</c:formatCode>
                <c:ptCount val="24"/>
                <c:pt idx="0">
                  <c:v>101.7</c:v>
                </c:pt>
                <c:pt idx="1">
                  <c:v>119.9</c:v>
                </c:pt>
                <c:pt idx="2">
                  <c:v>113.8</c:v>
                </c:pt>
                <c:pt idx="3">
                  <c:v>122.7</c:v>
                </c:pt>
                <c:pt idx="4">
                  <c:v>124.7</c:v>
                </c:pt>
                <c:pt idx="5">
                  <c:v>110.7</c:v>
                </c:pt>
                <c:pt idx="6">
                  <c:v>96.3</c:v>
                </c:pt>
                <c:pt idx="7">
                  <c:v>127.6</c:v>
                </c:pt>
                <c:pt idx="8">
                  <c:v>118.7</c:v>
                </c:pt>
                <c:pt idx="9">
                  <c:v>80.599999999999994</c:v>
                </c:pt>
                <c:pt idx="10">
                  <c:v>120.1</c:v>
                </c:pt>
                <c:pt idx="11">
                  <c:v>143.80000000000001</c:v>
                </c:pt>
                <c:pt idx="12">
                  <c:v>97.5</c:v>
                </c:pt>
                <c:pt idx="13">
                  <c:v>112.3</c:v>
                </c:pt>
                <c:pt idx="14">
                  <c:v>96.3</c:v>
                </c:pt>
                <c:pt idx="15">
                  <c:v>84.1</c:v>
                </c:pt>
                <c:pt idx="16" formatCode="0.0">
                  <c:v>104</c:v>
                </c:pt>
                <c:pt idx="17">
                  <c:v>118.6</c:v>
                </c:pt>
                <c:pt idx="18" formatCode="#,##0.0">
                  <c:v>111.62610452789204</c:v>
                </c:pt>
                <c:pt idx="19">
                  <c:v>102.7</c:v>
                </c:pt>
                <c:pt idx="20">
                  <c:v>88.8</c:v>
                </c:pt>
                <c:pt idx="21">
                  <c:v>127.5</c:v>
                </c:pt>
                <c:pt idx="22">
                  <c:v>137.80000000000001</c:v>
                </c:pt>
                <c:pt idx="23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84-4C8E-9BF1-20463DB3C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5024"/>
        <c:axId val="100811328"/>
      </c:lineChart>
      <c:catAx>
        <c:axId val="121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1328"/>
        <c:crossesAt val="30"/>
        <c:auto val="0"/>
        <c:lblAlgn val="ctr"/>
        <c:lblOffset val="100"/>
        <c:noMultiLvlLbl val="0"/>
      </c:catAx>
      <c:valAx>
        <c:axId val="100811328"/>
        <c:scaling>
          <c:orientation val="minMax"/>
          <c:max val="160"/>
          <c:min val="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66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4'!$B$23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4'!$A$24:$A$29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4'!$B$24:$B$29</c:f>
              <c:numCache>
                <c:formatCode>0.0</c:formatCode>
                <c:ptCount val="6"/>
                <c:pt idx="0">
                  <c:v>13.5</c:v>
                </c:pt>
                <c:pt idx="1">
                  <c:v>3.4</c:v>
                </c:pt>
                <c:pt idx="2">
                  <c:v>80.8</c:v>
                </c:pt>
                <c:pt idx="3">
                  <c:v>1.1000000000000001</c:v>
                </c:pt>
                <c:pt idx="4">
                  <c:v>0.1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4'!$C$23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4'!$A$24:$A$29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4'!$C$24:$C$29</c:f>
              <c:numCache>
                <c:formatCode>0.0</c:formatCode>
                <c:ptCount val="6"/>
                <c:pt idx="0">
                  <c:v>13.4</c:v>
                </c:pt>
                <c:pt idx="1">
                  <c:v>7.9</c:v>
                </c:pt>
                <c:pt idx="2">
                  <c:v>77.099999999999994</c:v>
                </c:pt>
                <c:pt idx="3">
                  <c:v>1.1000000000000001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4'!$D$23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4'!$A$24:$A$29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4'!$D$24:$D$29</c:f>
              <c:numCache>
                <c:formatCode>0.0</c:formatCode>
                <c:ptCount val="6"/>
                <c:pt idx="0">
                  <c:v>9.5</c:v>
                </c:pt>
                <c:pt idx="1">
                  <c:v>5.6</c:v>
                </c:pt>
                <c:pt idx="2">
                  <c:v>83.7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4'!$E$23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4'!$A$24:$A$29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4'!$E$24:$E$29</c:f>
              <c:numCache>
                <c:formatCode>0.0</c:formatCode>
                <c:ptCount val="6"/>
                <c:pt idx="0">
                  <c:v>7</c:v>
                </c:pt>
                <c:pt idx="1">
                  <c:v>2.8</c:v>
                </c:pt>
                <c:pt idx="2">
                  <c:v>89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4'!$F$23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4'!$A$24:$A$29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4'!$F$24:$F$29</c:f>
              <c:numCache>
                <c:formatCode>0.0</c:formatCode>
                <c:ptCount val="6"/>
                <c:pt idx="0">
                  <c:v>7.1</c:v>
                </c:pt>
                <c:pt idx="1">
                  <c:v>4.5</c:v>
                </c:pt>
                <c:pt idx="2">
                  <c:v>86.7</c:v>
                </c:pt>
                <c:pt idx="3">
                  <c:v>1.6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4'!$G$23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4'!$A$24:$A$29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4'!$G$24:$G$29</c:f>
              <c:numCache>
                <c:formatCode>0.0</c:formatCode>
                <c:ptCount val="6"/>
                <c:pt idx="0">
                  <c:v>6.9</c:v>
                </c:pt>
                <c:pt idx="1">
                  <c:v>4.5</c:v>
                </c:pt>
                <c:pt idx="2">
                  <c:v>86.9</c:v>
                </c:pt>
                <c:pt idx="3">
                  <c:v>1.7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920768"/>
        <c:axId val="100813632"/>
      </c:barChart>
      <c:catAx>
        <c:axId val="1259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3632"/>
        <c:crossesAt val="0"/>
        <c:auto val="1"/>
        <c:lblAlgn val="ctr"/>
        <c:lblOffset val="100"/>
        <c:noMultiLvlLbl val="0"/>
      </c:catAx>
      <c:valAx>
        <c:axId val="10081363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9207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383985075795487"/>
          <c:y val="0.9043039262949274"/>
          <c:w val="0.77804044922400262"/>
          <c:h val="6.848518935133107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5'!$A$22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5'!$B$21:$G$21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5'!$B$22:$G$22</c:f>
              <c:numCache>
                <c:formatCode>0.0</c:formatCode>
                <c:ptCount val="6"/>
                <c:pt idx="0">
                  <c:v>65.900000000000006</c:v>
                </c:pt>
                <c:pt idx="1">
                  <c:v>64.099999999999994</c:v>
                </c:pt>
                <c:pt idx="2">
                  <c:v>66.5</c:v>
                </c:pt>
                <c:pt idx="3">
                  <c:v>61.1</c:v>
                </c:pt>
                <c:pt idx="4">
                  <c:v>58.6</c:v>
                </c:pt>
                <c:pt idx="5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5'!$A$23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5'!$B$21:$G$21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5'!$B$23:$G$23</c:f>
              <c:numCache>
                <c:formatCode>0.0</c:formatCode>
                <c:ptCount val="6"/>
                <c:pt idx="0">
                  <c:v>15.4</c:v>
                </c:pt>
                <c:pt idx="1">
                  <c:v>15.6</c:v>
                </c:pt>
                <c:pt idx="2">
                  <c:v>15.3</c:v>
                </c:pt>
                <c:pt idx="3">
                  <c:v>14.8</c:v>
                </c:pt>
                <c:pt idx="4">
                  <c:v>24.1</c:v>
                </c:pt>
                <c:pt idx="5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5'!$A$24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5'!$B$21:$G$21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5'!$B$24:$G$24</c:f>
              <c:numCache>
                <c:formatCode>0.0</c:formatCode>
                <c:ptCount val="6"/>
                <c:pt idx="0">
                  <c:v>18.7</c:v>
                </c:pt>
                <c:pt idx="1">
                  <c:v>20.3</c:v>
                </c:pt>
                <c:pt idx="2">
                  <c:v>18.2</c:v>
                </c:pt>
                <c:pt idx="3">
                  <c:v>24.1</c:v>
                </c:pt>
                <c:pt idx="4">
                  <c:v>17.3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41952"/>
        <c:axId val="100815936"/>
      </c:barChart>
      <c:catAx>
        <c:axId val="126141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5936"/>
        <c:crosses val="autoZero"/>
        <c:auto val="1"/>
        <c:lblAlgn val="ctr"/>
        <c:lblOffset val="100"/>
        <c:noMultiLvlLbl val="0"/>
      </c:catAx>
      <c:valAx>
        <c:axId val="100815936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14195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143859811641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6'!$B$25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6'!$A$26:$A$43</c:f>
              <c:strCache>
                <c:ptCount val="18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Bulgaria</c:v>
                </c:pt>
                <c:pt idx="9">
                  <c:v>Belarus</c:v>
                </c:pt>
                <c:pt idx="10">
                  <c:v>S.U.A.</c:v>
                </c:pt>
                <c:pt idx="11">
                  <c:v>Spania</c:v>
                </c:pt>
                <c:pt idx="12">
                  <c:v>Netherlands</c:v>
                </c:pt>
                <c:pt idx="13">
                  <c:v>Ungaria</c:v>
                </c:pt>
                <c:pt idx="14">
                  <c:v>Kazahstan</c:v>
                </c:pt>
                <c:pt idx="15">
                  <c:v>Grecia</c:v>
                </c:pt>
                <c:pt idx="16">
                  <c:v>Regatul Unit</c:v>
                </c:pt>
                <c:pt idx="17">
                  <c:v>Franța</c:v>
                </c:pt>
              </c:strCache>
            </c:strRef>
          </c:cat>
          <c:val>
            <c:numRef>
              <c:f>'Figura 6'!$B$26:$B$43</c:f>
              <c:numCache>
                <c:formatCode>#,##0.0</c:formatCode>
                <c:ptCount val="18"/>
                <c:pt idx="0">
                  <c:v>29.271490290157871</c:v>
                </c:pt>
                <c:pt idx="1">
                  <c:v>2.9664005696855078</c:v>
                </c:pt>
                <c:pt idx="2">
                  <c:v>11.44076735616086</c:v>
                </c:pt>
                <c:pt idx="3">
                  <c:v>8.1259665533841208</c:v>
                </c:pt>
                <c:pt idx="4">
                  <c:v>1.5787337362164495</c:v>
                </c:pt>
                <c:pt idx="5">
                  <c:v>8.0767590887586547</c:v>
                </c:pt>
                <c:pt idx="6">
                  <c:v>3.958534282109309</c:v>
                </c:pt>
                <c:pt idx="7">
                  <c:v>3.6234103632072481</c:v>
                </c:pt>
                <c:pt idx="8">
                  <c:v>1.7889837552013552</c:v>
                </c:pt>
                <c:pt idx="9">
                  <c:v>3.2235208378645228</c:v>
                </c:pt>
                <c:pt idx="10">
                  <c:v>0.80440926080297181</c:v>
                </c:pt>
                <c:pt idx="11">
                  <c:v>0.94443964052815677</c:v>
                </c:pt>
                <c:pt idx="12">
                  <c:v>1.3855682553783577</c:v>
                </c:pt>
                <c:pt idx="13">
                  <c:v>0.30423138886485629</c:v>
                </c:pt>
                <c:pt idx="14">
                  <c:v>0.59562127678749099</c:v>
                </c:pt>
                <c:pt idx="15">
                  <c:v>1.3836306078532534</c:v>
                </c:pt>
                <c:pt idx="16">
                  <c:v>2.9125793798439061</c:v>
                </c:pt>
                <c:pt idx="17">
                  <c:v>1.7869753771728127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6'!$C$25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6'!$A$26:$A$43</c:f>
              <c:strCache>
                <c:ptCount val="18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Bulgaria</c:v>
                </c:pt>
                <c:pt idx="9">
                  <c:v>Belarus</c:v>
                </c:pt>
                <c:pt idx="10">
                  <c:v>S.U.A.</c:v>
                </c:pt>
                <c:pt idx="11">
                  <c:v>Spania</c:v>
                </c:pt>
                <c:pt idx="12">
                  <c:v>Netherlands</c:v>
                </c:pt>
                <c:pt idx="13">
                  <c:v>Ungaria</c:v>
                </c:pt>
                <c:pt idx="14">
                  <c:v>Kazahstan</c:v>
                </c:pt>
                <c:pt idx="15">
                  <c:v>Grecia</c:v>
                </c:pt>
                <c:pt idx="16">
                  <c:v>Regatul Unit</c:v>
                </c:pt>
                <c:pt idx="17">
                  <c:v>Franța</c:v>
                </c:pt>
              </c:strCache>
            </c:strRef>
          </c:cat>
          <c:val>
            <c:numRef>
              <c:f>'Figura 6'!$C$26:$C$43</c:f>
              <c:numCache>
                <c:formatCode>#,##0.0</c:formatCode>
                <c:ptCount val="18"/>
                <c:pt idx="0">
                  <c:v>27.541183600317293</c:v>
                </c:pt>
                <c:pt idx="1">
                  <c:v>2.8843253939924072</c:v>
                </c:pt>
                <c:pt idx="2">
                  <c:v>9.6090635205607988</c:v>
                </c:pt>
                <c:pt idx="3">
                  <c:v>8.8501557044077188</c:v>
                </c:pt>
                <c:pt idx="4">
                  <c:v>2.3322780645801724</c:v>
                </c:pt>
                <c:pt idx="5">
                  <c:v>8.9904255149512089</c:v>
                </c:pt>
                <c:pt idx="6">
                  <c:v>6.3164082748384764</c:v>
                </c:pt>
                <c:pt idx="7">
                  <c:v>4.0674036742434634</c:v>
                </c:pt>
                <c:pt idx="8">
                  <c:v>2.265342699174242</c:v>
                </c:pt>
                <c:pt idx="9">
                  <c:v>2.8937977866232965</c:v>
                </c:pt>
                <c:pt idx="10">
                  <c:v>0.87565190275357907</c:v>
                </c:pt>
                <c:pt idx="11">
                  <c:v>1.3725520129493094</c:v>
                </c:pt>
                <c:pt idx="12">
                  <c:v>1.3632135713690561</c:v>
                </c:pt>
                <c:pt idx="13">
                  <c:v>0.40058593543073912</c:v>
                </c:pt>
                <c:pt idx="14">
                  <c:v>0.35808340617061868</c:v>
                </c:pt>
                <c:pt idx="15">
                  <c:v>1.413233752161414</c:v>
                </c:pt>
                <c:pt idx="16">
                  <c:v>1.796803541699205</c:v>
                </c:pt>
                <c:pt idx="17">
                  <c:v>1.2957014581599344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6'!$D$25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6'!$A$26:$A$43</c:f>
              <c:strCache>
                <c:ptCount val="18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Bulgaria</c:v>
                </c:pt>
                <c:pt idx="9">
                  <c:v>Belarus</c:v>
                </c:pt>
                <c:pt idx="10">
                  <c:v>S.U.A.</c:v>
                </c:pt>
                <c:pt idx="11">
                  <c:v>Spania</c:v>
                </c:pt>
                <c:pt idx="12">
                  <c:v>Netherlands</c:v>
                </c:pt>
                <c:pt idx="13">
                  <c:v>Ungaria</c:v>
                </c:pt>
                <c:pt idx="14">
                  <c:v>Kazahstan</c:v>
                </c:pt>
                <c:pt idx="15">
                  <c:v>Grecia</c:v>
                </c:pt>
                <c:pt idx="16">
                  <c:v>Regatul Unit</c:v>
                </c:pt>
                <c:pt idx="17">
                  <c:v>Franța</c:v>
                </c:pt>
              </c:strCache>
            </c:strRef>
          </c:cat>
          <c:val>
            <c:numRef>
              <c:f>'Figura 6'!$D$26:$D$43</c:f>
              <c:numCache>
                <c:formatCode>#,##0.0</c:formatCode>
                <c:ptCount val="18"/>
                <c:pt idx="0">
                  <c:v>28.643847750221603</c:v>
                </c:pt>
                <c:pt idx="1">
                  <c:v>2.8162909699047933</c:v>
                </c:pt>
                <c:pt idx="2">
                  <c:v>8.6630340138321777</c:v>
                </c:pt>
                <c:pt idx="3">
                  <c:v>9.1443419578967564</c:v>
                </c:pt>
                <c:pt idx="4">
                  <c:v>3.2613689769041625</c:v>
                </c:pt>
                <c:pt idx="5">
                  <c:v>8.788987352263538</c:v>
                </c:pt>
                <c:pt idx="6">
                  <c:v>6.9590492704824811</c:v>
                </c:pt>
                <c:pt idx="7">
                  <c:v>4.4490992841392991</c:v>
                </c:pt>
                <c:pt idx="8">
                  <c:v>2.3573480134888856</c:v>
                </c:pt>
                <c:pt idx="9">
                  <c:v>2.6704127273905187</c:v>
                </c:pt>
                <c:pt idx="10">
                  <c:v>1.0409591497310513</c:v>
                </c:pt>
                <c:pt idx="11">
                  <c:v>1.4049877966534767</c:v>
                </c:pt>
                <c:pt idx="12">
                  <c:v>1.4575096051266687</c:v>
                </c:pt>
                <c:pt idx="13">
                  <c:v>1.1053334671988271</c:v>
                </c:pt>
                <c:pt idx="14">
                  <c:v>0.56104448219735004</c:v>
                </c:pt>
                <c:pt idx="15">
                  <c:v>1.0960054978060456</c:v>
                </c:pt>
                <c:pt idx="16">
                  <c:v>1.7333905048601255</c:v>
                </c:pt>
                <c:pt idx="17">
                  <c:v>1.2009685790990834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6'!$E$25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6'!$A$26:$A$43</c:f>
              <c:strCache>
                <c:ptCount val="18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Bulgaria</c:v>
                </c:pt>
                <c:pt idx="9">
                  <c:v>Belarus</c:v>
                </c:pt>
                <c:pt idx="10">
                  <c:v>S.U.A.</c:v>
                </c:pt>
                <c:pt idx="11">
                  <c:v>Spania</c:v>
                </c:pt>
                <c:pt idx="12">
                  <c:v>Netherlands</c:v>
                </c:pt>
                <c:pt idx="13">
                  <c:v>Ungaria</c:v>
                </c:pt>
                <c:pt idx="14">
                  <c:v>Kazahstan</c:v>
                </c:pt>
                <c:pt idx="15">
                  <c:v>Grecia</c:v>
                </c:pt>
                <c:pt idx="16">
                  <c:v>Regatul Unit</c:v>
                </c:pt>
                <c:pt idx="17">
                  <c:v>Franța</c:v>
                </c:pt>
              </c:strCache>
            </c:strRef>
          </c:cat>
          <c:val>
            <c:numRef>
              <c:f>'Figura 6'!$E$26:$E$43</c:f>
              <c:numCache>
                <c:formatCode>#,##0.0</c:formatCode>
                <c:ptCount val="18"/>
                <c:pt idx="0">
                  <c:v>26.505826894831813</c:v>
                </c:pt>
                <c:pt idx="1">
                  <c:v>2.9501175975162228</c:v>
                </c:pt>
                <c:pt idx="2">
                  <c:v>7.6342419203991803</c:v>
                </c:pt>
                <c:pt idx="3">
                  <c:v>7.8055504532301869</c:v>
                </c:pt>
                <c:pt idx="4">
                  <c:v>2.5123430053439888</c:v>
                </c:pt>
                <c:pt idx="5">
                  <c:v>8.7793507039034306</c:v>
                </c:pt>
                <c:pt idx="6">
                  <c:v>9.9843898792015224</c:v>
                </c:pt>
                <c:pt idx="7">
                  <c:v>3.4507234559723239</c:v>
                </c:pt>
                <c:pt idx="8">
                  <c:v>2.4730778204852562</c:v>
                </c:pt>
                <c:pt idx="9">
                  <c:v>2.1565026021136378</c:v>
                </c:pt>
                <c:pt idx="10">
                  <c:v>1.0091360155397169</c:v>
                </c:pt>
                <c:pt idx="11">
                  <c:v>1.9970682032012903</c:v>
                </c:pt>
                <c:pt idx="12">
                  <c:v>1.1394332636312385</c:v>
                </c:pt>
                <c:pt idx="13">
                  <c:v>1.3293415571815408</c:v>
                </c:pt>
                <c:pt idx="14">
                  <c:v>0.44452673634594925</c:v>
                </c:pt>
                <c:pt idx="15">
                  <c:v>1.4152196577468583</c:v>
                </c:pt>
                <c:pt idx="16">
                  <c:v>2.0791139547107225</c:v>
                </c:pt>
                <c:pt idx="17">
                  <c:v>1.0327190789724592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6'!$F$25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6'!$A$26:$A$43</c:f>
              <c:strCache>
                <c:ptCount val="18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Bulgaria</c:v>
                </c:pt>
                <c:pt idx="9">
                  <c:v>Belarus</c:v>
                </c:pt>
                <c:pt idx="10">
                  <c:v>S.U.A.</c:v>
                </c:pt>
                <c:pt idx="11">
                  <c:v>Spania</c:v>
                </c:pt>
                <c:pt idx="12">
                  <c:v>Netherlands</c:v>
                </c:pt>
                <c:pt idx="13">
                  <c:v>Ungaria</c:v>
                </c:pt>
                <c:pt idx="14">
                  <c:v>Kazahstan</c:v>
                </c:pt>
                <c:pt idx="15">
                  <c:v>Grecia</c:v>
                </c:pt>
                <c:pt idx="16">
                  <c:v>Regatul Unit</c:v>
                </c:pt>
                <c:pt idx="17">
                  <c:v>Franța</c:v>
                </c:pt>
              </c:strCache>
            </c:strRef>
          </c:cat>
          <c:val>
            <c:numRef>
              <c:f>'Figura 6'!$F$26:$F$43</c:f>
              <c:numCache>
                <c:formatCode>#,##0.0</c:formatCode>
                <c:ptCount val="18"/>
                <c:pt idx="0">
                  <c:v>28.641662300252129</c:v>
                </c:pt>
                <c:pt idx="1">
                  <c:v>16.620713989008607</c:v>
                </c:pt>
                <c:pt idx="2">
                  <c:v>7.6438684421864602</c:v>
                </c:pt>
                <c:pt idx="3">
                  <c:v>5.3273667500471298</c:v>
                </c:pt>
                <c:pt idx="4">
                  <c:v>2.4032530686006028</c:v>
                </c:pt>
                <c:pt idx="5">
                  <c:v>4.3879094631090112</c:v>
                </c:pt>
                <c:pt idx="6">
                  <c:v>7.0386644857858949</c:v>
                </c:pt>
                <c:pt idx="7">
                  <c:v>2.8249387987230254</c:v>
                </c:pt>
                <c:pt idx="8">
                  <c:v>3.2808418978321403</c:v>
                </c:pt>
                <c:pt idx="9">
                  <c:v>1.8734521926871326</c:v>
                </c:pt>
                <c:pt idx="10">
                  <c:v>1.1886237810526268</c:v>
                </c:pt>
                <c:pt idx="11">
                  <c:v>0.99085965249704822</c:v>
                </c:pt>
                <c:pt idx="12">
                  <c:v>1.4835900236991744</c:v>
                </c:pt>
                <c:pt idx="13">
                  <c:v>1.2191513055014975</c:v>
                </c:pt>
                <c:pt idx="14">
                  <c:v>0.65885819066072737</c:v>
                </c:pt>
                <c:pt idx="15">
                  <c:v>0.7627096083222471</c:v>
                </c:pt>
                <c:pt idx="16">
                  <c:v>1.4312946656631245</c:v>
                </c:pt>
                <c:pt idx="17">
                  <c:v>0.87555823128045929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6'!$G$25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6'!$A$26:$A$43</c:f>
              <c:strCache>
                <c:ptCount val="18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Bulgaria</c:v>
                </c:pt>
                <c:pt idx="9">
                  <c:v>Belarus</c:v>
                </c:pt>
                <c:pt idx="10">
                  <c:v>S.U.A.</c:v>
                </c:pt>
                <c:pt idx="11">
                  <c:v>Spania</c:v>
                </c:pt>
                <c:pt idx="12">
                  <c:v>Netherlands</c:v>
                </c:pt>
                <c:pt idx="13">
                  <c:v>Ungaria</c:v>
                </c:pt>
                <c:pt idx="14">
                  <c:v>Kazahstan</c:v>
                </c:pt>
                <c:pt idx="15">
                  <c:v>Grecia</c:v>
                </c:pt>
                <c:pt idx="16">
                  <c:v>Regatul Unit</c:v>
                </c:pt>
                <c:pt idx="17">
                  <c:v>Franța</c:v>
                </c:pt>
              </c:strCache>
            </c:strRef>
          </c:cat>
          <c:val>
            <c:numRef>
              <c:f>'Figura 6'!$G$26:$G$43</c:f>
              <c:numCache>
                <c:formatCode>#,##0.0</c:formatCode>
                <c:ptCount val="18"/>
                <c:pt idx="0">
                  <c:v>35.093838136900843</c:v>
                </c:pt>
                <c:pt idx="1">
                  <c:v>14.703855751981862</c:v>
                </c:pt>
                <c:pt idx="2">
                  <c:v>6.4224570624394133</c:v>
                </c:pt>
                <c:pt idx="3">
                  <c:v>5.4664613578433183</c:v>
                </c:pt>
                <c:pt idx="4">
                  <c:v>3.974655530509231</c:v>
                </c:pt>
                <c:pt idx="5">
                  <c:v>3.5591657796638301</c:v>
                </c:pt>
                <c:pt idx="6">
                  <c:v>3.5152306657195194</c:v>
                </c:pt>
                <c:pt idx="7">
                  <c:v>3.2994419637546799</c:v>
                </c:pt>
                <c:pt idx="8">
                  <c:v>2.1275341789982853</c:v>
                </c:pt>
                <c:pt idx="9">
                  <c:v>2.0763551386718628</c:v>
                </c:pt>
                <c:pt idx="10">
                  <c:v>1.5224022116727238</c:v>
                </c:pt>
                <c:pt idx="11">
                  <c:v>1.36379693496351</c:v>
                </c:pt>
                <c:pt idx="12">
                  <c:v>1.1689953992662132</c:v>
                </c:pt>
                <c:pt idx="13">
                  <c:v>1.1449914147971654</c:v>
                </c:pt>
                <c:pt idx="14">
                  <c:v>1.0154866237722515</c:v>
                </c:pt>
                <c:pt idx="15">
                  <c:v>0.98921778859159759</c:v>
                </c:pt>
                <c:pt idx="16">
                  <c:v>0.98122036876622154</c:v>
                </c:pt>
                <c:pt idx="17">
                  <c:v>0.97886444398068606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137856"/>
        <c:axId val="100818240"/>
      </c:barChart>
      <c:catAx>
        <c:axId val="861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8240"/>
        <c:crosses val="autoZero"/>
        <c:auto val="1"/>
        <c:lblAlgn val="ctr"/>
        <c:lblOffset val="100"/>
        <c:noMultiLvlLbl val="0"/>
      </c:catAx>
      <c:valAx>
        <c:axId val="100818240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37856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4785011629643841E-2"/>
          <c:y val="0.86360072178477687"/>
          <c:w val="0.89206367496745831"/>
          <c:h val="7.4908136482939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714333804097583"/>
          <c:y val="1.6458762115887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6317646239979"/>
          <c:y val="0.11884330248192661"/>
          <c:w val="0.55189577312208316"/>
          <c:h val="0.73247187254043444"/>
        </c:manualLayout>
      </c:layout>
      <c:pieChart>
        <c:varyColors val="1"/>
        <c:ser>
          <c:idx val="0"/>
          <c:order val="0"/>
          <c:tx>
            <c:strRef>
              <c:f>'Figura 7'!$B$44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>
              <a:softEdge rad="0"/>
            </a:effectLst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A-6583-41C8-8FEF-42B0870F1203}"/>
              </c:ext>
            </c:extLst>
          </c:dPt>
          <c:dLbls>
            <c:dLbl>
              <c:idx val="0"/>
              <c:layout>
                <c:manualLayout>
                  <c:x val="-8.4862801240754002E-2"/>
                  <c:y val="1.707865672200794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8496359266"/>
                      <c:h val="0.141794293257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2673618500390154E-2"/>
                  <c:y val="-0.104451651317246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1.1831143957128209E-2"/>
                  <c:y val="-0.1793388714910116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99588873241278"/>
                      <c:h val="0.174475854338333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0.11755099408642716"/>
                  <c:y val="-0.204767231344843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27510817904518692"/>
                  <c:y val="-0.106951283420709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79908064417231"/>
                      <c:h val="0.11455074303304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3580234350313089"/>
                  <c:y val="-1.458330077068071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05621916882214"/>
                      <c:h val="0.170823905632485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28979383105367357"/>
                  <c:y val="8.735500526556526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75096775620283"/>
                      <c:h val="0.185711812708075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0.16221813796616941"/>
                  <c:y val="0.20879448193532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7.9120638175756292E-2"/>
                  <c:y val="0.22218060756159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80957895191828"/>
                      <c:h val="0.11455074303304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6.7351531918461056E-3"/>
                  <c:y val="0.162007774339489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-1.3981956186680597E-2"/>
                  <c:y val="4.220739101931375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29518901276303"/>
                      <c:h val="0.205134390614406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2.1166463528668251E-2"/>
                  <c:y val="-9.137635771516643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47989147861887"/>
                      <c:h val="0.174475854338333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154065017057143"/>
                  <c:y val="-0.1555136263274134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075327670037"/>
                      <c:h val="0.12505621665522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dLbl>
              <c:idx val="13"/>
              <c:layout>
                <c:manualLayout>
                  <c:x val="0.13068176677955062"/>
                  <c:y val="-4.49438334789682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83-41C8-8FEF-42B0870F12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7'!$A$45:$A$58</c:f>
              <c:strCache>
                <c:ptCount val="14"/>
                <c:pt idx="0">
                  <c:v>Maşini şi aparate electrice </c:v>
                </c:pt>
                <c:pt idx="1">
                  <c:v>Cereale şi preparate pe bază de cereale</c:v>
                </c:pt>
                <c:pt idx="2">
                  <c:v>Petrol, produse petroliere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Seminţe şi fructe oleaginoase</c:v>
                </c:pt>
                <c:pt idx="6">
                  <c:v>Grăsimi şi uleiuri vegetale 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Hrană destinată animalelor </c:v>
                </c:pt>
                <c:pt idx="12">
                  <c:v>Vehicule rutiere </c:v>
                </c:pt>
                <c:pt idx="13">
                  <c:v>Alte mărfuri</c:v>
                </c:pt>
              </c:strCache>
            </c:strRef>
          </c:cat>
          <c:val>
            <c:numRef>
              <c:f>'Figura 7'!$B$45:$B$58</c:f>
              <c:numCache>
                <c:formatCode>0.0</c:formatCode>
                <c:ptCount val="14"/>
                <c:pt idx="0">
                  <c:v>15.4</c:v>
                </c:pt>
                <c:pt idx="1">
                  <c:v>10.6</c:v>
                </c:pt>
                <c:pt idx="2">
                  <c:v>9.8000000000000007</c:v>
                </c:pt>
                <c:pt idx="3">
                  <c:v>9.5</c:v>
                </c:pt>
                <c:pt idx="4">
                  <c:v>7.1</c:v>
                </c:pt>
                <c:pt idx="5">
                  <c:v>7</c:v>
                </c:pt>
                <c:pt idx="6">
                  <c:v>6.1</c:v>
                </c:pt>
                <c:pt idx="7">
                  <c:v>5.0999999999999996</c:v>
                </c:pt>
                <c:pt idx="8">
                  <c:v>3.6</c:v>
                </c:pt>
                <c:pt idx="9">
                  <c:v>2.5</c:v>
                </c:pt>
                <c:pt idx="10">
                  <c:v>2</c:v>
                </c:pt>
                <c:pt idx="11">
                  <c:v>1.6</c:v>
                </c:pt>
                <c:pt idx="12">
                  <c:v>1.5</c:v>
                </c:pt>
                <c:pt idx="13" formatCode="#,##0.0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9680845175321544"/>
          <c:y val="5.33014833819929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15791990763214"/>
          <c:y val="0.10784875031584466"/>
          <c:w val="0.55947082473274778"/>
          <c:h val="0.7274913612149243"/>
        </c:manualLayout>
      </c:layout>
      <c:pieChart>
        <c:varyColors val="1"/>
        <c:ser>
          <c:idx val="0"/>
          <c:order val="0"/>
          <c:tx>
            <c:strRef>
              <c:f>'Figura 7'!$B$28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3-4F53-9AAE-2AE28035A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3-4F53-9AAE-2AE28035A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3-4F53-9AAE-2AE28035AC4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3-4F53-9AAE-2AE28035AC4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13-4F53-9AAE-2AE28035AC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13-4F53-9AAE-2AE28035AC4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13-4F53-9AAE-2AE28035AC4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13-4F53-9AAE-2AE28035AC4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13-4F53-9AAE-2AE28035A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13-4F53-9AAE-2AE28035AC4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13-4F53-9AAE-2AE28035A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13-4F53-9AAE-2AE28035AC4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213-4F53-9AAE-2AE28035AC4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DB5-40D1-A50D-593548CE87B4}"/>
              </c:ext>
            </c:extLst>
          </c:dPt>
          <c:dLbls>
            <c:dLbl>
              <c:idx val="0"/>
              <c:layout>
                <c:manualLayout>
                  <c:x val="-4.9236883335442662E-2"/>
                  <c:y val="4.36161491049573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6888760829512"/>
                      <c:h val="0.15508786212447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13-4F53-9AAE-2AE28035AC44}"/>
                </c:ext>
              </c:extLst>
            </c:dLbl>
            <c:dLbl>
              <c:idx val="1"/>
              <c:layout>
                <c:manualLayout>
                  <c:x val="-2.2859067368553997E-2"/>
                  <c:y val="-2.54357250287534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3-4F53-9AAE-2AE28035AC44}"/>
                </c:ext>
              </c:extLst>
            </c:dLbl>
            <c:dLbl>
              <c:idx val="2"/>
              <c:layout>
                <c:manualLayout>
                  <c:x val="-1.3079568337733461E-2"/>
                  <c:y val="-0.13748208440237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52912470844849"/>
                      <c:h val="0.19093613298337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13-4F53-9AAE-2AE28035AC44}"/>
                </c:ext>
              </c:extLst>
            </c:dLbl>
            <c:dLbl>
              <c:idx val="3"/>
              <c:layout>
                <c:manualLayout>
                  <c:x val="9.1752399430264434E-2"/>
                  <c:y val="-0.2009852841428529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58958787868156"/>
                      <c:h val="0.13752672220320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13-4F53-9AAE-2AE28035AC44}"/>
                </c:ext>
              </c:extLst>
            </c:dLbl>
            <c:dLbl>
              <c:idx val="4"/>
              <c:layout>
                <c:manualLayout>
                  <c:x val="0.19012962497605962"/>
                  <c:y val="-8.74378483588427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13-4F53-9AAE-2AE28035AC44}"/>
                </c:ext>
              </c:extLst>
            </c:dLbl>
            <c:dLbl>
              <c:idx val="5"/>
              <c:layout>
                <c:manualLayout>
                  <c:x val="0.33145205908056979"/>
                  <c:y val="6.720192279335732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99595271616856"/>
                      <c:h val="0.17083768876716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213-4F53-9AAE-2AE28035AC44}"/>
                </c:ext>
              </c:extLst>
            </c:dLbl>
            <c:dLbl>
              <c:idx val="6"/>
              <c:layout>
                <c:manualLayout>
                  <c:x val="0.29759834786041217"/>
                  <c:y val="0.1439479194314193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1260451613935"/>
                      <c:h val="0.14989857569742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213-4F53-9AAE-2AE28035AC44}"/>
                </c:ext>
              </c:extLst>
            </c:dLbl>
            <c:dLbl>
              <c:idx val="7"/>
              <c:layout>
                <c:manualLayout>
                  <c:x val="0.16717349674553761"/>
                  <c:y val="0.2658071603409124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89166752199192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213-4F53-9AAE-2AE28035AC44}"/>
                </c:ext>
              </c:extLst>
            </c:dLbl>
            <c:dLbl>
              <c:idx val="8"/>
              <c:layout>
                <c:manualLayout>
                  <c:x val="6.8869034362663548E-2"/>
                  <c:y val="0.275584947948922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13-4F53-9AAE-2AE28035AC44}"/>
                </c:ext>
              </c:extLst>
            </c:dLbl>
            <c:dLbl>
              <c:idx val="9"/>
              <c:layout>
                <c:manualLayout>
                  <c:x val="9.827964494694915E-3"/>
                  <c:y val="0.207107257660208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13-4F53-9AAE-2AE28035AC44}"/>
                </c:ext>
              </c:extLst>
            </c:dLbl>
            <c:dLbl>
              <c:idx val="10"/>
              <c:layout>
                <c:manualLayout>
                  <c:x val="1.6137830062152734E-3"/>
                  <c:y val="9.5461971747913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07362496820727"/>
                      <c:h val="0.192506709133268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213-4F53-9AAE-2AE28035AC44}"/>
                </c:ext>
              </c:extLst>
            </c:dLbl>
            <c:dLbl>
              <c:idx val="11"/>
              <c:layout>
                <c:manualLayout>
                  <c:x val="2.3005113431274284E-2"/>
                  <c:y val="-4.908165973635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13-4F53-9AAE-2AE28035AC44}"/>
                </c:ext>
              </c:extLst>
            </c:dLbl>
            <c:dLbl>
              <c:idx val="12"/>
              <c:layout>
                <c:manualLayout>
                  <c:x val="0.10155612775281078"/>
                  <c:y val="-0.116858061281665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13-4F53-9AAE-2AE28035AC44}"/>
                </c:ext>
              </c:extLst>
            </c:dLbl>
            <c:dLbl>
              <c:idx val="13"/>
              <c:layout>
                <c:manualLayout>
                  <c:x val="0.13759217308445326"/>
                  <c:y val="-3.00026901069499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DB5-40D1-A50D-593548CE87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7'!$A$29:$A$42</c:f>
              <c:strCache>
                <c:ptCount val="14"/>
                <c:pt idx="0">
                  <c:v>Maşini şi aparate electrice </c:v>
                </c:pt>
                <c:pt idx="1">
                  <c:v>Cereale şi preparate pe bază de cereale</c:v>
                </c:pt>
                <c:pt idx="2">
                  <c:v>Petrol, produse petroliere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Seminţe şi fructe oleaginoase</c:v>
                </c:pt>
                <c:pt idx="6">
                  <c:v>Grăsimi şi uleiuri vegetale 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Hrană destinată animalelor </c:v>
                </c:pt>
                <c:pt idx="12">
                  <c:v>Vehicule rutiere </c:v>
                </c:pt>
                <c:pt idx="13">
                  <c:v>Alte mărfuri</c:v>
                </c:pt>
              </c:strCache>
            </c:strRef>
          </c:cat>
          <c:val>
            <c:numRef>
              <c:f>'Figura 7'!$B$29:$B$42</c:f>
              <c:numCache>
                <c:formatCode>0.0</c:formatCode>
                <c:ptCount val="14"/>
                <c:pt idx="0">
                  <c:v>12.2</c:v>
                </c:pt>
                <c:pt idx="1">
                  <c:v>10.1</c:v>
                </c:pt>
                <c:pt idx="2">
                  <c:v>12.9</c:v>
                </c:pt>
                <c:pt idx="3">
                  <c:v>8.3000000000000007</c:v>
                </c:pt>
                <c:pt idx="4">
                  <c:v>6.8</c:v>
                </c:pt>
                <c:pt idx="5">
                  <c:v>9</c:v>
                </c:pt>
                <c:pt idx="6">
                  <c:v>8.6999999999999993</c:v>
                </c:pt>
                <c:pt idx="7">
                  <c:v>4.2</c:v>
                </c:pt>
                <c:pt idx="8">
                  <c:v>3.4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1.2</c:v>
                </c:pt>
                <c:pt idx="12">
                  <c:v>2.2000000000000002</c:v>
                </c:pt>
                <c:pt idx="13" formatCode="#,##0.0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213-4F53-9AAE-2AE28035A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8'!$B$22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8'!$B$23:$B$28</c:f>
              <c:numCache>
                <c:formatCode>#,##0.0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8'!$C$22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8'!$C$23:$C$28</c:f>
              <c:numCache>
                <c:formatCode>#,##0.0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8'!$D$22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8'!$D$23:$D$28</c:f>
              <c:numCache>
                <c:formatCode>#,##0.0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  <c:pt idx="5">
                  <c:v>821.1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8'!$E$22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8'!$E$23:$E$28</c:f>
              <c:numCache>
                <c:formatCode>#,##0.0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  <c:pt idx="5">
                  <c:v>690.6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8'!$F$22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8'!$F$23:$F$28</c:f>
              <c:numCache>
                <c:formatCode>#,##0.0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  <c:pt idx="5">
                  <c:v>709.2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8'!$G$22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8'!$G$23:$G$28</c:f>
              <c:numCache>
                <c:formatCode>#,##0.0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  <c:pt idx="5">
                  <c:v>665.6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8'!$H$22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8'!$H$23:$H$28</c:f>
              <c:numCache>
                <c:formatCode>#,##0.0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761.1</c:v>
                </c:pt>
                <c:pt idx="5">
                  <c:v>639.5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8'!$I$22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8'!$I$23:$I$28</c:f>
              <c:numCache>
                <c:formatCode>#,##0.0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  <c:pt idx="5">
                  <c:v>698.9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8'!$J$22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8'!$J$23:$J$28</c:f>
              <c:numCache>
                <c:formatCode>#,##0.0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  <c:pt idx="5">
                  <c:v>702.2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8'!$K$22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8'!$K$23:$K$28</c:f>
              <c:numCache>
                <c:formatCode>#,##0.0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751.1</c:v>
                </c:pt>
                <c:pt idx="5">
                  <c:v>713.7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8'!$L$22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8'!$L$23:$L$28</c:f>
              <c:numCache>
                <c:formatCode>#,##0.0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  <c:pt idx="5">
                  <c:v>737.1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8'!$M$22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8'!$A$23:$A$28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8'!$M$23:$M$28</c:f>
              <c:numCache>
                <c:formatCode>#,##0.0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  <c:pt idx="5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641536"/>
        <c:axId val="126078912"/>
      </c:barChart>
      <c:catAx>
        <c:axId val="1286415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78912"/>
        <c:crosses val="autoZero"/>
        <c:auto val="0"/>
        <c:lblAlgn val="ctr"/>
        <c:lblOffset val="100"/>
        <c:tickLblSkip val="1"/>
        <c:noMultiLvlLbl val="0"/>
      </c:catAx>
      <c:valAx>
        <c:axId val="1260789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64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13</xdr:col>
      <xdr:colOff>19050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7</xdr:col>
      <xdr:colOff>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828674</xdr:colOff>
      <xdr:row>2</xdr:row>
      <xdr:rowOff>57150</xdr:rowOff>
    </xdr:from>
    <xdr:to>
      <xdr:col>8</xdr:col>
      <xdr:colOff>9524</xdr:colOff>
      <xdr:row>23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</xdr:row>
      <xdr:rowOff>57151</xdr:rowOff>
    </xdr:from>
    <xdr:to>
      <xdr:col>1</xdr:col>
      <xdr:colOff>771526</xdr:colOff>
      <xdr:row>23</xdr:row>
      <xdr:rowOff>133351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22BED9-C810-45EF-987A-C0626D8FC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20</xdr:col>
      <xdr:colOff>400049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57151</xdr:rowOff>
    </xdr:from>
    <xdr:to>
      <xdr:col>19</xdr:col>
      <xdr:colOff>19049</xdr:colOff>
      <xdr:row>19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46ED98-B57E-445F-B652-CB23247AE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7</xdr:col>
      <xdr:colOff>76200</xdr:colOff>
      <xdr:row>22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2</xdr:row>
      <xdr:rowOff>95250</xdr:rowOff>
    </xdr:from>
    <xdr:to>
      <xdr:col>7</xdr:col>
      <xdr:colOff>571500</xdr:colOff>
      <xdr:row>24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85724</xdr:rowOff>
    </xdr:from>
    <xdr:to>
      <xdr:col>1</xdr:col>
      <xdr:colOff>781050</xdr:colOff>
      <xdr:row>24</xdr:row>
      <xdr:rowOff>114299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750AD-0CB5-4061-A52F-83E4C1030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6</xdr:col>
      <xdr:colOff>47625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19</xdr:col>
      <xdr:colOff>419100</xdr:colOff>
      <xdr:row>21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19051</xdr:rowOff>
    </xdr:from>
    <xdr:to>
      <xdr:col>19</xdr:col>
      <xdr:colOff>38100</xdr:colOff>
      <xdr:row>17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4BA1AF-7BB2-4C42-8ABB-3DFC3A146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8:D34" totalsRowShown="0" headerRowDxfId="8" dataDxfId="6" headerRowBorderDxfId="7" tableBorderDxfId="5" totalsRowBorderDxfId="4">
  <tableColumns count="4">
    <tableColumn id="1" xr3:uid="{00000000-0010-0000-0000-000001000000}" name="Anii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 dataCellStyle="Normal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Normal="100" workbookViewId="0">
      <selection activeCell="A2" sqref="A2:M2"/>
    </sheetView>
  </sheetViews>
  <sheetFormatPr defaultRowHeight="12" x14ac:dyDescent="0.2"/>
  <cols>
    <col min="1" max="1" width="9" style="3" customWidth="1"/>
    <col min="2" max="2" width="9.5703125" style="3" customWidth="1"/>
    <col min="3" max="4" width="9.85546875" style="3" customWidth="1"/>
    <col min="5" max="5" width="9.28515625" style="3" customWidth="1"/>
    <col min="6" max="6" width="9.85546875" style="3" customWidth="1"/>
    <col min="7" max="7" width="9.140625" style="3" customWidth="1"/>
    <col min="8" max="8" width="8.7109375" style="3" customWidth="1"/>
    <col min="9" max="9" width="9.140625" style="3" customWidth="1"/>
    <col min="10" max="10" width="11" style="3" customWidth="1"/>
    <col min="11" max="11" width="10.140625" style="3" customWidth="1"/>
    <col min="12" max="12" width="9.85546875" style="3" customWidth="1"/>
    <col min="13" max="13" width="10.4257812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55" t="s">
        <v>81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21" x14ac:dyDescent="0.2">
      <c r="A21" s="23" t="s">
        <v>0</v>
      </c>
      <c r="B21" s="37" t="s">
        <v>1</v>
      </c>
      <c r="C21" s="37" t="s">
        <v>2</v>
      </c>
      <c r="D21" s="37" t="s">
        <v>3</v>
      </c>
      <c r="E21" s="37" t="s">
        <v>4</v>
      </c>
      <c r="F21" s="37" t="s">
        <v>5</v>
      </c>
      <c r="G21" s="37" t="s">
        <v>6</v>
      </c>
      <c r="H21" s="37" t="s">
        <v>7</v>
      </c>
      <c r="I21" s="37" t="s">
        <v>8</v>
      </c>
      <c r="J21" s="37" t="s">
        <v>9</v>
      </c>
      <c r="K21" s="37" t="s">
        <v>10</v>
      </c>
      <c r="L21" s="37" t="s">
        <v>11</v>
      </c>
      <c r="M21" s="37" t="s">
        <v>12</v>
      </c>
    </row>
    <row r="22" spans="1:21" x14ac:dyDescent="0.2">
      <c r="A22" s="28">
        <v>2018</v>
      </c>
      <c r="B22" s="33">
        <v>220.3</v>
      </c>
      <c r="C22" s="33">
        <v>215.5</v>
      </c>
      <c r="D22" s="33">
        <v>242.1</v>
      </c>
      <c r="E22" s="33">
        <v>199.7</v>
      </c>
      <c r="F22" s="33">
        <v>223</v>
      </c>
      <c r="G22" s="33">
        <v>214.1</v>
      </c>
      <c r="H22" s="33">
        <v>218.8</v>
      </c>
      <c r="I22" s="33">
        <v>218.6</v>
      </c>
      <c r="J22" s="33">
        <v>207.3</v>
      </c>
      <c r="K22" s="33">
        <v>259</v>
      </c>
      <c r="L22" s="33">
        <v>268.89999999999998</v>
      </c>
      <c r="M22" s="34">
        <v>218.8</v>
      </c>
    </row>
    <row r="23" spans="1:21" x14ac:dyDescent="0.2">
      <c r="A23" s="28">
        <v>2019</v>
      </c>
      <c r="B23" s="33">
        <v>234.3</v>
      </c>
      <c r="C23" s="33">
        <v>241.4</v>
      </c>
      <c r="D23" s="33">
        <v>257.2</v>
      </c>
      <c r="E23" s="33">
        <v>215.6</v>
      </c>
      <c r="F23" s="33">
        <v>210.5</v>
      </c>
      <c r="G23" s="33">
        <v>202.2</v>
      </c>
      <c r="H23" s="33">
        <v>220.2</v>
      </c>
      <c r="I23" s="33">
        <v>205.8</v>
      </c>
      <c r="J23" s="33">
        <v>238.8</v>
      </c>
      <c r="K23" s="33">
        <v>268.3</v>
      </c>
      <c r="L23" s="33">
        <v>266.60000000000002</v>
      </c>
      <c r="M23" s="34">
        <v>218.3</v>
      </c>
    </row>
    <row r="24" spans="1:21" x14ac:dyDescent="0.2">
      <c r="A24" s="28">
        <v>2020</v>
      </c>
      <c r="B24" s="33">
        <v>219.5</v>
      </c>
      <c r="C24" s="33">
        <v>245.3</v>
      </c>
      <c r="D24" s="33">
        <v>210.2</v>
      </c>
      <c r="E24" s="33">
        <v>149.80000000000001</v>
      </c>
      <c r="F24" s="33">
        <v>155.69999999999999</v>
      </c>
      <c r="G24" s="33">
        <v>189.6</v>
      </c>
      <c r="H24" s="33">
        <v>191.1</v>
      </c>
      <c r="I24" s="33">
        <v>163.9</v>
      </c>
      <c r="J24" s="33">
        <v>212.3</v>
      </c>
      <c r="K24" s="33">
        <v>249.4</v>
      </c>
      <c r="L24" s="33">
        <v>262</v>
      </c>
      <c r="M24" s="34">
        <v>218.3</v>
      </c>
    </row>
    <row r="25" spans="1:21" x14ac:dyDescent="0.2">
      <c r="A25" s="28">
        <v>2021</v>
      </c>
      <c r="B25" s="33">
        <v>198.4</v>
      </c>
      <c r="C25" s="33">
        <v>227</v>
      </c>
      <c r="D25" s="33">
        <v>259.3</v>
      </c>
      <c r="E25" s="33">
        <v>218.2</v>
      </c>
      <c r="F25" s="33">
        <v>201.7</v>
      </c>
      <c r="G25" s="33">
        <v>226.8</v>
      </c>
      <c r="H25" s="33">
        <v>240.7</v>
      </c>
      <c r="I25" s="33">
        <v>236.3</v>
      </c>
      <c r="J25" s="33">
        <v>294.89999999999998</v>
      </c>
      <c r="K25" s="15">
        <v>352.2</v>
      </c>
      <c r="L25" s="33">
        <v>363.9</v>
      </c>
      <c r="M25" s="34">
        <v>325</v>
      </c>
    </row>
    <row r="26" spans="1:21" x14ac:dyDescent="0.2">
      <c r="A26" s="28">
        <v>2022</v>
      </c>
      <c r="B26" s="33">
        <v>330.4</v>
      </c>
      <c r="C26" s="33">
        <v>336.5</v>
      </c>
      <c r="D26" s="33">
        <v>395.8</v>
      </c>
      <c r="E26" s="33">
        <v>396.3</v>
      </c>
      <c r="F26" s="33">
        <v>416</v>
      </c>
      <c r="G26" s="33">
        <v>416.4</v>
      </c>
      <c r="H26" s="33">
        <v>338.2</v>
      </c>
      <c r="I26" s="33">
        <v>329.4</v>
      </c>
      <c r="J26" s="33">
        <v>318.8</v>
      </c>
      <c r="K26" s="33">
        <v>351.9</v>
      </c>
      <c r="L26" s="33">
        <v>355.4</v>
      </c>
      <c r="M26" s="34">
        <v>347</v>
      </c>
    </row>
    <row r="27" spans="1:21" x14ac:dyDescent="0.2">
      <c r="A27" s="29">
        <v>2023</v>
      </c>
      <c r="B27" s="10">
        <v>331.1</v>
      </c>
      <c r="C27" s="10">
        <v>356</v>
      </c>
      <c r="D27" s="10">
        <v>384.9</v>
      </c>
      <c r="E27" s="10">
        <v>317.39999999999998</v>
      </c>
      <c r="F27" s="35">
        <v>336.5</v>
      </c>
      <c r="G27" s="35">
        <v>316.60000000000002</v>
      </c>
      <c r="H27" s="35">
        <v>304.2</v>
      </c>
      <c r="I27" s="35">
        <v>321.60000000000002</v>
      </c>
      <c r="J27" s="35">
        <v>348.1</v>
      </c>
      <c r="K27" s="35">
        <v>341.8</v>
      </c>
      <c r="L27" s="35">
        <v>379.1</v>
      </c>
      <c r="M27" s="36">
        <v>311.3</v>
      </c>
    </row>
    <row r="28" spans="1:21" x14ac:dyDescent="0.2">
      <c r="D28" s="6"/>
      <c r="E28" s="6"/>
    </row>
    <row r="31" spans="1:21" ht="15.75" x14ac:dyDescent="0.25">
      <c r="B31" s="42"/>
      <c r="C31" s="42"/>
      <c r="D31" s="42"/>
      <c r="E31" s="42"/>
      <c r="F31" s="42"/>
      <c r="G31" s="42"/>
      <c r="H31" s="42"/>
      <c r="I31" s="46"/>
      <c r="J31" s="43"/>
      <c r="K31" s="42"/>
      <c r="L31" s="42"/>
      <c r="M31" s="42"/>
      <c r="N31" s="42"/>
      <c r="O31" s="46"/>
      <c r="P31" s="42"/>
      <c r="Q31" s="42"/>
      <c r="R31" s="43"/>
      <c r="S31" s="42"/>
      <c r="T31" s="44"/>
      <c r="U31" s="45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K32"/>
  <sheetViews>
    <sheetView workbookViewId="0">
      <selection activeCell="A2" sqref="A2:T2"/>
    </sheetView>
  </sheetViews>
  <sheetFormatPr defaultRowHeight="12" x14ac:dyDescent="0.2"/>
  <cols>
    <col min="1" max="1" width="19.140625" style="3" customWidth="1"/>
    <col min="2" max="2" width="6.7109375" style="3" customWidth="1"/>
    <col min="3" max="4" width="5.42578125" style="3" customWidth="1"/>
    <col min="5" max="5" width="5.5703125" style="3" customWidth="1"/>
    <col min="6" max="6" width="5.42578125" style="3" customWidth="1"/>
    <col min="7" max="7" width="6" style="3" customWidth="1"/>
    <col min="8" max="8" width="5.28515625" style="3" customWidth="1"/>
    <col min="9" max="11" width="5.7109375" style="3" customWidth="1"/>
    <col min="12" max="12" width="5.42578125" style="3" customWidth="1"/>
    <col min="13" max="14" width="5.5703125" style="3" customWidth="1"/>
    <col min="15" max="16" width="5.85546875" style="3" customWidth="1"/>
    <col min="17" max="17" width="5.5703125" style="3" customWidth="1"/>
    <col min="18" max="18" width="5.42578125" style="3" customWidth="1"/>
    <col min="19" max="19" width="6" style="3" customWidth="1"/>
    <col min="20" max="20" width="5.42578125" style="3" bestFit="1" customWidth="1"/>
    <col min="21" max="24" width="6" style="3" customWidth="1"/>
    <col min="25" max="25" width="6.42578125" style="3" customWidth="1"/>
    <col min="26" max="28" width="6.28515625" style="3" customWidth="1"/>
    <col min="29" max="30" width="6.7109375" style="3" customWidth="1"/>
    <col min="31" max="31" width="6.5703125" style="3" customWidth="1"/>
    <col min="32" max="32" width="6.140625" style="3" customWidth="1"/>
    <col min="33" max="34" width="5.85546875" style="3" customWidth="1"/>
    <col min="35" max="35" width="5.7109375" style="3" customWidth="1"/>
    <col min="36" max="36" width="5.42578125" style="3" customWidth="1"/>
    <col min="37" max="37" width="5.7109375" style="3" customWidth="1"/>
    <col min="38" max="16384" width="9.140625" style="3"/>
  </cols>
  <sheetData>
    <row r="2" spans="1:20" ht="12.75" x14ac:dyDescent="0.2">
      <c r="A2" s="161" t="s">
        <v>103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0" x14ac:dyDescent="0.2">
      <c r="A3" s="4"/>
    </row>
    <row r="4" spans="1:20" x14ac:dyDescent="0.2">
      <c r="A4" s="4"/>
    </row>
    <row r="5" spans="1:20" x14ac:dyDescent="0.2">
      <c r="A5" s="4"/>
    </row>
    <row r="6" spans="1:20" x14ac:dyDescent="0.2">
      <c r="A6" s="4"/>
    </row>
    <row r="7" spans="1:20" x14ac:dyDescent="0.2">
      <c r="A7" s="4"/>
    </row>
    <row r="8" spans="1:20" x14ac:dyDescent="0.2">
      <c r="A8" s="4"/>
    </row>
    <row r="9" spans="1:20" x14ac:dyDescent="0.2">
      <c r="A9" s="4"/>
    </row>
    <row r="10" spans="1:20" x14ac:dyDescent="0.2">
      <c r="A10" s="4"/>
    </row>
    <row r="11" spans="1:20" x14ac:dyDescent="0.2">
      <c r="A11" s="4"/>
    </row>
    <row r="12" spans="1:20" x14ac:dyDescent="0.2">
      <c r="A12" s="4"/>
    </row>
    <row r="13" spans="1:20" x14ac:dyDescent="0.2">
      <c r="A13" s="4"/>
    </row>
    <row r="14" spans="1:20" x14ac:dyDescent="0.2">
      <c r="A14" s="4"/>
    </row>
    <row r="15" spans="1:20" x14ac:dyDescent="0.2">
      <c r="A15" s="4"/>
    </row>
    <row r="16" spans="1:20" x14ac:dyDescent="0.2">
      <c r="A16" s="4"/>
    </row>
    <row r="17" spans="1:37" x14ac:dyDescent="0.2">
      <c r="A17" s="4"/>
    </row>
    <row r="18" spans="1:37" x14ac:dyDescent="0.2">
      <c r="A18" s="4"/>
    </row>
    <row r="19" spans="1:37" x14ac:dyDescent="0.2">
      <c r="A19" s="4"/>
    </row>
    <row r="20" spans="1:37" x14ac:dyDescent="0.2">
      <c r="A20" s="4"/>
    </row>
    <row r="21" spans="1:37" ht="15" customHeight="1" x14ac:dyDescent="0.2">
      <c r="A21" s="4"/>
    </row>
    <row r="22" spans="1:37" x14ac:dyDescent="0.2">
      <c r="A22" s="4"/>
    </row>
    <row r="23" spans="1:37" x14ac:dyDescent="0.2">
      <c r="A23" s="168"/>
      <c r="B23" s="158">
        <v>2021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60"/>
      <c r="N23" s="158">
        <v>2022</v>
      </c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60"/>
      <c r="Z23" s="162">
        <v>2023</v>
      </c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4"/>
    </row>
    <row r="24" spans="1:37" x14ac:dyDescent="0.2">
      <c r="A24" s="169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1" t="s">
        <v>19</v>
      </c>
      <c r="K24" s="29" t="s">
        <v>24</v>
      </c>
      <c r="L24" s="27" t="s">
        <v>20</v>
      </c>
      <c r="M24" s="27" t="s">
        <v>21</v>
      </c>
      <c r="N24" s="49" t="s">
        <v>13</v>
      </c>
      <c r="O24" s="49" t="s">
        <v>14</v>
      </c>
      <c r="P24" s="49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87" t="s">
        <v>20</v>
      </c>
      <c r="Y24" s="87" t="s">
        <v>21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49" t="s">
        <v>22</v>
      </c>
      <c r="AF24" s="49" t="s">
        <v>18</v>
      </c>
      <c r="AG24" s="49" t="s">
        <v>23</v>
      </c>
      <c r="AH24" s="49" t="s">
        <v>19</v>
      </c>
      <c r="AI24" s="49" t="s">
        <v>24</v>
      </c>
      <c r="AJ24" s="85" t="s">
        <v>20</v>
      </c>
      <c r="AK24" s="85" t="s">
        <v>21</v>
      </c>
    </row>
    <row r="25" spans="1:37" ht="29.25" customHeight="1" x14ac:dyDescent="0.2">
      <c r="A25" s="16" t="s">
        <v>54</v>
      </c>
      <c r="B25" s="55">
        <v>70.397914008513311</v>
      </c>
      <c r="C25" s="14">
        <v>130.56565598353049</v>
      </c>
      <c r="D25" s="14">
        <v>120.83026196604835</v>
      </c>
      <c r="E25" s="56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104">
        <v>82.42810256467493</v>
      </c>
      <c r="O25" s="14">
        <v>107.62832847463979</v>
      </c>
      <c r="P25" s="14">
        <v>111.83649823538117</v>
      </c>
      <c r="Q25" s="14">
        <v>102.95945766976527</v>
      </c>
      <c r="R25" s="14">
        <v>100.28989015201115</v>
      </c>
      <c r="S25" s="14">
        <v>99.449492493428721</v>
      </c>
      <c r="T25" s="14">
        <v>99.042771669685536</v>
      </c>
      <c r="U25" s="14">
        <v>102.48436324688166</v>
      </c>
      <c r="V25" s="14">
        <v>108.22806008303567</v>
      </c>
      <c r="W25" s="14">
        <v>88.98329870179748</v>
      </c>
      <c r="X25" s="14">
        <v>114.26713676539435</v>
      </c>
      <c r="Y25" s="11">
        <v>101.80088194210491</v>
      </c>
      <c r="Z25" s="55">
        <v>83.926621848561766</v>
      </c>
      <c r="AA25" s="14">
        <v>102.61098940878497</v>
      </c>
      <c r="AB25" s="14">
        <v>109.12124896586097</v>
      </c>
      <c r="AC25" s="14">
        <v>84.108871928407495</v>
      </c>
      <c r="AD25" s="14">
        <v>102.68878207006242</v>
      </c>
      <c r="AE25" s="14">
        <v>93.851597003176721</v>
      </c>
      <c r="AF25" s="14">
        <v>96.086512164873767</v>
      </c>
      <c r="AG25" s="14">
        <v>109.27507416248771</v>
      </c>
      <c r="AH25" s="14">
        <v>100.47049386929925</v>
      </c>
      <c r="AI25" s="14">
        <v>101.64405035986022</v>
      </c>
      <c r="AJ25" s="107">
        <v>103.27573281273996</v>
      </c>
      <c r="AK25" s="108">
        <v>109.89846011737687</v>
      </c>
    </row>
    <row r="26" spans="1:37" ht="42" customHeight="1" x14ac:dyDescent="0.2">
      <c r="A26" s="18" t="s">
        <v>55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IF(646825.37355="","-",751147.02622/646825.37355*100)</f>
        <v>116.12825608516977</v>
      </c>
      <c r="X26" s="10">
        <f>IF(701494.63996="","-",858314.19976/701494.63996*100)</f>
        <v>122.3550617306131</v>
      </c>
      <c r="Y26" s="12">
        <f>IF(754196.91196="","-",873771.42519/754196.91196*100)</f>
        <v>115.85454823982914</v>
      </c>
      <c r="Z26" s="19">
        <f>IF(621670.20413="","-",733326.83984/621670.20413*100)</f>
        <v>117.96075072735046</v>
      </c>
      <c r="AA26" s="10">
        <f>IF(669093.24933="","-",752473.92596/669093.24933*100)</f>
        <v>112.46174232268726</v>
      </c>
      <c r="AB26" s="10">
        <f>IF(748290.45998="","-",821108.94615/748290.45998*100)</f>
        <v>109.73131291449928</v>
      </c>
      <c r="AC26" s="10">
        <f>IF(770435.79939="","-",690625.47191/770435.79939*100)</f>
        <v>89.640885386791396</v>
      </c>
      <c r="AD26" s="10">
        <f>IF(772669.2169="","-",709194.88577/772669.2169*100)</f>
        <v>91.785057597523661</v>
      </c>
      <c r="AE26" s="10">
        <f>IF(768415.61486="","-",665590.72616/768415.61486*100)</f>
        <v>86.618584173522549</v>
      </c>
      <c r="AF26" s="10">
        <f>IF(761060.1229="","-",639542.91406/761060.1229*100)</f>
        <v>84.03316568775648</v>
      </c>
      <c r="AG26" s="10">
        <f>IF(779967.62088="","-",698860.99364/779967.62088*100)</f>
        <v>89.601282788060971</v>
      </c>
      <c r="AH26" s="10">
        <f>IF(844143.83056="","-",702149.09177/844143.83056*100)</f>
        <v>83.178845399391065</v>
      </c>
      <c r="AI26" s="10">
        <f>IF(751147.02622="","-",713692.77644/751147.02622*100)</f>
        <v>95.013725878876059</v>
      </c>
      <c r="AJ26" s="106">
        <f>IF(858314.19976="","-",737071.4449/858314.19976*100)</f>
        <v>85.874315618464465</v>
      </c>
      <c r="AK26" s="109">
        <f>IF(873771.42519="","-",810030.16791/873771.42519*100)</f>
        <v>92.705042137749061</v>
      </c>
    </row>
    <row r="27" spans="1:37" x14ac:dyDescent="0.2">
      <c r="A27" s="7"/>
      <c r="B27" s="8"/>
      <c r="C27" s="8"/>
      <c r="D27" s="8"/>
      <c r="E27" s="8"/>
      <c r="F27" s="8"/>
      <c r="G27" s="8"/>
      <c r="H27" s="8"/>
    </row>
    <row r="28" spans="1:37" x14ac:dyDescent="0.2">
      <c r="A28" s="7"/>
      <c r="B28" s="8"/>
      <c r="C28" s="8"/>
      <c r="D28" s="8"/>
      <c r="E28" s="8"/>
      <c r="F28" s="8"/>
      <c r="G28" s="8"/>
      <c r="H28" s="8"/>
      <c r="N28" s="58"/>
      <c r="O28" s="15"/>
      <c r="P28" s="15"/>
      <c r="Q28" s="15"/>
      <c r="R28" s="15"/>
      <c r="S28" s="15"/>
      <c r="T28" s="15"/>
      <c r="U28" s="15"/>
      <c r="V28" s="15"/>
      <c r="W28" s="84"/>
      <c r="X28" s="84"/>
      <c r="Y28" s="84"/>
    </row>
    <row r="29" spans="1:37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37" ht="15.75" x14ac:dyDescent="0.25">
      <c r="N30" s="62"/>
      <c r="O30" s="62"/>
      <c r="P30" s="62"/>
      <c r="Q30" s="15"/>
      <c r="R30" s="15"/>
      <c r="S30" s="15"/>
      <c r="T30" s="15"/>
      <c r="U30" s="15"/>
      <c r="V30" s="67"/>
      <c r="W30" s="76"/>
    </row>
    <row r="31" spans="1:37" ht="15.75" x14ac:dyDescent="0.25">
      <c r="G31" s="42"/>
      <c r="H31" s="42"/>
      <c r="I31" s="45"/>
      <c r="J31" s="42"/>
      <c r="K31" s="42"/>
      <c r="L31" s="42"/>
      <c r="M31" s="45"/>
      <c r="N31" s="42"/>
      <c r="O31" s="45"/>
      <c r="P31" s="42"/>
      <c r="Q31" s="45"/>
      <c r="R31" s="42"/>
      <c r="S31" s="45"/>
      <c r="T31" s="42"/>
      <c r="U31" s="45"/>
      <c r="V31" s="42"/>
      <c r="W31" s="46"/>
      <c r="X31" s="42"/>
      <c r="Y31" s="42"/>
      <c r="Z31" s="42"/>
      <c r="AA31" s="45"/>
      <c r="AB31" s="42"/>
      <c r="AC31" s="44"/>
    </row>
    <row r="32" spans="1:37" ht="15.75" x14ac:dyDescent="0.2">
      <c r="L32" s="45"/>
    </row>
  </sheetData>
  <mergeCells count="5">
    <mergeCell ref="A23:A24"/>
    <mergeCell ref="B23:M23"/>
    <mergeCell ref="N23:Y23"/>
    <mergeCell ref="A2:T2"/>
    <mergeCell ref="Z23:AK2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0D55-69F7-44FE-B8E6-704C3879CA54}">
  <dimension ref="A2:Y24"/>
  <sheetViews>
    <sheetView workbookViewId="0">
      <selection activeCell="A2" sqref="A2:S2"/>
    </sheetView>
  </sheetViews>
  <sheetFormatPr defaultRowHeight="15" x14ac:dyDescent="0.25"/>
  <cols>
    <col min="1" max="1" width="13" customWidth="1"/>
    <col min="2" max="25" width="6.85546875" customWidth="1"/>
  </cols>
  <sheetData>
    <row r="2" spans="1:19" x14ac:dyDescent="0.25">
      <c r="A2" s="161" t="s">
        <v>97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15.7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19" x14ac:dyDescent="0.25">
      <c r="A4" s="126" t="s">
        <v>44</v>
      </c>
    </row>
    <row r="23" spans="1:25" s="3" customFormat="1" ht="12.75" customHeight="1" x14ac:dyDescent="0.2">
      <c r="A23" s="122"/>
      <c r="B23" s="27">
        <v>2000</v>
      </c>
      <c r="C23" s="27">
        <v>2001</v>
      </c>
      <c r="D23" s="27">
        <v>2002</v>
      </c>
      <c r="E23" s="27">
        <v>2003</v>
      </c>
      <c r="F23" s="27">
        <v>2004</v>
      </c>
      <c r="G23" s="27">
        <v>2005</v>
      </c>
      <c r="H23" s="27">
        <v>2006</v>
      </c>
      <c r="I23" s="27">
        <v>2007</v>
      </c>
      <c r="J23" s="27">
        <v>2008</v>
      </c>
      <c r="K23" s="27">
        <v>2009</v>
      </c>
      <c r="L23" s="27">
        <v>2010</v>
      </c>
      <c r="M23" s="27">
        <v>2011</v>
      </c>
      <c r="N23" s="27">
        <v>2012</v>
      </c>
      <c r="O23" s="27">
        <v>2013</v>
      </c>
      <c r="P23" s="27">
        <v>2014</v>
      </c>
      <c r="Q23" s="27">
        <v>2015</v>
      </c>
      <c r="R23" s="27">
        <v>2016</v>
      </c>
      <c r="S23" s="27">
        <v>2017</v>
      </c>
      <c r="T23" s="27">
        <v>2018</v>
      </c>
      <c r="U23" s="27">
        <v>2019</v>
      </c>
      <c r="V23" s="27">
        <v>2020</v>
      </c>
      <c r="W23" s="27">
        <v>2021</v>
      </c>
      <c r="X23" s="123">
        <v>2022</v>
      </c>
      <c r="Y23" s="123">
        <v>2023</v>
      </c>
    </row>
    <row r="24" spans="1:25" s="3" customFormat="1" ht="18" customHeight="1" x14ac:dyDescent="0.2">
      <c r="A24" s="124" t="s">
        <v>96</v>
      </c>
      <c r="B24" s="127">
        <v>132.4</v>
      </c>
      <c r="C24" s="127">
        <v>114.9</v>
      </c>
      <c r="D24" s="127">
        <v>116.3</v>
      </c>
      <c r="E24" s="127">
        <v>135.1</v>
      </c>
      <c r="F24" s="127">
        <v>126.1</v>
      </c>
      <c r="G24" s="127">
        <v>129.6</v>
      </c>
      <c r="H24" s="127">
        <v>117.5</v>
      </c>
      <c r="I24" s="128">
        <v>137</v>
      </c>
      <c r="J24" s="127">
        <v>132.80000000000001</v>
      </c>
      <c r="K24" s="127">
        <v>66.900000000000006</v>
      </c>
      <c r="L24" s="127">
        <v>117.6</v>
      </c>
      <c r="M24" s="127">
        <v>134.69999999999999</v>
      </c>
      <c r="N24" s="127">
        <v>100.4</v>
      </c>
      <c r="O24" s="127">
        <v>105.4</v>
      </c>
      <c r="P24" s="127">
        <v>96.8</v>
      </c>
      <c r="Q24" s="128">
        <v>75</v>
      </c>
      <c r="R24" s="127">
        <v>100.8</v>
      </c>
      <c r="S24" s="127">
        <v>120.2</v>
      </c>
      <c r="T24" s="129">
        <f>IF(4831335.29052="","-",5760057.05112/4831335.29052*100)</f>
        <v>119.22287948887191</v>
      </c>
      <c r="U24" s="127">
        <v>101.4</v>
      </c>
      <c r="V24" s="127">
        <v>92.7</v>
      </c>
      <c r="W24" s="127">
        <v>132.5</v>
      </c>
      <c r="X24" s="127">
        <v>128.5</v>
      </c>
      <c r="Y24" s="127">
        <v>94.1</v>
      </c>
    </row>
  </sheetData>
  <mergeCells count="1">
    <mergeCell ref="A2:S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1"/>
  <sheetViews>
    <sheetView workbookViewId="0">
      <selection activeCell="A2" sqref="A2:G2"/>
    </sheetView>
  </sheetViews>
  <sheetFormatPr defaultRowHeight="12" x14ac:dyDescent="0.2"/>
  <cols>
    <col min="1" max="1" width="24" style="3" customWidth="1"/>
    <col min="2" max="7" width="14" style="3" customWidth="1"/>
    <col min="8" max="16384" width="9.140625" style="3"/>
  </cols>
  <sheetData>
    <row r="2" spans="1:13" ht="12.75" x14ac:dyDescent="0.2">
      <c r="A2" s="161" t="s">
        <v>104</v>
      </c>
      <c r="B2" s="161"/>
      <c r="C2" s="161"/>
      <c r="D2" s="161"/>
      <c r="E2" s="161"/>
      <c r="F2" s="161"/>
      <c r="G2" s="161"/>
      <c r="H2" s="39"/>
      <c r="I2" s="39"/>
      <c r="J2" s="39"/>
      <c r="K2" s="39"/>
      <c r="L2" s="39"/>
      <c r="M2" s="39"/>
    </row>
    <row r="3" spans="1:13" ht="16.5" customHeight="1" x14ac:dyDescent="0.2">
      <c r="A3" s="4"/>
      <c r="B3" s="4"/>
      <c r="C3" s="4"/>
      <c r="D3" s="4"/>
      <c r="E3" s="4"/>
      <c r="F3" s="4"/>
      <c r="G3" s="4"/>
    </row>
    <row r="4" spans="1:13" ht="16.5" customHeight="1" x14ac:dyDescent="0.2">
      <c r="A4" s="4"/>
      <c r="B4" s="4"/>
      <c r="C4" s="4"/>
      <c r="D4" s="4"/>
      <c r="E4" s="4"/>
      <c r="F4" s="4"/>
      <c r="G4" s="4"/>
    </row>
    <row r="5" spans="1:13" ht="16.5" customHeight="1" x14ac:dyDescent="0.2">
      <c r="A5" s="4"/>
      <c r="B5" s="4"/>
      <c r="C5" s="4"/>
      <c r="D5" s="4"/>
      <c r="E5" s="4"/>
      <c r="F5" s="4"/>
      <c r="G5" s="4"/>
    </row>
    <row r="6" spans="1:13" ht="16.5" customHeight="1" x14ac:dyDescent="0.2">
      <c r="A6" s="4"/>
      <c r="B6" s="4"/>
      <c r="C6" s="4"/>
      <c r="D6" s="4"/>
      <c r="E6" s="4"/>
      <c r="F6" s="4"/>
      <c r="G6" s="4"/>
    </row>
    <row r="7" spans="1:13" ht="16.5" customHeight="1" x14ac:dyDescent="0.2">
      <c r="A7" s="4"/>
      <c r="B7" s="4"/>
      <c r="C7" s="4"/>
      <c r="D7" s="4"/>
      <c r="E7" s="4"/>
      <c r="F7" s="4"/>
      <c r="G7" s="4"/>
    </row>
    <row r="8" spans="1:13" ht="16.5" customHeight="1" x14ac:dyDescent="0.2">
      <c r="A8" s="4"/>
      <c r="B8" s="4"/>
      <c r="C8" s="4"/>
      <c r="D8" s="4"/>
      <c r="E8" s="4"/>
      <c r="F8" s="4"/>
      <c r="G8" s="4"/>
    </row>
    <row r="9" spans="1:13" ht="16.5" customHeight="1" x14ac:dyDescent="0.2">
      <c r="A9" s="4"/>
      <c r="B9" s="4"/>
      <c r="C9" s="4"/>
      <c r="D9" s="4"/>
      <c r="E9" s="4"/>
      <c r="F9" s="4"/>
      <c r="G9" s="4"/>
    </row>
    <row r="10" spans="1:13" ht="16.5" customHeight="1" x14ac:dyDescent="0.2">
      <c r="A10" s="4"/>
      <c r="B10" s="4"/>
      <c r="C10" s="4"/>
      <c r="D10" s="4"/>
      <c r="E10" s="4"/>
      <c r="F10" s="4"/>
      <c r="G10" s="4"/>
    </row>
    <row r="11" spans="1:13" ht="16.5" customHeight="1" x14ac:dyDescent="0.2">
      <c r="A11" s="4"/>
      <c r="B11" s="4"/>
      <c r="C11" s="4"/>
      <c r="D11" s="4"/>
      <c r="E11" s="4"/>
      <c r="F11" s="4"/>
      <c r="G11" s="4"/>
    </row>
    <row r="12" spans="1:13" ht="16.5" customHeight="1" x14ac:dyDescent="0.2">
      <c r="A12" s="4"/>
      <c r="B12" s="4"/>
      <c r="C12" s="4"/>
      <c r="D12" s="4"/>
      <c r="E12" s="4"/>
      <c r="F12" s="4"/>
      <c r="G12" s="4"/>
    </row>
    <row r="13" spans="1:13" ht="16.5" customHeight="1" x14ac:dyDescent="0.2">
      <c r="A13" s="4"/>
      <c r="B13" s="4"/>
      <c r="C13" s="4"/>
      <c r="D13" s="4"/>
      <c r="E13" s="4"/>
      <c r="F13" s="4"/>
      <c r="G13" s="4"/>
    </row>
    <row r="14" spans="1:13" ht="16.5" customHeight="1" x14ac:dyDescent="0.2">
      <c r="A14" s="4"/>
      <c r="B14" s="4"/>
      <c r="C14" s="4"/>
      <c r="D14" s="4"/>
      <c r="E14" s="4"/>
      <c r="F14" s="4"/>
      <c r="G14" s="4"/>
    </row>
    <row r="15" spans="1:13" ht="16.5" customHeight="1" x14ac:dyDescent="0.2">
      <c r="A15" s="4"/>
      <c r="B15" s="4"/>
      <c r="C15" s="4"/>
      <c r="D15" s="4"/>
      <c r="E15" s="4"/>
      <c r="F15" s="4"/>
      <c r="G15" s="4"/>
    </row>
    <row r="16" spans="1:13" ht="16.5" customHeight="1" x14ac:dyDescent="0.2">
      <c r="A16" s="4"/>
      <c r="B16" s="4"/>
      <c r="C16" s="4"/>
      <c r="D16" s="4"/>
      <c r="E16" s="4"/>
      <c r="F16" s="4"/>
      <c r="G16" s="4"/>
    </row>
    <row r="17" spans="1:7" ht="16.5" customHeight="1" x14ac:dyDescent="0.2">
      <c r="A17" s="4"/>
      <c r="B17" s="4"/>
      <c r="C17" s="4"/>
      <c r="D17" s="4"/>
      <c r="E17" s="4"/>
      <c r="F17" s="4"/>
      <c r="G17" s="4"/>
    </row>
    <row r="18" spans="1:7" ht="16.5" customHeight="1" x14ac:dyDescent="0.2">
      <c r="A18" s="4"/>
      <c r="B18" s="4"/>
      <c r="C18" s="4"/>
      <c r="D18" s="4"/>
      <c r="E18" s="4"/>
      <c r="F18" s="4"/>
      <c r="G18" s="4"/>
    </row>
    <row r="19" spans="1:7" ht="16.5" customHeight="1" x14ac:dyDescent="0.2">
      <c r="A19" s="4"/>
      <c r="B19" s="4"/>
      <c r="C19" s="4"/>
      <c r="D19" s="4"/>
      <c r="E19" s="4"/>
      <c r="F19" s="4"/>
      <c r="G19" s="4"/>
    </row>
    <row r="20" spans="1:7" ht="16.5" customHeight="1" x14ac:dyDescent="0.2">
      <c r="A20" s="4"/>
      <c r="B20" s="4"/>
      <c r="C20" s="4"/>
      <c r="D20" s="4"/>
      <c r="E20" s="4"/>
      <c r="F20" s="4"/>
      <c r="G20" s="4"/>
    </row>
    <row r="21" spans="1:7" ht="16.5" customHeight="1" x14ac:dyDescent="0.2">
      <c r="A21" s="2"/>
      <c r="B21" s="2"/>
      <c r="C21" s="2"/>
      <c r="D21" s="2"/>
      <c r="E21" s="2"/>
      <c r="F21" s="2"/>
      <c r="G21" s="2"/>
    </row>
    <row r="22" spans="1:7" ht="16.5" customHeight="1" x14ac:dyDescent="0.2">
      <c r="A22" s="2"/>
      <c r="B22" s="2"/>
      <c r="C22" s="2"/>
      <c r="D22" s="2"/>
      <c r="E22" s="2"/>
      <c r="F22" s="2"/>
      <c r="G22" s="2"/>
    </row>
    <row r="23" spans="1:7" ht="27.75" customHeight="1" x14ac:dyDescent="0.2">
      <c r="A23" s="38" t="s">
        <v>25</v>
      </c>
      <c r="B23" s="24">
        <v>2023</v>
      </c>
      <c r="C23" s="24">
        <v>2022</v>
      </c>
      <c r="D23" s="24">
        <v>2021</v>
      </c>
      <c r="E23" s="24">
        <v>2020</v>
      </c>
      <c r="F23" s="24">
        <v>2019</v>
      </c>
      <c r="G23" s="24">
        <v>2018</v>
      </c>
    </row>
    <row r="24" spans="1:7" x14ac:dyDescent="0.2">
      <c r="A24" s="30" t="s">
        <v>26</v>
      </c>
      <c r="B24" s="141">
        <v>7.1</v>
      </c>
      <c r="C24" s="142">
        <v>7.2</v>
      </c>
      <c r="D24" s="142">
        <v>3.2</v>
      </c>
      <c r="E24" s="142">
        <v>1.5</v>
      </c>
      <c r="F24" s="142">
        <v>2.1</v>
      </c>
      <c r="G24" s="143">
        <v>2.8</v>
      </c>
    </row>
    <row r="25" spans="1:7" x14ac:dyDescent="0.2">
      <c r="A25" s="31" t="s">
        <v>27</v>
      </c>
      <c r="B25" s="144">
        <v>3.9</v>
      </c>
      <c r="C25" s="145">
        <v>5.0999999999999996</v>
      </c>
      <c r="D25" s="145">
        <v>4.4000000000000004</v>
      </c>
      <c r="E25" s="145">
        <v>4.5999999999999996</v>
      </c>
      <c r="F25" s="145">
        <v>4.5999999999999996</v>
      </c>
      <c r="G25" s="146">
        <v>5.7</v>
      </c>
    </row>
    <row r="26" spans="1:7" x14ac:dyDescent="0.2">
      <c r="A26" s="31" t="s">
        <v>28</v>
      </c>
      <c r="B26" s="144">
        <v>79.3</v>
      </c>
      <c r="C26" s="145">
        <v>75</v>
      </c>
      <c r="D26" s="145">
        <v>83.8</v>
      </c>
      <c r="E26" s="145">
        <v>87.5</v>
      </c>
      <c r="F26" s="145">
        <v>84.6</v>
      </c>
      <c r="G26" s="146">
        <v>82.8</v>
      </c>
    </row>
    <row r="27" spans="1:7" x14ac:dyDescent="0.2">
      <c r="A27" s="31" t="s">
        <v>29</v>
      </c>
      <c r="B27" s="144">
        <v>2.1</v>
      </c>
      <c r="C27" s="145">
        <v>1.7</v>
      </c>
      <c r="D27" s="145">
        <v>2.5</v>
      </c>
      <c r="E27" s="145">
        <v>2.4</v>
      </c>
      <c r="F27" s="145">
        <v>2.8</v>
      </c>
      <c r="G27" s="146">
        <v>2.7</v>
      </c>
    </row>
    <row r="28" spans="1:7" x14ac:dyDescent="0.2">
      <c r="A28" s="31" t="s">
        <v>45</v>
      </c>
      <c r="B28" s="144">
        <v>0.1</v>
      </c>
      <c r="C28" s="145">
        <v>0.1</v>
      </c>
      <c r="D28" s="145">
        <v>0.2</v>
      </c>
      <c r="E28" s="145">
        <v>0.2</v>
      </c>
      <c r="F28" s="145">
        <v>0.2</v>
      </c>
      <c r="G28" s="146">
        <v>0.2</v>
      </c>
    </row>
    <row r="29" spans="1:7" x14ac:dyDescent="0.2">
      <c r="A29" s="31" t="s">
        <v>46</v>
      </c>
      <c r="B29" s="144">
        <v>6.8</v>
      </c>
      <c r="C29" s="145">
        <v>10.3</v>
      </c>
      <c r="D29" s="145">
        <v>5.3</v>
      </c>
      <c r="E29" s="145">
        <v>3.2</v>
      </c>
      <c r="F29" s="145">
        <v>4.9000000000000004</v>
      </c>
      <c r="G29" s="146">
        <v>5.2</v>
      </c>
    </row>
    <row r="30" spans="1:7" x14ac:dyDescent="0.2">
      <c r="A30" s="32" t="s">
        <v>47</v>
      </c>
      <c r="B30" s="147">
        <v>0.7</v>
      </c>
      <c r="C30" s="148">
        <v>0.6</v>
      </c>
      <c r="D30" s="148">
        <v>0.6</v>
      </c>
      <c r="E30" s="148">
        <v>0.6</v>
      </c>
      <c r="F30" s="148">
        <v>0.8</v>
      </c>
      <c r="G30" s="149">
        <v>0.6</v>
      </c>
    </row>
    <row r="35" spans="2:7" ht="15" x14ac:dyDescent="0.2">
      <c r="B35" s="50"/>
      <c r="C35" s="50"/>
      <c r="D35" s="51"/>
      <c r="E35" s="51"/>
      <c r="F35" s="51"/>
      <c r="G35" s="51"/>
    </row>
    <row r="36" spans="2:7" ht="15" x14ac:dyDescent="0.2">
      <c r="B36" s="50"/>
      <c r="C36" s="50"/>
      <c r="D36" s="51"/>
      <c r="E36" s="51"/>
      <c r="F36" s="51"/>
      <c r="G36" s="51"/>
    </row>
    <row r="37" spans="2:7" ht="15" x14ac:dyDescent="0.2">
      <c r="B37" s="50"/>
      <c r="C37" s="50"/>
      <c r="D37" s="51"/>
      <c r="E37" s="51"/>
      <c r="F37" s="51"/>
      <c r="G37" s="51"/>
    </row>
    <row r="38" spans="2:7" ht="15" x14ac:dyDescent="0.2">
      <c r="B38" s="50"/>
      <c r="C38" s="50"/>
      <c r="D38" s="51"/>
      <c r="E38" s="51"/>
      <c r="F38" s="51"/>
      <c r="G38" s="51"/>
    </row>
    <row r="39" spans="2:7" ht="15" x14ac:dyDescent="0.2">
      <c r="B39" s="50"/>
      <c r="C39" s="50"/>
      <c r="D39" s="51"/>
      <c r="E39" s="51"/>
      <c r="F39" s="51"/>
      <c r="G39" s="51"/>
    </row>
    <row r="40" spans="2:7" ht="15" x14ac:dyDescent="0.2">
      <c r="B40" s="50"/>
      <c r="C40" s="50"/>
      <c r="D40" s="51"/>
      <c r="E40" s="51"/>
      <c r="F40" s="51"/>
      <c r="G40" s="51"/>
    </row>
    <row r="41" spans="2:7" ht="15" x14ac:dyDescent="0.2">
      <c r="B41" s="50"/>
      <c r="C41" s="50"/>
      <c r="D41" s="51"/>
      <c r="E41" s="51"/>
      <c r="F41" s="51"/>
      <c r="G41" s="51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6.42578125" style="3" bestFit="1" customWidth="1"/>
    <col min="2" max="7" width="14.140625" style="3" customWidth="1"/>
    <col min="8" max="16384" width="9.140625" style="3"/>
  </cols>
  <sheetData>
    <row r="2" spans="1:13" ht="12.75" x14ac:dyDescent="0.2">
      <c r="A2" s="170" t="s">
        <v>105</v>
      </c>
      <c r="B2" s="170"/>
      <c r="C2" s="170"/>
      <c r="D2" s="170"/>
      <c r="E2" s="170"/>
      <c r="F2" s="170"/>
      <c r="G2" s="170"/>
    </row>
    <row r="3" spans="1:13" x14ac:dyDescent="0.2">
      <c r="A3" s="40"/>
      <c r="B3" s="40"/>
      <c r="C3" s="40"/>
      <c r="D3" s="40"/>
      <c r="E3" s="40"/>
      <c r="F3" s="40"/>
      <c r="G3" s="40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6.25" customHeight="1" x14ac:dyDescent="0.2">
      <c r="A22" s="20"/>
      <c r="B22" s="9">
        <v>2018</v>
      </c>
      <c r="C22" s="9">
        <v>2019</v>
      </c>
      <c r="D22" s="9">
        <v>2020</v>
      </c>
      <c r="E22" s="9">
        <v>2021</v>
      </c>
      <c r="F22" s="9">
        <v>2022</v>
      </c>
      <c r="G22" s="9">
        <v>2023</v>
      </c>
    </row>
    <row r="23" spans="1:7" ht="15" customHeight="1" x14ac:dyDescent="0.2">
      <c r="A23" s="16" t="s">
        <v>48</v>
      </c>
      <c r="B23" s="130">
        <v>48.4</v>
      </c>
      <c r="C23" s="107">
        <v>48.5</v>
      </c>
      <c r="D23" s="107">
        <v>45.6</v>
      </c>
      <c r="E23" s="107">
        <v>43.9</v>
      </c>
      <c r="F23" s="107">
        <v>47.3</v>
      </c>
      <c r="G23" s="108">
        <v>48.3</v>
      </c>
    </row>
    <row r="24" spans="1:7" ht="15" customHeight="1" x14ac:dyDescent="0.2">
      <c r="A24" s="17" t="s">
        <v>49</v>
      </c>
      <c r="B24" s="131">
        <v>25.2</v>
      </c>
      <c r="C24" s="84">
        <v>24.2</v>
      </c>
      <c r="D24" s="84">
        <v>24.3</v>
      </c>
      <c r="E24" s="84">
        <v>26.5</v>
      </c>
      <c r="F24" s="84">
        <v>23.7</v>
      </c>
      <c r="G24" s="132">
        <v>18.600000000000001</v>
      </c>
    </row>
    <row r="25" spans="1:7" ht="15.75" customHeight="1" x14ac:dyDescent="0.2">
      <c r="A25" s="18" t="s">
        <v>50</v>
      </c>
      <c r="B25" s="133">
        <v>26.4</v>
      </c>
      <c r="C25" s="106">
        <v>27.3</v>
      </c>
      <c r="D25" s="106">
        <v>30.1</v>
      </c>
      <c r="E25" s="106">
        <v>29.6</v>
      </c>
      <c r="F25" s="106">
        <v>29</v>
      </c>
      <c r="G25" s="109">
        <v>33.1</v>
      </c>
    </row>
    <row r="26" spans="1:7" x14ac:dyDescent="0.2">
      <c r="G26" s="6"/>
    </row>
    <row r="27" spans="1:7" x14ac:dyDescent="0.2">
      <c r="C27" s="100"/>
    </row>
    <row r="30" spans="1:7" ht="15.75" x14ac:dyDescent="0.2">
      <c r="B30" s="53"/>
      <c r="C30" s="53"/>
      <c r="D30" s="53"/>
      <c r="E30" s="53"/>
      <c r="F30" s="53"/>
      <c r="G30" s="53"/>
    </row>
    <row r="31" spans="1:7" ht="15.75" x14ac:dyDescent="0.2">
      <c r="B31" s="53"/>
      <c r="C31" s="53"/>
      <c r="D31" s="53"/>
      <c r="E31" s="53"/>
      <c r="F31" s="53"/>
      <c r="G31" s="53"/>
    </row>
    <row r="32" spans="1:7" ht="15.75" x14ac:dyDescent="0.2">
      <c r="B32" s="53"/>
      <c r="C32" s="53"/>
      <c r="D32" s="53"/>
      <c r="E32" s="53"/>
      <c r="F32" s="53"/>
      <c r="G32" s="53"/>
    </row>
  </sheetData>
  <mergeCells count="1">
    <mergeCell ref="A2:G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46"/>
  <sheetViews>
    <sheetView workbookViewId="0">
      <selection activeCell="A2" sqref="A2:G2"/>
    </sheetView>
  </sheetViews>
  <sheetFormatPr defaultRowHeight="12" x14ac:dyDescent="0.2"/>
  <cols>
    <col min="1" max="1" width="22.85546875" style="3" customWidth="1"/>
    <col min="2" max="7" width="14.140625" style="3" customWidth="1"/>
    <col min="8" max="16384" width="9.140625" style="3"/>
  </cols>
  <sheetData>
    <row r="2" spans="1:10" ht="13.5" customHeight="1" x14ac:dyDescent="0.2">
      <c r="A2" s="161" t="s">
        <v>106</v>
      </c>
      <c r="B2" s="161"/>
      <c r="C2" s="161"/>
      <c r="D2" s="161"/>
      <c r="E2" s="161"/>
      <c r="F2" s="161"/>
      <c r="G2" s="161"/>
      <c r="H2" s="39"/>
      <c r="I2" s="39"/>
      <c r="J2" s="39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29.25" customHeight="1" x14ac:dyDescent="0.2">
      <c r="A24" s="37"/>
      <c r="B24" s="9">
        <v>2018</v>
      </c>
      <c r="C24" s="9">
        <v>2019</v>
      </c>
      <c r="D24" s="9">
        <v>2020</v>
      </c>
      <c r="E24" s="9">
        <v>2021</v>
      </c>
      <c r="F24" s="9">
        <v>2022</v>
      </c>
      <c r="G24" s="9">
        <v>2023</v>
      </c>
    </row>
    <row r="25" spans="1:7" x14ac:dyDescent="0.2">
      <c r="A25" s="150" t="s">
        <v>33</v>
      </c>
      <c r="B25" s="14">
        <f>IF(OR(838184.56726="",838184.56726="***"),"-",838184.56726/5760057.05112*100)</f>
        <v>14.551671273759718</v>
      </c>
      <c r="C25" s="14">
        <f>IF(841187.97847="","-",841187.97847/5842484.3398*100)</f>
        <v>14.397778916405199</v>
      </c>
      <c r="D25" s="14">
        <f>IF(631931.78444="","-",631931.78444/5415988.29784*100)</f>
        <v>11.667894199328801</v>
      </c>
      <c r="E25" s="14">
        <f>IF(829938.5716="","-",829938.5716/7176761.18511*100)</f>
        <v>11.564249529744933</v>
      </c>
      <c r="F25" s="14">
        <f>IF(1647484.95563="","-",1647484.95563/9218978.7701*100)</f>
        <v>17.870579775856559</v>
      </c>
      <c r="G25" s="11">
        <f>IF(1300058.04044="","-",1300058.04044/8673668.27639*100)</f>
        <v>14.988560768213826</v>
      </c>
    </row>
    <row r="26" spans="1:7" x14ac:dyDescent="0.2">
      <c r="A26" s="151" t="s">
        <v>38</v>
      </c>
      <c r="B26" s="15">
        <f>IF(OR(577085.76695="",577085.76695="***"),"-",577085.76695/5760057.05112*100)</f>
        <v>10.018750887854313</v>
      </c>
      <c r="C26" s="15">
        <f>IF(568940.97962="","-",568940.97962/5842484.3398*100)</f>
        <v>9.7379975115085369</v>
      </c>
      <c r="D26" s="15">
        <f>IF(527417.77474="","-",527417.77474/5415988.29784*100)</f>
        <v>9.7381631151297796</v>
      </c>
      <c r="E26" s="15">
        <f>IF(667196.27678="","-",667196.27678/7176761.18511*100)</f>
        <v>9.296620851259016</v>
      </c>
      <c r="F26" s="15">
        <f>IF(853786.24382="","-",853786.24382/9218978.7701*100)</f>
        <v>9.2611802794154698</v>
      </c>
      <c r="G26" s="105">
        <f>IF(1076248.3559="","-",1076248.3559/8673668.27639*100)</f>
        <v>12.408225927080728</v>
      </c>
    </row>
    <row r="27" spans="1:7" x14ac:dyDescent="0.2">
      <c r="A27" s="151" t="s">
        <v>86</v>
      </c>
      <c r="B27" s="15">
        <f>IF(OR(600283.8854="",600283.8854="***"),"-",600283.8854/5760057.05112*100)</f>
        <v>10.421492010800124</v>
      </c>
      <c r="C27" s="15">
        <f>IF(602292.88421="","-",602292.88421/5842484.3398*100)</f>
        <v>10.30884892762276</v>
      </c>
      <c r="D27" s="15">
        <f>IF(645830.3329="","-",645830.3329/5415988.29784*100)</f>
        <v>11.924514924775032</v>
      </c>
      <c r="E27" s="15">
        <f>IF(836543.25005="","-",836543.25005/7176761.18511*100)</f>
        <v>11.656278207858161</v>
      </c>
      <c r="F27" s="15">
        <f>IF(947163.84655="","-",947163.84655/9218978.7701*100)</f>
        <v>10.274064732874159</v>
      </c>
      <c r="G27" s="105">
        <f>IF(1017545.6171="","-",1017545.6171/8673668.27639*100)</f>
        <v>11.731433399058984</v>
      </c>
    </row>
    <row r="28" spans="1:7" x14ac:dyDescent="0.2">
      <c r="A28" s="151" t="s">
        <v>35</v>
      </c>
      <c r="B28" s="15">
        <f>IF(OR(340400.72773="",340400.72773="***"),"-",340400.72773/5760057.05112*100)</f>
        <v>5.9096763228032891</v>
      </c>
      <c r="C28" s="15">
        <f>IF(400548.63019="","-",400548.63019/5842484.3398*100)</f>
        <v>6.8557929622745304</v>
      </c>
      <c r="D28" s="15">
        <f>IF(388184.70812="","-",388184.70812/5415988.29784*100)</f>
        <v>7.1673845431832914</v>
      </c>
      <c r="E28" s="15">
        <f>IF(543682.92428="","-",543682.92428/7176761.18511*100)</f>
        <v>7.5756028416830601</v>
      </c>
      <c r="F28" s="15">
        <f>IF(661241.94067="","-",661241.94067/9218978.7701*100)</f>
        <v>7.1726159389216972</v>
      </c>
      <c r="G28" s="105">
        <f>IF(740852.19204="","-",740852.19204/8673668.27639*100)</f>
        <v>8.5413941187562266</v>
      </c>
    </row>
    <row r="29" spans="1:7" x14ac:dyDescent="0.2">
      <c r="A29" s="151" t="s">
        <v>34</v>
      </c>
      <c r="B29" s="15">
        <f>IF(OR(483123.67837="",483123.67837="***"),"-",483123.67837/5760057.05112*100)</f>
        <v>8.3874807850394504</v>
      </c>
      <c r="C29" s="15">
        <f>IF(484115.1814="","-",484115.1814/5842484.3398*100)</f>
        <v>8.286118596880522</v>
      </c>
      <c r="D29" s="15">
        <f>IF(452202.96369="","-",452202.96369/5415988.29784*100)</f>
        <v>8.3494080640895625</v>
      </c>
      <c r="E29" s="15">
        <f>IF(546645.73378="","-",546645.73378/7176761.18511*100)</f>
        <v>7.6168862204047478</v>
      </c>
      <c r="F29" s="15">
        <f>IF(578097.04224="","-",578097.04224/9218978.7701*100)</f>
        <v>6.2707275573184704</v>
      </c>
      <c r="G29" s="105">
        <f>IF(617876.38042="","-",617876.38042/8673668.27639*100)</f>
        <v>7.1235878607656593</v>
      </c>
    </row>
    <row r="30" spans="1:7" x14ac:dyDescent="0.2">
      <c r="A30" s="151" t="s">
        <v>36</v>
      </c>
      <c r="B30" s="15">
        <f>IF(OR(389487.58469="",389487.58469="***"),"-",389487.58469/5760057.05112*100)</f>
        <v>6.7618702598486777</v>
      </c>
      <c r="C30" s="15">
        <f>IF(406430.65966="","-",406430.65966/5842484.3398*100)</f>
        <v>6.9564698169805093</v>
      </c>
      <c r="D30" s="15">
        <f>IF(346826.35604="","-",346826.35604/5415988.29784*100)</f>
        <v>6.403750100019991</v>
      </c>
      <c r="E30" s="15">
        <f>IF(444448.00283="","-",444448.00283/7176761.18511*100)</f>
        <v>6.1928771400686902</v>
      </c>
      <c r="F30" s="15">
        <f>IF(438304.65355="","-",438304.65355/9218978.7701*100)</f>
        <v>4.7543731738656083</v>
      </c>
      <c r="G30" s="105">
        <f>IF(470277.01072="","-",470277.01072/8673668.27639*100)</f>
        <v>5.4218929723207072</v>
      </c>
    </row>
    <row r="31" spans="1:7" x14ac:dyDescent="0.2">
      <c r="A31" s="151" t="s">
        <v>84</v>
      </c>
      <c r="B31" s="15">
        <f>IF(OR(720656.62772="",720656.62772="***"),"-",720656.62772/5760057.05112*100)</f>
        <v>12.511275866267221</v>
      </c>
      <c r="C31" s="15">
        <f>IF(692513.93306="","-",692513.93306/5842484.3398*100)</f>
        <v>11.853072987161932</v>
      </c>
      <c r="D31" s="15">
        <f>IF(603524.20473="","-",603524.20473/5415988.29784*100)</f>
        <v>11.143380885270689</v>
      </c>
      <c r="E31" s="15">
        <f>IF(1053924.29245="","-",1053924.29245/7176761.18511*100)</f>
        <v>14.685235655279035</v>
      </c>
      <c r="F31" s="15">
        <f>IF(1145272.23022="","-",1145272.23022/9218978.7701*100)</f>
        <v>12.422983703297726</v>
      </c>
      <c r="G31" s="105">
        <f>IF(321643.04318="","-",321643.04318/8673668.27639*100)</f>
        <v>3.708270052885497</v>
      </c>
    </row>
    <row r="32" spans="1:7" x14ac:dyDescent="0.2">
      <c r="A32" s="151" t="s">
        <v>37</v>
      </c>
      <c r="B32" s="15">
        <f>IF(OR(202725.14401="",202725.14401="***"),"-",202725.14401/5760057.05112*100)</f>
        <v>3.5194988905636202</v>
      </c>
      <c r="C32" s="15">
        <f>IF(201624.70556="","-",201624.70556/5842484.3398*100)</f>
        <v>3.4510097731284981</v>
      </c>
      <c r="D32" s="15">
        <f>IF(217169.11091="","-",217169.11091/5415988.29784*100)</f>
        <v>4.0097780675894592</v>
      </c>
      <c r="E32" s="15">
        <f>IF(261620.91597="","-",261620.91597/7176761.18511*100)</f>
        <v>3.6453897408875542</v>
      </c>
      <c r="F32" s="15">
        <f>IF(302837.26767="","-",302837.26767/9218978.7701*100)</f>
        <v>3.2849329109227901</v>
      </c>
      <c r="G32" s="105">
        <f>IF(317001.53341="","-",317001.53341/8673668.27639*100)</f>
        <v>3.654757402619238</v>
      </c>
    </row>
    <row r="33" spans="1:7" x14ac:dyDescent="0.2">
      <c r="A33" s="151" t="s">
        <v>85</v>
      </c>
      <c r="B33" s="15">
        <f>IF(OR(132375.45209="",132375.45209="***"),"-",132375.45209/5760057.05112*100)</f>
        <v>2.2981621694920644</v>
      </c>
      <c r="C33" s="15">
        <f>IF(147014.04363="","-",147014.04363/5842484.3398*100)</f>
        <v>2.516293327968639</v>
      </c>
      <c r="D33" s="15">
        <f>IF(121336.76493="","-",121336.76493/5415988.29784*100)</f>
        <v>2.2403439272273067</v>
      </c>
      <c r="E33" s="15">
        <f>IF(170653.82083="","-",170653.82083/7176761.18511*100)</f>
        <v>2.3778667901624537</v>
      </c>
      <c r="F33" s="15">
        <f>IF(177616.01034="","-",177616.01034/9218978.7701*100)</f>
        <v>1.9266343352049329</v>
      </c>
      <c r="G33" s="105">
        <f>IF(216901.68735="","-",216901.68735/8673668.27639*100)</f>
        <v>2.5006915233363634</v>
      </c>
    </row>
    <row r="34" spans="1:7" x14ac:dyDescent="0.2">
      <c r="A34" s="151" t="s">
        <v>87</v>
      </c>
      <c r="B34" s="15">
        <f>IF(OR(31041.06667="",31041.06667="***"),"-",31041.06667/5760057.05112*100)</f>
        <v>0.53890206979745625</v>
      </c>
      <c r="C34" s="15">
        <f>IF(35621.91756="","-",35621.91756/5842484.3398*100)</f>
        <v>0.60970497288862924</v>
      </c>
      <c r="D34" s="15">
        <f>IF(39552.166="","-",39552.166/5415988.29784*100)</f>
        <v>0.73028529282041021</v>
      </c>
      <c r="E34" s="15">
        <f>IF(46493.02856="","-",46493.02856/7176761.18511*100)</f>
        <v>0.64782744417442095</v>
      </c>
      <c r="F34" s="15">
        <f>IF(253489.99727="","-",253489.99727/9218978.7701*100)</f>
        <v>2.749653769592642</v>
      </c>
      <c r="G34" s="105">
        <f>IF(209728.22171="","-",209728.22171/8673668.27639*100)</f>
        <v>2.4179875806512787</v>
      </c>
    </row>
    <row r="35" spans="1:7" x14ac:dyDescent="0.2">
      <c r="A35" s="151" t="s">
        <v>40</v>
      </c>
      <c r="B35" s="15">
        <f>IF(OR(110729.93634="",110729.93634="***"),"-",110729.93634/5760057.05112*100)</f>
        <v>1.9223756875545075</v>
      </c>
      <c r="C35" s="15">
        <f>IF(108889.82459="","-",108889.82459/5842484.3398*100)</f>
        <v>1.86375894665603</v>
      </c>
      <c r="D35" s="15">
        <f>IF(100469.76512="","-",100469.76512/5415988.29784*100)</f>
        <v>1.8550587555750306</v>
      </c>
      <c r="E35" s="15">
        <f>IF(121597.85518="","-",121597.85518/7176761.18511*100)</f>
        <v>1.6943277342471057</v>
      </c>
      <c r="F35" s="15">
        <f>IF(178622.2303="","-",178622.2303/9218978.7701*100)</f>
        <v>1.9375489927292939</v>
      </c>
      <c r="G35" s="105">
        <f>IF(181359.98453="","-",181359.98453/8673668.27639*100)</f>
        <v>2.0909259929119912</v>
      </c>
    </row>
    <row r="36" spans="1:7" ht="13.5" customHeight="1" x14ac:dyDescent="0.2">
      <c r="A36" s="151" t="s">
        <v>57</v>
      </c>
      <c r="B36" s="15">
        <f>IF(OR(86955.14385="",86955.14385="***"),"-",86955.14385/5760057.05112*100)</f>
        <v>1.5096229616873711</v>
      </c>
      <c r="C36" s="15">
        <f>IF(112931.31924="","-",112931.31924/5842484.3398*100)</f>
        <v>1.9329331953993025</v>
      </c>
      <c r="D36" s="15">
        <f>IF(96101.07506="","-",96101.07506/5415988.29784*100)</f>
        <v>1.7743959140075496</v>
      </c>
      <c r="E36" s="15">
        <f>IF(114945.04229="","-",114945.04229/7176761.18511*100)</f>
        <v>1.6016283574892036</v>
      </c>
      <c r="F36" s="15">
        <f>IF(138269.03772="","-",138269.03772/9218978.7701*100)</f>
        <v>1.4998303084117002</v>
      </c>
      <c r="G36" s="105">
        <f>IF(165515.52882="","-",165515.52882/8673668.27639*100)</f>
        <v>1.9082529276631264</v>
      </c>
    </row>
    <row r="37" spans="1:7" ht="12" customHeight="1" x14ac:dyDescent="0.2">
      <c r="A37" s="151" t="s">
        <v>42</v>
      </c>
      <c r="B37" s="15">
        <f>IF(OR(64568.10126="",64568.10126="***"),"-",64568.10126/5760057.05112*100)</f>
        <v>1.1209628773979803</v>
      </c>
      <c r="C37" s="15">
        <f>IF(56212.51121="","-",56212.51121/5842484.3398*100)</f>
        <v>0.96213370786586083</v>
      </c>
      <c r="D37" s="15">
        <f>IF(62709.90352="","-",62709.90352/5415988.29784*100)</f>
        <v>1.1578663038287935</v>
      </c>
      <c r="E37" s="15">
        <f>IF(77215.40492="","-",77215.40492/7176761.18511*100)</f>
        <v>1.0759087968567607</v>
      </c>
      <c r="F37" s="15">
        <f>IF(147522.73539="","-",147522.73539/9218978.7701*100)</f>
        <v>1.6002069108615573</v>
      </c>
      <c r="G37" s="105">
        <f>IF(146953.6719="","-",146953.6719/8673668.27639*100)</f>
        <v>1.6942505433371546</v>
      </c>
    </row>
    <row r="38" spans="1:7" ht="11.25" customHeight="1" x14ac:dyDescent="0.2">
      <c r="A38" s="151" t="s">
        <v>56</v>
      </c>
      <c r="B38" s="15">
        <f>IF(OR(24131.34437="",24131.34437="***"),"-",24131.34437/5760057.05112*100)</f>
        <v>0.41894280136179968</v>
      </c>
      <c r="C38" s="15">
        <f>IF(22223.51785="","-",22223.51785/5842484.3398*100)</f>
        <v>0.38037787621628016</v>
      </c>
      <c r="D38" s="15">
        <f>IF(25055.84883="","-",25055.84883/5415988.29784*100)</f>
        <v>0.46262745508502573</v>
      </c>
      <c r="E38" s="15">
        <f>IF(41903.51165="","-",41903.51165/7176761.18511*100)</f>
        <v>0.58387774887841326</v>
      </c>
      <c r="F38" s="15">
        <f>IF(165862.38703="","-",165862.38703/9218978.7701*100)</f>
        <v>1.7991405682367234</v>
      </c>
      <c r="G38" s="105">
        <f>IF(135085.99705="","-",135085.99705/8673668.27639*100)</f>
        <v>1.5574263707745013</v>
      </c>
    </row>
    <row r="39" spans="1:7" x14ac:dyDescent="0.2">
      <c r="A39" s="151" t="s">
        <v>58</v>
      </c>
      <c r="B39" s="15">
        <f>IF(OR(72862.68546="",72862.68546="***"),"-",72862.68546/5760057.05112*100)</f>
        <v>1.2649646490190993</v>
      </c>
      <c r="C39" s="15">
        <f>IF(74329.64217="","-",74329.64217/5842484.3398*100)</f>
        <v>1.27222663933652</v>
      </c>
      <c r="D39" s="15">
        <f>IF(68442.07101="","-",68442.07101/5415988.29784*100)</f>
        <v>1.2637041892667309</v>
      </c>
      <c r="E39" s="15">
        <f>IF(107396.04251="","-",107396.04251/7176761.18511*100)</f>
        <v>1.4964416362748723</v>
      </c>
      <c r="F39" s="15">
        <f>IF(134470.05913="","-",134470.05913/9218978.7701*100)</f>
        <v>1.4586220717432175</v>
      </c>
      <c r="G39" s="105">
        <f>IF(122910.46619="","-",122910.46619/8673668.27639*100)</f>
        <v>1.4170528808966121</v>
      </c>
    </row>
    <row r="40" spans="1:7" x14ac:dyDescent="0.2">
      <c r="A40" s="151" t="s">
        <v>41</v>
      </c>
      <c r="B40" s="15">
        <f>IF(OR(75866.1085="",75866.1085="***"),"-",75866.1085/5760057.05112*100)</f>
        <v>1.3171068936764854</v>
      </c>
      <c r="C40" s="15">
        <f>IF(80966.06634="","-",80966.06634/5842484.3398*100)</f>
        <v>1.3858157186395066</v>
      </c>
      <c r="D40" s="15">
        <f>IF(78278.17528="","-",78278.17528/5415988.29784*100)</f>
        <v>1.445316551204862</v>
      </c>
      <c r="E40" s="15">
        <f>IF(100689.06983="","-",100689.06983/7176761.18511*100)</f>
        <v>1.4029876044768612</v>
      </c>
      <c r="F40" s="15">
        <f>IF(105527.09586="","-",105527.09586/9218978.7701*100)</f>
        <v>1.1446722949645682</v>
      </c>
      <c r="G40" s="105">
        <f>IF(120633.79151="","-",120633.79151/8673668.27639*100)</f>
        <v>1.3908047629440592</v>
      </c>
    </row>
    <row r="41" spans="1:7" x14ac:dyDescent="0.2">
      <c r="A41" s="151" t="s">
        <v>89</v>
      </c>
      <c r="B41" s="15">
        <f>IF(OR(53058.91281="",53058.91281="***"),"-",53058.91281/5760057.05112*100)</f>
        <v>0.92115255698175924</v>
      </c>
      <c r="C41" s="15">
        <f>IF(51675.21965="","-",51675.21965/5842484.3398*100)</f>
        <v>0.88447339598293118</v>
      </c>
      <c r="D41" s="15">
        <f>IF(56427.57662="","-",56427.57662/5415988.29784*100)</f>
        <v>1.0418703571147743</v>
      </c>
      <c r="E41" s="15">
        <f>IF(67439.13881="","-",67439.13881/7176761.18511*100)</f>
        <v>0.9396876539506358</v>
      </c>
      <c r="F41" s="15">
        <f>IF(73894.07073="","-",73894.07073/9218978.7701*100)</f>
        <v>0.80154291025879509</v>
      </c>
      <c r="G41" s="105">
        <f>IF(99590.38137="","-",99590.38137/8673668.27639*100)</f>
        <v>1.1481921857801292</v>
      </c>
    </row>
    <row r="42" spans="1:7" x14ac:dyDescent="0.2">
      <c r="A42" s="151" t="s">
        <v>39</v>
      </c>
      <c r="B42" s="15">
        <f>IF(OR(128169.79631="",128169.79631="***"),"-",128169.79631/5760057.05112*100)</f>
        <v>2.2251480353841</v>
      </c>
      <c r="C42" s="15">
        <f>IF(130979.98713="","-",130979.98713/5842484.3398*100)</f>
        <v>2.2418543125180839</v>
      </c>
      <c r="D42" s="15">
        <f>IF(113783.26144="","-",113783.26144/5415988.29784*100)</f>
        <v>2.1008771655835914</v>
      </c>
      <c r="E42" s="15">
        <f>IF(145292.87812="","-",145292.87812/7176761.18511*100)</f>
        <v>2.0244909141110439</v>
      </c>
      <c r="F42" s="15">
        <f>IF(95263.55775="","-",95263.55775/9218978.7701*100)</f>
        <v>1.0333417629615247</v>
      </c>
      <c r="G42" s="105">
        <f>IF(87576.28479="","-",87576.28479/8673668.27639*100)</f>
        <v>1.0096798955107085</v>
      </c>
    </row>
    <row r="43" spans="1:7" x14ac:dyDescent="0.2">
      <c r="A43" s="151" t="s">
        <v>88</v>
      </c>
      <c r="B43" s="15">
        <f>IF(OR(103639.04136="",103639.04136="***"),"-",103639.04136/5760057.05112*100)</f>
        <v>1.7992710912446288</v>
      </c>
      <c r="C43" s="15">
        <f>IF(92148.84823="","-",92148.84823/5842484.3398*100)</f>
        <v>1.5772202862790119</v>
      </c>
      <c r="D43" s="15">
        <f>IF(62744.19598="","-",62744.19598/5415988.29784*100)</f>
        <v>1.1584994746946478</v>
      </c>
      <c r="E43" s="15">
        <f>IF(97723.13742="","-",97723.13742/7176761.18511*100)</f>
        <v>1.3616607115581787</v>
      </c>
      <c r="F43" s="15">
        <f>IF(82667.01126="","-",82667.01126/9218978.7701*100)</f>
        <v>0.8967046494142572</v>
      </c>
      <c r="G43" s="105">
        <f>IF(86444.14032="","-",86444.14032/8673668.27639*100)</f>
        <v>0.99662723504545025</v>
      </c>
    </row>
    <row r="44" spans="1:7" ht="12" customHeight="1" x14ac:dyDescent="0.2">
      <c r="A44" s="151" t="s">
        <v>73</v>
      </c>
      <c r="B44" s="15">
        <f>IF(OR(60668.39155="",60668.39155="***"),"-",60668.39155/5760057.05112*100)</f>
        <v>1.0532602543963254</v>
      </c>
      <c r="C44" s="15">
        <f>IF(57120.30365="","-",57120.30365/5842484.3398*100)</f>
        <v>0.97767148917947033</v>
      </c>
      <c r="D44" s="15">
        <f>IF(59683.45274="","-",59683.45274/5415988.29784*100)</f>
        <v>1.1019863680983746</v>
      </c>
      <c r="E44" s="15">
        <f>IF(76824.65901="","-",76824.65901/7176761.18511*100)</f>
        <v>1.0704641972675937</v>
      </c>
      <c r="F44" s="15">
        <f>IF(87986.48031="","-",87986.48031/9218978.7701*100)</f>
        <v>0.95440593263287876</v>
      </c>
      <c r="G44" s="105">
        <f>IF(84353.69358="","-",84353.69358/8673668.27639*100)</f>
        <v>0.97252616646192758</v>
      </c>
    </row>
    <row r="45" spans="1:7" x14ac:dyDescent="0.2">
      <c r="A45" s="151" t="s">
        <v>90</v>
      </c>
      <c r="B45" s="15">
        <f>IF(OR(33084.21683="",33084.21683="***"),"-",33084.21683/5760057.05112*100)</f>
        <v>0.57437307541193572</v>
      </c>
      <c r="C45" s="15">
        <f>IF(34164.28784="","-",34164.28784/5842484.3398*100)</f>
        <v>0.58475617311058992</v>
      </c>
      <c r="D45" s="15">
        <f>IF(30834.55221="","-",30834.55221/5415988.29784*100)</f>
        <v>0.56932457225392108</v>
      </c>
      <c r="E45" s="15">
        <f>IF(39586.26418="","-",39586.26418/7176761.18511*100)</f>
        <v>0.55158954239875901</v>
      </c>
      <c r="F45" s="15">
        <f>IF(63115.01308="","-",63115.01308/9218978.7701*100)</f>
        <v>0.68462044065771699</v>
      </c>
      <c r="G45" s="105">
        <f>IF(82520.10832="","-",82520.10832/8673668.27639*100)</f>
        <v>0.95138649174101286</v>
      </c>
    </row>
    <row r="46" spans="1:7" x14ac:dyDescent="0.2">
      <c r="A46" s="152" t="s">
        <v>43</v>
      </c>
      <c r="B46" s="10">
        <f>IF(OR(59937.68841="",59937.68841="***"),"-",59937.68841/5760057.05112*100)</f>
        <v>1.0405745616416346</v>
      </c>
      <c r="C46" s="10">
        <f>IF(58733.88129="","-",58733.88129/5842484.3398*100)</f>
        <v>1.0052894945715949</v>
      </c>
      <c r="D46" s="10">
        <f>IF(50146.49962="","-",50146.49962/5415988.29784*100)</f>
        <v>0.9258974883679012</v>
      </c>
      <c r="E46" s="10">
        <f>IF(64776.27185="","-",64776.27185/7176761.18511*100)</f>
        <v>0.90258363319089818</v>
      </c>
      <c r="F46" s="10">
        <f>IF(70854.22191="","-",70854.22191/9218978.7701*100)</f>
        <v>0.76856909726055722</v>
      </c>
      <c r="G46" s="12">
        <f>IF(75966.61224="","-",75966.61224/8673668.27639*100)</f>
        <v>0.87583026949259213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7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ht="12.75" x14ac:dyDescent="0.2">
      <c r="A2" s="155" t="s">
        <v>107</v>
      </c>
      <c r="B2" s="155"/>
      <c r="C2" s="155"/>
      <c r="D2" s="155"/>
      <c r="E2" s="155"/>
      <c r="F2" s="155"/>
      <c r="G2" s="155"/>
    </row>
    <row r="3" spans="1:10" x14ac:dyDescent="0.2">
      <c r="A3" s="2"/>
      <c r="B3" s="2"/>
      <c r="C3" s="2"/>
      <c r="D3" s="2"/>
      <c r="E3" s="2"/>
      <c r="F3" s="2"/>
      <c r="G3" s="2"/>
    </row>
    <row r="4" spans="1:10" x14ac:dyDescent="0.2">
      <c r="A4" s="40"/>
      <c r="B4" s="40"/>
      <c r="C4" s="40"/>
      <c r="D4" s="40"/>
      <c r="E4" s="40"/>
      <c r="F4" s="40"/>
      <c r="G4" s="39"/>
      <c r="H4" s="39"/>
      <c r="I4" s="39"/>
      <c r="J4" s="39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5"/>
    </row>
    <row r="22" spans="1:6" x14ac:dyDescent="0.2">
      <c r="A22" s="5"/>
    </row>
    <row r="23" spans="1:6" ht="16.5" customHeight="1" x14ac:dyDescent="0.2">
      <c r="A23" s="5"/>
    </row>
    <row r="24" spans="1:6" ht="16.5" customHeight="1" x14ac:dyDescent="0.2">
      <c r="A24" s="5"/>
    </row>
    <row r="25" spans="1:6" ht="9.75" customHeight="1" x14ac:dyDescent="0.2">
      <c r="A25" s="5"/>
    </row>
    <row r="26" spans="1:6" x14ac:dyDescent="0.2">
      <c r="A26" s="5"/>
    </row>
    <row r="27" spans="1:6" x14ac:dyDescent="0.2">
      <c r="A27" s="153">
        <v>2022</v>
      </c>
      <c r="B27" s="37" t="s">
        <v>44</v>
      </c>
    </row>
    <row r="28" spans="1:6" x14ac:dyDescent="0.2">
      <c r="A28" s="138" t="s">
        <v>76</v>
      </c>
      <c r="B28" s="136">
        <v>16.7</v>
      </c>
    </row>
    <row r="29" spans="1:6" ht="13.5" customHeight="1" x14ac:dyDescent="0.2">
      <c r="A29" s="139" t="s">
        <v>64</v>
      </c>
      <c r="B29" s="137">
        <v>6.3</v>
      </c>
    </row>
    <row r="30" spans="1:6" x14ac:dyDescent="0.2">
      <c r="A30" s="139" t="s">
        <v>74</v>
      </c>
      <c r="B30" s="137">
        <v>5.9</v>
      </c>
    </row>
    <row r="31" spans="1:6" x14ac:dyDescent="0.2">
      <c r="A31" s="139" t="s">
        <v>69</v>
      </c>
      <c r="B31" s="137">
        <v>9.1999999999999993</v>
      </c>
    </row>
    <row r="32" spans="1:6" x14ac:dyDescent="0.2">
      <c r="A32" s="139" t="s">
        <v>63</v>
      </c>
      <c r="B32" s="137">
        <v>3</v>
      </c>
    </row>
    <row r="33" spans="1:5" x14ac:dyDescent="0.2">
      <c r="A33" s="139" t="s">
        <v>77</v>
      </c>
      <c r="B33" s="137">
        <v>3.5</v>
      </c>
    </row>
    <row r="34" spans="1:5" x14ac:dyDescent="0.2">
      <c r="A34" s="139" t="s">
        <v>72</v>
      </c>
      <c r="B34" s="137">
        <v>2.7</v>
      </c>
    </row>
    <row r="35" spans="1:5" x14ac:dyDescent="0.2">
      <c r="A35" s="139" t="s">
        <v>79</v>
      </c>
      <c r="B35" s="137">
        <v>2.2000000000000002</v>
      </c>
    </row>
    <row r="36" spans="1:5" x14ac:dyDescent="0.2">
      <c r="A36" s="139" t="s">
        <v>60</v>
      </c>
      <c r="B36" s="137">
        <v>2.1</v>
      </c>
    </row>
    <row r="37" spans="1:5" x14ac:dyDescent="0.2">
      <c r="A37" s="139" t="s">
        <v>70</v>
      </c>
      <c r="B37" s="137">
        <v>3.1</v>
      </c>
    </row>
    <row r="38" spans="1:5" x14ac:dyDescent="0.2">
      <c r="A38" s="139" t="s">
        <v>66</v>
      </c>
      <c r="B38" s="137">
        <v>2.2000000000000002</v>
      </c>
    </row>
    <row r="39" spans="1:5" x14ac:dyDescent="0.2">
      <c r="A39" s="139" t="s">
        <v>83</v>
      </c>
      <c r="B39" s="137">
        <v>2.2999999999999998</v>
      </c>
    </row>
    <row r="40" spans="1:5" x14ac:dyDescent="0.2">
      <c r="A40" s="139" t="s">
        <v>75</v>
      </c>
      <c r="B40" s="137">
        <v>1.8</v>
      </c>
    </row>
    <row r="41" spans="1:5" x14ac:dyDescent="0.2">
      <c r="A41" s="140" t="s">
        <v>67</v>
      </c>
      <c r="B41" s="154">
        <v>39</v>
      </c>
    </row>
    <row r="42" spans="1:5" x14ac:dyDescent="0.2">
      <c r="A42" s="98"/>
      <c r="B42" s="33"/>
    </row>
    <row r="43" spans="1:5" ht="11.25" customHeight="1" x14ac:dyDescent="0.2">
      <c r="A43" s="153">
        <v>2023</v>
      </c>
      <c r="B43" s="99" t="s">
        <v>44</v>
      </c>
    </row>
    <row r="44" spans="1:5" ht="12.75" customHeight="1" x14ac:dyDescent="0.2">
      <c r="A44" s="138" t="s">
        <v>76</v>
      </c>
      <c r="B44" s="136">
        <v>15</v>
      </c>
      <c r="E44" s="94"/>
    </row>
    <row r="45" spans="1:5" ht="12.75" customHeight="1" x14ac:dyDescent="0.2">
      <c r="A45" s="139" t="s">
        <v>64</v>
      </c>
      <c r="B45" s="137">
        <v>7.7</v>
      </c>
      <c r="E45" s="94"/>
    </row>
    <row r="46" spans="1:5" ht="12.75" customHeight="1" x14ac:dyDescent="0.2">
      <c r="A46" s="139" t="s">
        <v>74</v>
      </c>
      <c r="B46" s="137">
        <v>7.2</v>
      </c>
      <c r="E46" s="94"/>
    </row>
    <row r="47" spans="1:5" ht="12.75" customHeight="1" x14ac:dyDescent="0.2">
      <c r="A47" s="139" t="s">
        <v>69</v>
      </c>
      <c r="B47" s="137">
        <v>6.7</v>
      </c>
      <c r="E47" s="94"/>
    </row>
    <row r="48" spans="1:5" ht="12.75" customHeight="1" x14ac:dyDescent="0.2">
      <c r="A48" s="139" t="s">
        <v>63</v>
      </c>
      <c r="B48" s="137">
        <v>3.5</v>
      </c>
      <c r="E48" s="94"/>
    </row>
    <row r="49" spans="1:5" ht="12.75" customHeight="1" x14ac:dyDescent="0.2">
      <c r="A49" s="139" t="s">
        <v>77</v>
      </c>
      <c r="B49" s="137">
        <v>3.4</v>
      </c>
      <c r="E49" s="94"/>
    </row>
    <row r="50" spans="1:5" ht="12.75" customHeight="1" x14ac:dyDescent="0.2">
      <c r="A50" s="139" t="s">
        <v>72</v>
      </c>
      <c r="B50" s="137">
        <v>2.9</v>
      </c>
      <c r="E50" s="94"/>
    </row>
    <row r="51" spans="1:5" ht="12.75" customHeight="1" x14ac:dyDescent="0.2">
      <c r="A51" s="139" t="s">
        <v>79</v>
      </c>
      <c r="B51" s="137">
        <v>2.9</v>
      </c>
      <c r="E51" s="94"/>
    </row>
    <row r="52" spans="1:5" ht="12.75" customHeight="1" x14ac:dyDescent="0.2">
      <c r="A52" s="139" t="s">
        <v>60</v>
      </c>
      <c r="B52" s="137">
        <v>2.7</v>
      </c>
      <c r="E52" s="94"/>
    </row>
    <row r="53" spans="1:5" ht="12.75" customHeight="1" x14ac:dyDescent="0.2">
      <c r="A53" s="139" t="s">
        <v>70</v>
      </c>
      <c r="B53" s="137">
        <v>2.5</v>
      </c>
      <c r="E53" s="94"/>
    </row>
    <row r="54" spans="1:5" ht="12.75" customHeight="1" x14ac:dyDescent="0.2">
      <c r="A54" s="139" t="s">
        <v>66</v>
      </c>
      <c r="B54" s="137">
        <v>2.4</v>
      </c>
      <c r="E54" s="94"/>
    </row>
    <row r="55" spans="1:5" ht="12.75" customHeight="1" x14ac:dyDescent="0.2">
      <c r="A55" s="139" t="s">
        <v>83</v>
      </c>
      <c r="B55" s="137">
        <v>2.2999999999999998</v>
      </c>
      <c r="E55" s="94"/>
    </row>
    <row r="56" spans="1:5" ht="12.75" customHeight="1" x14ac:dyDescent="0.2">
      <c r="A56" s="139" t="s">
        <v>75</v>
      </c>
      <c r="B56" s="137">
        <v>2.1</v>
      </c>
      <c r="E56" s="94"/>
    </row>
    <row r="57" spans="1:5" ht="12.75" customHeight="1" x14ac:dyDescent="0.2">
      <c r="A57" s="140" t="s">
        <v>67</v>
      </c>
      <c r="B57" s="154">
        <v>38.700000000000003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8"/>
  <sheetViews>
    <sheetView workbookViewId="0">
      <selection activeCell="A2" sqref="A2:M2"/>
    </sheetView>
  </sheetViews>
  <sheetFormatPr defaultRowHeight="12" x14ac:dyDescent="0.2"/>
  <cols>
    <col min="1" max="1" width="9.140625" style="3"/>
    <col min="2" max="2" width="9.85546875" style="3" customWidth="1"/>
    <col min="3" max="3" width="9.7109375" style="3" customWidth="1"/>
    <col min="4" max="4" width="10" style="3" customWidth="1"/>
    <col min="5" max="6" width="9.7109375" style="3" customWidth="1"/>
    <col min="7" max="7" width="9.5703125" style="3" customWidth="1"/>
    <col min="8" max="9" width="9.140625" style="3"/>
    <col min="10" max="10" width="10.7109375" style="3" customWidth="1"/>
    <col min="11" max="11" width="10.85546875" style="3" customWidth="1"/>
    <col min="12" max="12" width="10.42578125" style="3" customWidth="1"/>
    <col min="13" max="13" width="10.5703125" style="3" customWidth="1"/>
    <col min="14" max="16384" width="9.140625" style="3"/>
  </cols>
  <sheetData>
    <row r="2" spans="1:13" ht="12.75" x14ac:dyDescent="0.2">
      <c r="A2" s="161" t="s">
        <v>108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6" t="s">
        <v>0</v>
      </c>
      <c r="B22" s="37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-154</v>
      </c>
      <c r="C23" s="33">
        <v>-212.1</v>
      </c>
      <c r="D23" s="33">
        <v>-282</v>
      </c>
      <c r="E23" s="33">
        <v>-244.9</v>
      </c>
      <c r="F23" s="33">
        <v>-282.60000000000002</v>
      </c>
      <c r="G23" s="33">
        <v>-244.6</v>
      </c>
      <c r="H23" s="33">
        <v>-269.2</v>
      </c>
      <c r="I23" s="33">
        <v>-262.10000000000002</v>
      </c>
      <c r="J23" s="33">
        <v>-266.7</v>
      </c>
      <c r="K23" s="33">
        <v>-281.60000000000002</v>
      </c>
      <c r="L23" s="33">
        <v>-253.70000000000005</v>
      </c>
      <c r="M23" s="34">
        <v>-300.49999999999994</v>
      </c>
    </row>
    <row r="24" spans="1:13" x14ac:dyDescent="0.2">
      <c r="A24" s="28">
        <v>2019</v>
      </c>
      <c r="B24" s="33">
        <v>-138.30000000000001</v>
      </c>
      <c r="C24" s="33">
        <v>-217.9</v>
      </c>
      <c r="D24" s="33">
        <v>-276.60000000000002</v>
      </c>
      <c r="E24" s="33">
        <v>-300</v>
      </c>
      <c r="F24" s="33">
        <v>-271.10000000000002</v>
      </c>
      <c r="G24" s="33">
        <v>-243.2</v>
      </c>
      <c r="H24" s="33">
        <v>-278.89999999999998</v>
      </c>
      <c r="I24" s="33">
        <v>-258.5</v>
      </c>
      <c r="J24" s="33">
        <v>-262.89999999999998</v>
      </c>
      <c r="K24" s="33">
        <v>-257</v>
      </c>
      <c r="L24" s="33">
        <v>-237.5</v>
      </c>
      <c r="M24" s="34">
        <v>-321.39999999999998</v>
      </c>
    </row>
    <row r="25" spans="1:13" x14ac:dyDescent="0.2">
      <c r="A25" s="28">
        <v>2020</v>
      </c>
      <c r="B25" s="33">
        <v>-160.30000000000001</v>
      </c>
      <c r="C25" s="33">
        <v>-239.5</v>
      </c>
      <c r="D25" s="33">
        <v>-290.3</v>
      </c>
      <c r="E25" s="33">
        <v>-135.80000000000001</v>
      </c>
      <c r="F25" s="33">
        <v>-173.7</v>
      </c>
      <c r="G25" s="33">
        <v>-223.9</v>
      </c>
      <c r="H25" s="33">
        <v>-305.5</v>
      </c>
      <c r="I25" s="33">
        <v>-269.7</v>
      </c>
      <c r="J25" s="33">
        <v>-296</v>
      </c>
      <c r="K25" s="33">
        <v>-244.2</v>
      </c>
      <c r="L25" s="33">
        <v>-260.89999999999998</v>
      </c>
      <c r="M25" s="34">
        <v>-349</v>
      </c>
    </row>
    <row r="26" spans="1:13" x14ac:dyDescent="0.2">
      <c r="A26" s="28">
        <v>2021</v>
      </c>
      <c r="B26" s="33">
        <v>-201</v>
      </c>
      <c r="C26" s="33">
        <v>-294.39999999999998</v>
      </c>
      <c r="D26" s="33">
        <v>-370.8</v>
      </c>
      <c r="E26" s="33">
        <v>-344</v>
      </c>
      <c r="F26" s="33">
        <v>-361.7</v>
      </c>
      <c r="G26" s="33">
        <v>-362.8</v>
      </c>
      <c r="H26" s="33">
        <v>-321.3</v>
      </c>
      <c r="I26" s="33">
        <v>-338.6</v>
      </c>
      <c r="J26" s="33">
        <v>-376.3</v>
      </c>
      <c r="K26" s="33">
        <v>-294.60000000000002</v>
      </c>
      <c r="L26" s="33">
        <v>-337.6</v>
      </c>
      <c r="M26" s="34">
        <v>-429.2</v>
      </c>
    </row>
    <row r="27" spans="1:13" x14ac:dyDescent="0.2">
      <c r="A27" s="28">
        <v>2022</v>
      </c>
      <c r="B27" s="33">
        <v>-291.3</v>
      </c>
      <c r="C27" s="33">
        <v>-332.6</v>
      </c>
      <c r="D27" s="33">
        <v>-352.5</v>
      </c>
      <c r="E27" s="33">
        <v>-374.1</v>
      </c>
      <c r="F27" s="33">
        <v>-356.7</v>
      </c>
      <c r="G27" s="33">
        <v>-352</v>
      </c>
      <c r="H27" s="33">
        <v>-422.9</v>
      </c>
      <c r="I27" s="33">
        <v>-450.6</v>
      </c>
      <c r="J27" s="33">
        <v>-525.29999999999995</v>
      </c>
      <c r="K27" s="33">
        <v>-399.2</v>
      </c>
      <c r="L27" s="33">
        <v>-502.9</v>
      </c>
      <c r="M27" s="34">
        <v>-526.79999999999995</v>
      </c>
    </row>
    <row r="28" spans="1:13" x14ac:dyDescent="0.2">
      <c r="A28" s="29">
        <v>2023</v>
      </c>
      <c r="B28" s="10">
        <v>-402.2</v>
      </c>
      <c r="C28" s="10">
        <v>-396.5</v>
      </c>
      <c r="D28" s="35">
        <v>-436.2</v>
      </c>
      <c r="E28" s="35">
        <v>-373.2</v>
      </c>
      <c r="F28" s="35">
        <v>-372.7</v>
      </c>
      <c r="G28" s="35">
        <v>-349</v>
      </c>
      <c r="H28" s="35">
        <v>-335.3</v>
      </c>
      <c r="I28" s="35">
        <v>-377.3</v>
      </c>
      <c r="J28" s="35">
        <v>-354.1</v>
      </c>
      <c r="K28" s="35">
        <v>-371.9</v>
      </c>
      <c r="L28" s="35">
        <v>-358</v>
      </c>
      <c r="M28" s="36">
        <v>-498.7</v>
      </c>
    </row>
  </sheetData>
  <mergeCells count="1">
    <mergeCell ref="A2:M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M35"/>
  <sheetViews>
    <sheetView topLeftCell="A2" zoomScaleNormal="100" workbookViewId="0">
      <selection activeCell="A3" sqref="A3:F3"/>
    </sheetView>
  </sheetViews>
  <sheetFormatPr defaultRowHeight="12" x14ac:dyDescent="0.2"/>
  <cols>
    <col min="1" max="1" width="22.5703125" style="3" customWidth="1"/>
    <col min="2" max="2" width="21.5703125" style="3" customWidth="1"/>
    <col min="3" max="3" width="21.42578125" style="3" customWidth="1"/>
    <col min="4" max="4" width="22.140625" style="3" customWidth="1"/>
    <col min="5" max="16384" width="9.140625" style="3"/>
  </cols>
  <sheetData>
    <row r="3" spans="1:13" ht="12.75" x14ac:dyDescent="0.2">
      <c r="A3" s="165" t="s">
        <v>109</v>
      </c>
      <c r="B3" s="165"/>
      <c r="C3" s="165"/>
      <c r="D3" s="165"/>
      <c r="E3" s="165"/>
      <c r="F3" s="165"/>
      <c r="G3" s="39"/>
      <c r="H3" s="39"/>
      <c r="I3" s="39"/>
      <c r="J3" s="39"/>
      <c r="K3" s="39"/>
      <c r="L3" s="39"/>
      <c r="M3" s="39"/>
    </row>
    <row r="4" spans="1:13" x14ac:dyDescent="0.2">
      <c r="A4" s="73"/>
      <c r="B4" s="73"/>
      <c r="C4" s="73"/>
      <c r="D4" s="73"/>
      <c r="E4" s="73"/>
      <c r="F4" s="73"/>
      <c r="G4" s="39"/>
      <c r="H4" s="39"/>
      <c r="I4" s="39"/>
      <c r="J4" s="39"/>
      <c r="K4" s="39"/>
      <c r="L4" s="39"/>
      <c r="M4" s="39"/>
    </row>
    <row r="5" spans="1:13" ht="19.5" customHeight="1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4"/>
      <c r="B26" s="4"/>
      <c r="C26" s="4"/>
      <c r="D26" s="4"/>
      <c r="E26" s="4"/>
      <c r="F26" s="4"/>
    </row>
    <row r="28" spans="1:6" ht="15.75" customHeight="1" x14ac:dyDescent="0.2">
      <c r="A28" s="90" t="s">
        <v>110</v>
      </c>
      <c r="B28" s="21" t="s">
        <v>51</v>
      </c>
      <c r="C28" s="57" t="s">
        <v>52</v>
      </c>
      <c r="D28" s="78" t="s">
        <v>53</v>
      </c>
    </row>
    <row r="29" spans="1:6" ht="15.75" customHeight="1" x14ac:dyDescent="0.2">
      <c r="A29" s="88">
        <v>2018</v>
      </c>
      <c r="B29" s="100">
        <v>2706.2</v>
      </c>
      <c r="C29" s="119">
        <v>5760.1</v>
      </c>
      <c r="D29" s="121">
        <v>-3053.9</v>
      </c>
    </row>
    <row r="30" spans="1:6" ht="15.75" customHeight="1" x14ac:dyDescent="0.2">
      <c r="A30" s="89">
        <v>2019</v>
      </c>
      <c r="B30" s="103">
        <v>2779.2</v>
      </c>
      <c r="C30" s="103">
        <v>5842.5</v>
      </c>
      <c r="D30" s="120">
        <v>-3063.3</v>
      </c>
    </row>
    <row r="31" spans="1:6" ht="15.75" customHeight="1" x14ac:dyDescent="0.2">
      <c r="A31" s="89">
        <v>2020</v>
      </c>
      <c r="B31" s="103">
        <v>2467.1</v>
      </c>
      <c r="C31" s="103">
        <v>5416</v>
      </c>
      <c r="D31" s="120">
        <v>-2948.9</v>
      </c>
    </row>
    <row r="32" spans="1:6" ht="15.75" customHeight="1" x14ac:dyDescent="0.2">
      <c r="A32" s="89">
        <v>2021</v>
      </c>
      <c r="B32" s="103">
        <v>3144.5</v>
      </c>
      <c r="C32" s="103">
        <v>7176.8</v>
      </c>
      <c r="D32" s="120">
        <v>-4032.3</v>
      </c>
    </row>
    <row r="33" spans="1:4" ht="15.75" customHeight="1" x14ac:dyDescent="0.2">
      <c r="A33" s="89">
        <v>2022</v>
      </c>
      <c r="B33" s="103">
        <v>4332.1000000000004</v>
      </c>
      <c r="C33" s="103">
        <v>9219</v>
      </c>
      <c r="D33" s="120">
        <v>-4886.8999999999996</v>
      </c>
    </row>
    <row r="34" spans="1:4" ht="15.75" customHeight="1" x14ac:dyDescent="0.2">
      <c r="A34" s="89">
        <v>2023</v>
      </c>
      <c r="B34" s="103">
        <v>4048.6</v>
      </c>
      <c r="C34" s="103">
        <v>8673.7000000000007</v>
      </c>
      <c r="D34" s="120">
        <v>-4625.1000000000004</v>
      </c>
    </row>
    <row r="35" spans="1:4" x14ac:dyDescent="0.2">
      <c r="A35" s="1"/>
    </row>
  </sheetData>
  <mergeCells count="1">
    <mergeCell ref="A3:F3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38"/>
  <sheetViews>
    <sheetView workbookViewId="0">
      <selection activeCell="A2" sqref="A2:S2"/>
    </sheetView>
  </sheetViews>
  <sheetFormatPr defaultRowHeight="12" x14ac:dyDescent="0.2"/>
  <cols>
    <col min="1" max="1" width="17.85546875" style="3" customWidth="1"/>
    <col min="2" max="2" width="5" style="3" customWidth="1"/>
    <col min="3" max="3" width="5.85546875" style="3" customWidth="1"/>
    <col min="4" max="4" width="5.7109375" style="3" customWidth="1"/>
    <col min="5" max="5" width="5.85546875" style="3" customWidth="1"/>
    <col min="6" max="6" width="6.140625" style="3" customWidth="1"/>
    <col min="7" max="8" width="5.5703125" style="3" customWidth="1"/>
    <col min="9" max="9" width="5.42578125" style="3" customWidth="1"/>
    <col min="10" max="10" width="5.7109375" style="3" customWidth="1"/>
    <col min="11" max="11" width="5.5703125" style="3" customWidth="1"/>
    <col min="12" max="12" width="6.140625" style="3" customWidth="1"/>
    <col min="13" max="13" width="6.5703125" style="3" customWidth="1"/>
    <col min="14" max="16" width="6" style="3" customWidth="1"/>
    <col min="17" max="17" width="5.85546875" style="3" customWidth="1"/>
    <col min="18" max="18" width="6.42578125" style="3" customWidth="1"/>
    <col min="19" max="19" width="5.85546875" style="3" customWidth="1"/>
    <col min="20" max="20" width="6.42578125" style="3" customWidth="1"/>
    <col min="21" max="21" width="6" style="3" customWidth="1"/>
    <col min="22" max="22" width="5.85546875" style="3" customWidth="1"/>
    <col min="23" max="23" width="6.85546875" style="3" customWidth="1"/>
    <col min="24" max="24" width="6.140625" style="3" customWidth="1"/>
    <col min="25" max="25" width="7.42578125" style="3" customWidth="1"/>
    <col min="26" max="33" width="5.7109375" style="3" customWidth="1"/>
    <col min="34" max="35" width="6.140625" style="3" customWidth="1"/>
    <col min="36" max="36" width="6.28515625" style="3" customWidth="1"/>
    <col min="37" max="37" width="6.140625" style="3" customWidth="1"/>
    <col min="38" max="16384" width="9.140625" style="3"/>
  </cols>
  <sheetData>
    <row r="2" spans="1:19" ht="15.75" customHeight="1" x14ac:dyDescent="0.2">
      <c r="A2" s="161" t="s">
        <v>82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ht="14.25" customHeight="1" x14ac:dyDescent="0.2">
      <c r="A4" s="4"/>
    </row>
    <row r="5" spans="1:19" ht="14.25" customHeight="1" x14ac:dyDescent="0.2">
      <c r="A5" s="4"/>
    </row>
    <row r="6" spans="1:19" ht="15" customHeight="1" x14ac:dyDescent="0.2">
      <c r="A6" s="4"/>
    </row>
    <row r="7" spans="1:19" ht="16.5" customHeight="1" x14ac:dyDescent="0.2">
      <c r="A7" s="4"/>
    </row>
    <row r="8" spans="1:19" ht="15" customHeight="1" x14ac:dyDescent="0.2">
      <c r="A8" s="4"/>
    </row>
    <row r="9" spans="1:19" ht="14.25" customHeight="1" x14ac:dyDescent="0.2">
      <c r="A9" s="4"/>
    </row>
    <row r="10" spans="1:19" ht="13.5" customHeight="1" x14ac:dyDescent="0.2">
      <c r="A10" s="4"/>
    </row>
    <row r="11" spans="1:19" ht="17.25" customHeight="1" x14ac:dyDescent="0.2">
      <c r="A11" s="4"/>
    </row>
    <row r="12" spans="1:19" ht="17.25" customHeight="1" x14ac:dyDescent="0.2">
      <c r="A12" s="4"/>
    </row>
    <row r="13" spans="1:19" ht="16.5" customHeight="1" x14ac:dyDescent="0.2">
      <c r="A13" s="4"/>
    </row>
    <row r="14" spans="1:19" ht="15" customHeight="1" x14ac:dyDescent="0.2">
      <c r="A14" s="4"/>
    </row>
    <row r="15" spans="1:19" ht="15" customHeight="1" x14ac:dyDescent="0.2">
      <c r="A15" s="4"/>
    </row>
    <row r="16" spans="1:19" ht="15.75" customHeight="1" x14ac:dyDescent="0.2">
      <c r="A16" s="4"/>
    </row>
    <row r="17" spans="1:37" ht="22.5" customHeight="1" x14ac:dyDescent="0.2">
      <c r="A17" s="4"/>
    </row>
    <row r="18" spans="1:37" x14ac:dyDescent="0.2">
      <c r="A18" s="4"/>
    </row>
    <row r="19" spans="1:37" x14ac:dyDescent="0.2">
      <c r="A19" s="5"/>
    </row>
    <row r="20" spans="1:37" x14ac:dyDescent="0.2">
      <c r="A20" s="5"/>
    </row>
    <row r="21" spans="1:37" x14ac:dyDescent="0.2">
      <c r="A21" s="5"/>
    </row>
    <row r="22" spans="1:37" ht="19.5" customHeight="1" x14ac:dyDescent="0.2">
      <c r="A22" s="5"/>
    </row>
    <row r="23" spans="1:37" ht="15" customHeight="1" x14ac:dyDescent="0.2">
      <c r="A23" s="156"/>
      <c r="B23" s="158">
        <v>2021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60"/>
      <c r="N23" s="158">
        <v>2022</v>
      </c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60"/>
      <c r="Z23" s="162">
        <v>2023</v>
      </c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4"/>
    </row>
    <row r="24" spans="1:37" x14ac:dyDescent="0.2">
      <c r="A24" s="157"/>
      <c r="B24" s="20" t="s">
        <v>13</v>
      </c>
      <c r="C24" s="54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7" t="s">
        <v>19</v>
      </c>
      <c r="K24" s="27" t="s">
        <v>24</v>
      </c>
      <c r="L24" s="27" t="s">
        <v>20</v>
      </c>
      <c r="M24" s="27" t="s">
        <v>21</v>
      </c>
      <c r="N24" s="85" t="s">
        <v>13</v>
      </c>
      <c r="O24" s="85" t="s">
        <v>14</v>
      </c>
      <c r="P24" s="86" t="s">
        <v>15</v>
      </c>
      <c r="Q24" s="78" t="s">
        <v>16</v>
      </c>
      <c r="R24" s="57" t="s">
        <v>17</v>
      </c>
      <c r="S24" s="57" t="s">
        <v>22</v>
      </c>
      <c r="T24" s="57" t="s">
        <v>18</v>
      </c>
      <c r="U24" s="57" t="s">
        <v>23</v>
      </c>
      <c r="V24" s="57" t="s">
        <v>19</v>
      </c>
      <c r="W24" s="57" t="s">
        <v>24</v>
      </c>
      <c r="X24" s="57" t="s">
        <v>20</v>
      </c>
      <c r="Y24" s="57" t="s">
        <v>21</v>
      </c>
      <c r="Z24" s="57" t="s">
        <v>13</v>
      </c>
      <c r="AA24" s="57" t="s">
        <v>14</v>
      </c>
      <c r="AB24" s="78" t="s">
        <v>15</v>
      </c>
      <c r="AC24" s="21" t="s">
        <v>16</v>
      </c>
      <c r="AD24" s="102" t="s">
        <v>17</v>
      </c>
      <c r="AE24" s="85" t="s">
        <v>22</v>
      </c>
      <c r="AF24" s="85" t="s">
        <v>18</v>
      </c>
      <c r="AG24" s="85" t="s">
        <v>23</v>
      </c>
      <c r="AH24" s="2" t="s">
        <v>19</v>
      </c>
      <c r="AI24" s="85" t="s">
        <v>24</v>
      </c>
      <c r="AJ24" s="85" t="s">
        <v>20</v>
      </c>
      <c r="AK24" s="85" t="s">
        <v>21</v>
      </c>
    </row>
    <row r="25" spans="1:37" ht="28.5" customHeight="1" x14ac:dyDescent="0.2">
      <c r="A25" s="13" t="s">
        <v>54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5">
        <v>101.65548055101389</v>
      </c>
      <c r="O25" s="14">
        <v>101.84864374682041</v>
      </c>
      <c r="P25" s="14">
        <v>117.64360095679429</v>
      </c>
      <c r="Q25" s="56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14">
        <v>110.39404185134238</v>
      </c>
      <c r="X25" s="14">
        <v>100.990226814244</v>
      </c>
      <c r="Y25" s="11">
        <v>97.626571809884439</v>
      </c>
      <c r="Z25" s="55">
        <v>95.423145055942825</v>
      </c>
      <c r="AA25" s="14">
        <v>107.53426155303467</v>
      </c>
      <c r="AB25" s="14">
        <v>108.10569775638508</v>
      </c>
      <c r="AC25" s="15">
        <v>82.457500951649791</v>
      </c>
      <c r="AD25" s="14">
        <v>106.03224634475339</v>
      </c>
      <c r="AE25" s="14">
        <v>94.094313438764019</v>
      </c>
      <c r="AF25" s="14">
        <v>96.062601900370808</v>
      </c>
      <c r="AG25" s="14">
        <v>105.70970185102763</v>
      </c>
      <c r="AH25" s="14">
        <v>108.24618309689178</v>
      </c>
      <c r="AI25" s="14">
        <v>98.195823302702834</v>
      </c>
      <c r="AJ25" s="107">
        <v>110.91874480343407</v>
      </c>
      <c r="AK25" s="108">
        <v>82.115324381991456</v>
      </c>
    </row>
    <row r="26" spans="1:37" ht="40.5" customHeight="1" x14ac:dyDescent="0.2">
      <c r="A26" s="18" t="s">
        <v>55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10">
        <f>IF(227034.99772="","-",336464.33268/227034.99772*100)</f>
        <v>148.19932435921535</v>
      </c>
      <c r="P26" s="10">
        <f>IF(259287.13538="","-",395828.7569/259287.13538*100)</f>
        <v>152.66039185472528</v>
      </c>
      <c r="Q26" s="10">
        <f>IF(218235.12722="","-",396338.08224/218235.12722*100)</f>
        <v>181.61058088529293</v>
      </c>
      <c r="R26" s="10">
        <f>IF(201697.01673="","-",415966.01044/201697.01673*100)</f>
        <v>206.23310011413275</v>
      </c>
      <c r="S26" s="10">
        <f>IF(226810.79989="","-",416434.52243/226810.79989*100)</f>
        <v>183.60436215205132</v>
      </c>
      <c r="T26" s="10">
        <f>IF(240720.89459="","-",338224.33542/240720.89459*100)</f>
        <v>140.50476839414773</v>
      </c>
      <c r="U26" s="10">
        <f>IF(236300.67911="","-",329416.35614/236300.67911*100)</f>
        <v>139.40559010693906</v>
      </c>
      <c r="V26" s="10">
        <f>IF(294897.29212="","-",318793.64634/294897.29212*100)</f>
        <v>108.10328031438013</v>
      </c>
      <c r="W26" s="10">
        <f>IF(352247.51165="","-",351929.19136/352247.51165*100)</f>
        <v>99.909631642673943</v>
      </c>
      <c r="X26" s="10">
        <f>IF(363865.01311="","-",355414.08858/363865.01311*100)</f>
        <v>97.67745613743709</v>
      </c>
      <c r="Y26" s="12">
        <f>IF(324970.80722="","-",346978.59041/324970.80722*100)</f>
        <v>106.77223390564465</v>
      </c>
      <c r="Z26" s="19">
        <f>IF(330357.20487="","-",331097.88364/330357.20487*100)</f>
        <v>100.22420542342689</v>
      </c>
      <c r="AA26" s="10">
        <f>IF(336464.33268="","-",356043.66419/336464.33268*100)</f>
        <v>105.81914027975773</v>
      </c>
      <c r="AB26" s="10">
        <f>IF(395828.7569="","-",384903.48749/395828.7569*100)</f>
        <v>97.239900027586913</v>
      </c>
      <c r="AC26" s="10">
        <f>IF(396338.08224="","-",317381.79686/396338.08224*100)</f>
        <v>80.07855189343411</v>
      </c>
      <c r="AD26" s="10">
        <f>IF(415966.01044="","-",336527.0487/415966.01044*100)</f>
        <v>80.902535364374799</v>
      </c>
      <c r="AE26" s="10">
        <f>IF(416434.52243="","-",316652.81601/416434.52243*100)</f>
        <v>76.039040702545819</v>
      </c>
      <c r="AF26" s="10">
        <f>IF(338224.33542="","-",304184.93405/338224.33542*100)</f>
        <v>89.935850911576011</v>
      </c>
      <c r="AG26" s="10">
        <f>IF(329416.35614="","-",321552.98686/329416.35614*100)</f>
        <v>97.612939025815066</v>
      </c>
      <c r="AH26" s="10">
        <f>IF(318793.64634="","-",348068.83491/318793.64634*100)</f>
        <v>109.18311544351715</v>
      </c>
      <c r="AI26" s="10">
        <f>IF(351929.19136="","-",341789.0581/351929.19136*100)</f>
        <v>97.118700719080934</v>
      </c>
      <c r="AJ26" s="106">
        <f>IF(355414.08858="","-",379108.13312/355414.08858*100)</f>
        <v>106.66660250713915</v>
      </c>
      <c r="AK26" s="109">
        <f>IF(346978.59041="","-",311305.87327/346978.59041*100)</f>
        <v>89.719043731819852</v>
      </c>
    </row>
    <row r="29" spans="1:37" ht="15.75" x14ac:dyDescent="0.25">
      <c r="N29" s="64"/>
      <c r="O29" s="80"/>
      <c r="P29" s="60"/>
      <c r="Q29" s="81"/>
      <c r="R29" s="60"/>
      <c r="S29" s="60"/>
      <c r="T29" s="60"/>
      <c r="U29" s="60"/>
      <c r="V29" s="60"/>
      <c r="W29" s="75"/>
      <c r="X29" s="75"/>
      <c r="Y29" s="75"/>
    </row>
    <row r="30" spans="1:37" ht="15.75" x14ac:dyDescent="0.25">
      <c r="N30" s="61"/>
      <c r="O30" s="82"/>
      <c r="P30" s="83"/>
      <c r="Q30" s="83"/>
      <c r="R30" s="83"/>
      <c r="S30" s="83"/>
      <c r="T30" s="83"/>
      <c r="U30" s="83"/>
      <c r="V30" s="83"/>
      <c r="W30" s="64"/>
      <c r="X30" s="64"/>
      <c r="Y30" s="79"/>
    </row>
    <row r="33" spans="14:21" ht="15.75" x14ac:dyDescent="0.25">
      <c r="N33" s="64"/>
      <c r="O33" s="65"/>
      <c r="P33" s="66"/>
      <c r="Q33" s="66"/>
      <c r="R33" s="66"/>
      <c r="S33" s="67"/>
      <c r="T33" s="46"/>
      <c r="U33" s="46"/>
    </row>
    <row r="34" spans="14:21" ht="15.75" x14ac:dyDescent="0.25">
      <c r="N34" s="66"/>
      <c r="O34" s="66"/>
      <c r="P34" s="66"/>
      <c r="Q34" s="66"/>
      <c r="R34" s="66"/>
      <c r="S34" s="67"/>
      <c r="T34" s="46"/>
      <c r="U34" s="46"/>
    </row>
    <row r="35" spans="14:21" ht="15.75" x14ac:dyDescent="0.25">
      <c r="N35" s="68"/>
      <c r="O35" s="68"/>
      <c r="P35" s="66"/>
      <c r="Q35" s="66"/>
      <c r="R35" s="68"/>
      <c r="S35" s="69"/>
      <c r="T35" s="69"/>
      <c r="U35" s="69"/>
    </row>
    <row r="36" spans="14:21" ht="15.75" x14ac:dyDescent="0.25">
      <c r="N36" s="68"/>
      <c r="O36" s="68"/>
      <c r="P36" s="66"/>
      <c r="Q36" s="66"/>
      <c r="R36" s="68"/>
      <c r="S36" s="69"/>
      <c r="T36" s="69"/>
      <c r="U36" s="69"/>
    </row>
    <row r="37" spans="14:21" ht="16.5" x14ac:dyDescent="0.25">
      <c r="N37" s="63"/>
      <c r="O37" s="65"/>
      <c r="P37" s="66"/>
      <c r="Q37" s="66"/>
      <c r="R37" s="66"/>
      <c r="S37" s="70"/>
      <c r="T37" s="46"/>
      <c r="U37" s="42"/>
    </row>
    <row r="38" spans="14:21" ht="15.75" x14ac:dyDescent="0.25">
      <c r="N38" s="66"/>
      <c r="O38" s="66"/>
      <c r="P38" s="66"/>
      <c r="Q38" s="66"/>
      <c r="R38" s="66"/>
      <c r="S38" s="67"/>
      <c r="T38" s="46"/>
      <c r="U38" s="46"/>
    </row>
  </sheetData>
  <mergeCells count="5">
    <mergeCell ref="A23:A24"/>
    <mergeCell ref="B23:M23"/>
    <mergeCell ref="N23:Y23"/>
    <mergeCell ref="A2:S2"/>
    <mergeCell ref="Z23:AK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ED46-CA8D-4140-9E43-580D161EC44F}">
  <dimension ref="A1:Y23"/>
  <sheetViews>
    <sheetView workbookViewId="0">
      <selection activeCell="A2" sqref="A2:S2"/>
    </sheetView>
  </sheetViews>
  <sheetFormatPr defaultRowHeight="15" x14ac:dyDescent="0.25"/>
  <cols>
    <col min="1" max="1" width="14" customWidth="1"/>
    <col min="2" max="36" width="6.5703125" customWidth="1"/>
  </cols>
  <sheetData>
    <row r="1" spans="1:19" s="3" customFormat="1" ht="12" x14ac:dyDescent="0.2"/>
    <row r="2" spans="1:19" s="3" customFormat="1" ht="15.75" customHeight="1" x14ac:dyDescent="0.2">
      <c r="A2" s="161" t="s">
        <v>95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s="3" customFormat="1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s="3" customFormat="1" ht="14.25" customHeight="1" x14ac:dyDescent="0.2">
      <c r="A4" s="4"/>
    </row>
    <row r="5" spans="1:19" s="3" customFormat="1" ht="14.25" customHeight="1" x14ac:dyDescent="0.2">
      <c r="A5" s="4"/>
    </row>
    <row r="6" spans="1:19" s="3" customFormat="1" ht="15" customHeight="1" x14ac:dyDescent="0.2">
      <c r="A6" s="4"/>
    </row>
    <row r="7" spans="1:19" s="3" customFormat="1" ht="16.5" customHeight="1" x14ac:dyDescent="0.2">
      <c r="A7" s="4"/>
    </row>
    <row r="8" spans="1:19" s="3" customFormat="1" ht="15" customHeight="1" x14ac:dyDescent="0.2">
      <c r="A8" s="4"/>
    </row>
    <row r="9" spans="1:19" s="3" customFormat="1" ht="14.25" customHeight="1" x14ac:dyDescent="0.2">
      <c r="A9" s="4"/>
    </row>
    <row r="10" spans="1:19" s="3" customFormat="1" ht="13.5" customHeight="1" x14ac:dyDescent="0.2">
      <c r="A10" s="4"/>
    </row>
    <row r="11" spans="1:19" s="3" customFormat="1" ht="17.25" customHeight="1" x14ac:dyDescent="0.2">
      <c r="A11" s="4"/>
    </row>
    <row r="12" spans="1:19" s="3" customFormat="1" ht="17.25" customHeight="1" x14ac:dyDescent="0.2">
      <c r="A12" s="4"/>
    </row>
    <row r="13" spans="1:19" s="3" customFormat="1" ht="16.5" customHeight="1" x14ac:dyDescent="0.2">
      <c r="A13" s="4"/>
    </row>
    <row r="14" spans="1:19" s="3" customFormat="1" ht="15" customHeight="1" x14ac:dyDescent="0.2">
      <c r="A14" s="4"/>
    </row>
    <row r="15" spans="1:19" s="3" customFormat="1" ht="15" customHeight="1" x14ac:dyDescent="0.2">
      <c r="A15" s="4"/>
    </row>
    <row r="16" spans="1:19" s="3" customFormat="1" ht="15.75" customHeight="1" x14ac:dyDescent="0.2">
      <c r="A16" s="4"/>
    </row>
    <row r="17" spans="1:25" s="3" customFormat="1" ht="22.5" customHeight="1" x14ac:dyDescent="0.2">
      <c r="A17" s="4"/>
    </row>
    <row r="18" spans="1:25" s="3" customFormat="1" ht="12" x14ac:dyDescent="0.2">
      <c r="A18" s="4"/>
    </row>
    <row r="19" spans="1:25" s="3" customFormat="1" ht="12" x14ac:dyDescent="0.2">
      <c r="A19" s="5"/>
    </row>
    <row r="20" spans="1:25" s="3" customFormat="1" ht="19.5" customHeight="1" x14ac:dyDescent="0.2">
      <c r="A20" s="5"/>
    </row>
    <row r="21" spans="1:25" s="3" customFormat="1" ht="12.75" customHeight="1" x14ac:dyDescent="0.2">
      <c r="A21" s="122"/>
      <c r="B21" s="123">
        <v>2000</v>
      </c>
      <c r="C21" s="123">
        <v>2001</v>
      </c>
      <c r="D21" s="123">
        <v>2002</v>
      </c>
      <c r="E21" s="123">
        <v>2003</v>
      </c>
      <c r="F21" s="123">
        <v>2004</v>
      </c>
      <c r="G21" s="123">
        <v>2005</v>
      </c>
      <c r="H21" s="123">
        <v>2006</v>
      </c>
      <c r="I21" s="123">
        <v>2007</v>
      </c>
      <c r="J21" s="123">
        <v>2008</v>
      </c>
      <c r="K21" s="123">
        <v>2009</v>
      </c>
      <c r="L21" s="123">
        <v>2010</v>
      </c>
      <c r="M21" s="123">
        <v>2011</v>
      </c>
      <c r="N21" s="123">
        <v>2012</v>
      </c>
      <c r="O21" s="123">
        <v>2013</v>
      </c>
      <c r="P21" s="123">
        <v>2014</v>
      </c>
      <c r="Q21" s="123">
        <v>2015</v>
      </c>
      <c r="R21" s="123">
        <v>2016</v>
      </c>
      <c r="S21" s="123">
        <v>2017</v>
      </c>
      <c r="T21" s="123">
        <v>2018</v>
      </c>
      <c r="U21" s="123">
        <v>2019</v>
      </c>
      <c r="V21" s="123">
        <v>2020</v>
      </c>
      <c r="W21" s="123">
        <v>2021</v>
      </c>
      <c r="X21" s="123">
        <v>2022</v>
      </c>
      <c r="Y21" s="123">
        <v>2023</v>
      </c>
    </row>
    <row r="22" spans="1:25" s="3" customFormat="1" ht="18" customHeight="1" x14ac:dyDescent="0.2">
      <c r="A22" s="124" t="s">
        <v>94</v>
      </c>
      <c r="B22" s="127">
        <v>101.7</v>
      </c>
      <c r="C22" s="127">
        <v>119.9</v>
      </c>
      <c r="D22" s="127">
        <v>113.8</v>
      </c>
      <c r="E22" s="127">
        <v>122.7</v>
      </c>
      <c r="F22" s="127">
        <v>124.7</v>
      </c>
      <c r="G22" s="127">
        <v>110.7</v>
      </c>
      <c r="H22" s="127">
        <v>96.3</v>
      </c>
      <c r="I22" s="127">
        <v>127.6</v>
      </c>
      <c r="J22" s="127">
        <v>118.7</v>
      </c>
      <c r="K22" s="127">
        <v>80.599999999999994</v>
      </c>
      <c r="L22" s="127">
        <v>120.1</v>
      </c>
      <c r="M22" s="127">
        <v>143.80000000000001</v>
      </c>
      <c r="N22" s="127">
        <v>97.5</v>
      </c>
      <c r="O22" s="127">
        <v>112.3</v>
      </c>
      <c r="P22" s="127">
        <v>96.3</v>
      </c>
      <c r="Q22" s="127">
        <v>84.1</v>
      </c>
      <c r="R22" s="128">
        <v>104</v>
      </c>
      <c r="S22" s="127">
        <v>118.6</v>
      </c>
      <c r="T22" s="129">
        <f>IF(2424972.02699="","-",2706901.80962/2424972.02699*100)</f>
        <v>111.62610452789204</v>
      </c>
      <c r="U22" s="127">
        <v>102.7</v>
      </c>
      <c r="V22" s="127">
        <v>88.8</v>
      </c>
      <c r="W22" s="127">
        <v>127.5</v>
      </c>
      <c r="X22" s="127">
        <v>137.80000000000001</v>
      </c>
      <c r="Y22" s="127">
        <v>93.5</v>
      </c>
    </row>
    <row r="23" spans="1:25" s="3" customFormat="1" ht="12" x14ac:dyDescent="0.2"/>
  </sheetData>
  <mergeCells count="1">
    <mergeCell ref="A2:S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0"/>
  <sheetViews>
    <sheetView workbookViewId="0">
      <selection activeCell="A2" sqref="A2:G2"/>
    </sheetView>
  </sheetViews>
  <sheetFormatPr defaultRowHeight="12" x14ac:dyDescent="0.2"/>
  <cols>
    <col min="1" max="1" width="24.42578125" style="3" customWidth="1"/>
    <col min="2" max="7" width="14.28515625" style="3" customWidth="1"/>
    <col min="8" max="8" width="14.85546875" style="3" customWidth="1"/>
    <col min="9" max="16384" width="9.140625" style="3"/>
  </cols>
  <sheetData>
    <row r="2" spans="1:7" ht="12.75" x14ac:dyDescent="0.2">
      <c r="A2" s="165" t="s">
        <v>98</v>
      </c>
      <c r="B2" s="165"/>
      <c r="C2" s="165"/>
      <c r="D2" s="165"/>
      <c r="E2" s="165"/>
      <c r="F2" s="165"/>
      <c r="G2" s="165"/>
    </row>
    <row r="3" spans="1:7" ht="5.25" customHeight="1" x14ac:dyDescent="0.2">
      <c r="A3" s="73"/>
      <c r="B3" s="73"/>
      <c r="C3" s="73"/>
      <c r="D3" s="73"/>
      <c r="E3" s="73"/>
      <c r="F3" s="73"/>
      <c r="G3" s="73"/>
    </row>
    <row r="4" spans="1:7" ht="17.25" customHeight="1" x14ac:dyDescent="0.2">
      <c r="A4" s="73"/>
      <c r="B4" s="73"/>
      <c r="C4" s="73"/>
      <c r="D4" s="73"/>
      <c r="E4" s="73"/>
      <c r="F4" s="73"/>
      <c r="G4" s="73"/>
    </row>
    <row r="5" spans="1:7" ht="17.25" customHeight="1" x14ac:dyDescent="0.2">
      <c r="A5" s="4"/>
      <c r="B5" s="4"/>
      <c r="C5" s="4"/>
      <c r="D5" s="4"/>
      <c r="E5" s="4"/>
      <c r="F5" s="4"/>
      <c r="G5" s="4"/>
    </row>
    <row r="6" spans="1:7" ht="17.25" customHeight="1" x14ac:dyDescent="0.2">
      <c r="A6" s="4"/>
      <c r="B6" s="4"/>
      <c r="C6" s="4"/>
      <c r="D6" s="4"/>
      <c r="E6" s="4"/>
      <c r="F6" s="4"/>
      <c r="G6" s="4"/>
    </row>
    <row r="7" spans="1:7" ht="17.25" customHeight="1" x14ac:dyDescent="0.2">
      <c r="A7" s="4"/>
      <c r="B7" s="4"/>
      <c r="C7" s="4"/>
      <c r="D7" s="4"/>
      <c r="E7" s="4"/>
      <c r="F7" s="4"/>
      <c r="G7" s="4"/>
    </row>
    <row r="8" spans="1:7" ht="17.25" customHeight="1" x14ac:dyDescent="0.2">
      <c r="A8" s="4"/>
      <c r="B8" s="4"/>
      <c r="C8" s="4"/>
      <c r="D8" s="4"/>
      <c r="E8" s="4"/>
      <c r="F8" s="4"/>
      <c r="G8" s="4"/>
    </row>
    <row r="9" spans="1:7" ht="17.25" customHeight="1" x14ac:dyDescent="0.2">
      <c r="A9" s="4"/>
      <c r="B9" s="4"/>
      <c r="C9" s="4"/>
      <c r="D9" s="4"/>
      <c r="E9" s="4"/>
      <c r="F9" s="4"/>
      <c r="G9" s="4"/>
    </row>
    <row r="10" spans="1:7" ht="17.25" customHeight="1" x14ac:dyDescent="0.2">
      <c r="A10" s="4"/>
      <c r="B10" s="4"/>
      <c r="C10" s="4"/>
      <c r="D10" s="4"/>
      <c r="E10" s="4"/>
      <c r="F10" s="4"/>
      <c r="G10" s="4"/>
    </row>
    <row r="11" spans="1:7" ht="17.25" customHeight="1" x14ac:dyDescent="0.2">
      <c r="A11" s="4"/>
      <c r="B11" s="4"/>
      <c r="C11" s="4"/>
      <c r="D11" s="4"/>
      <c r="E11" s="4"/>
      <c r="F11" s="4"/>
      <c r="G11" s="4"/>
    </row>
    <row r="12" spans="1:7" ht="17.25" customHeight="1" x14ac:dyDescent="0.2">
      <c r="A12" s="4"/>
      <c r="B12" s="4"/>
      <c r="C12" s="4"/>
      <c r="D12" s="4"/>
      <c r="E12" s="4"/>
      <c r="F12" s="4"/>
      <c r="G12" s="4"/>
    </row>
    <row r="13" spans="1:7" ht="17.25" customHeight="1" x14ac:dyDescent="0.2">
      <c r="A13" s="4"/>
      <c r="B13" s="4"/>
      <c r="C13" s="4"/>
      <c r="D13" s="4"/>
      <c r="E13" s="4"/>
      <c r="F13" s="4"/>
      <c r="G13" s="4"/>
    </row>
    <row r="14" spans="1:7" ht="17.25" customHeight="1" x14ac:dyDescent="0.2">
      <c r="A14" s="4"/>
      <c r="B14" s="4"/>
      <c r="C14" s="4"/>
      <c r="D14" s="4"/>
      <c r="E14" s="4"/>
      <c r="F14" s="4"/>
      <c r="G14" s="4"/>
    </row>
    <row r="15" spans="1:7" ht="17.25" customHeight="1" x14ac:dyDescent="0.2">
      <c r="A15" s="4"/>
      <c r="B15" s="4"/>
      <c r="C15" s="4"/>
      <c r="D15" s="4"/>
      <c r="E15" s="4"/>
      <c r="F15" s="4"/>
      <c r="G15" s="4"/>
    </row>
    <row r="16" spans="1:7" ht="17.25" customHeight="1" x14ac:dyDescent="0.2">
      <c r="A16" s="4"/>
      <c r="B16" s="4"/>
      <c r="C16" s="4"/>
      <c r="D16" s="4"/>
      <c r="E16" s="4"/>
      <c r="F16" s="4"/>
      <c r="G16" s="4"/>
    </row>
    <row r="17" spans="1:7" ht="17.25" customHeight="1" x14ac:dyDescent="0.2">
      <c r="A17" s="4"/>
      <c r="B17" s="4"/>
      <c r="C17" s="4"/>
      <c r="D17" s="4"/>
      <c r="E17" s="4"/>
      <c r="F17" s="4"/>
      <c r="G17" s="4"/>
    </row>
    <row r="18" spans="1:7" ht="17.25" customHeight="1" x14ac:dyDescent="0.2">
      <c r="A18" s="4"/>
      <c r="B18" s="4"/>
      <c r="C18" s="4"/>
      <c r="D18" s="4"/>
      <c r="E18" s="4"/>
      <c r="F18" s="4"/>
      <c r="G18" s="4"/>
    </row>
    <row r="19" spans="1:7" ht="17.25" customHeight="1" x14ac:dyDescent="0.2">
      <c r="A19" s="4"/>
      <c r="B19" s="4"/>
      <c r="C19" s="4"/>
      <c r="D19" s="4"/>
      <c r="E19" s="4"/>
      <c r="F19" s="4"/>
      <c r="G19" s="4"/>
    </row>
    <row r="20" spans="1:7" ht="17.25" customHeight="1" x14ac:dyDescent="0.2">
      <c r="A20" s="4"/>
      <c r="B20" s="4"/>
      <c r="C20" s="4"/>
      <c r="D20" s="4"/>
      <c r="E20" s="4"/>
      <c r="F20" s="4"/>
      <c r="G20" s="4"/>
    </row>
    <row r="21" spans="1:7" ht="15" customHeight="1" x14ac:dyDescent="0.2">
      <c r="A21" s="4"/>
      <c r="B21" s="4"/>
      <c r="C21" s="4"/>
      <c r="D21" s="4"/>
      <c r="E21" s="4"/>
      <c r="F21" s="4"/>
      <c r="G21" s="4"/>
    </row>
    <row r="22" spans="1:7" ht="15" customHeight="1" x14ac:dyDescent="0.2"/>
    <row r="23" spans="1:7" ht="34.5" customHeight="1" x14ac:dyDescent="0.2">
      <c r="A23" s="38" t="s">
        <v>25</v>
      </c>
      <c r="B23" s="24">
        <v>2023</v>
      </c>
      <c r="C23" s="24">
        <v>2022</v>
      </c>
      <c r="D23" s="24">
        <v>2021</v>
      </c>
      <c r="E23" s="24">
        <v>2020</v>
      </c>
      <c r="F23" s="24">
        <v>2019</v>
      </c>
      <c r="G23" s="24">
        <v>2018</v>
      </c>
    </row>
    <row r="24" spans="1:7" x14ac:dyDescent="0.2">
      <c r="A24" s="91" t="s">
        <v>26</v>
      </c>
      <c r="B24" s="130">
        <v>13.5</v>
      </c>
      <c r="C24" s="107">
        <v>13.4</v>
      </c>
      <c r="D24" s="107">
        <v>9.5</v>
      </c>
      <c r="E24" s="107">
        <v>7</v>
      </c>
      <c r="F24" s="107">
        <v>7.1</v>
      </c>
      <c r="G24" s="108">
        <v>6.9</v>
      </c>
    </row>
    <row r="25" spans="1:7" x14ac:dyDescent="0.2">
      <c r="A25" s="92" t="s">
        <v>27</v>
      </c>
      <c r="B25" s="131">
        <v>3.4</v>
      </c>
      <c r="C25" s="84">
        <v>7.9</v>
      </c>
      <c r="D25" s="84">
        <v>5.6</v>
      </c>
      <c r="E25" s="84">
        <v>2.8</v>
      </c>
      <c r="F25" s="84">
        <v>4.5</v>
      </c>
      <c r="G25" s="132">
        <v>4.5</v>
      </c>
    </row>
    <row r="26" spans="1:7" x14ac:dyDescent="0.2">
      <c r="A26" s="92" t="s">
        <v>28</v>
      </c>
      <c r="B26" s="131">
        <v>80.8</v>
      </c>
      <c r="C26" s="84">
        <v>77.099999999999994</v>
      </c>
      <c r="D26" s="84">
        <v>83.7</v>
      </c>
      <c r="E26" s="84">
        <v>89</v>
      </c>
      <c r="F26" s="84">
        <v>86.7</v>
      </c>
      <c r="G26" s="132">
        <v>86.9</v>
      </c>
    </row>
    <row r="27" spans="1:7" x14ac:dyDescent="0.2">
      <c r="A27" s="92" t="s">
        <v>29</v>
      </c>
      <c r="B27" s="131">
        <v>1.1000000000000001</v>
      </c>
      <c r="C27" s="84">
        <v>1.1000000000000001</v>
      </c>
      <c r="D27" s="84">
        <v>1.2</v>
      </c>
      <c r="E27" s="84">
        <v>1.1000000000000001</v>
      </c>
      <c r="F27" s="84">
        <v>1.6</v>
      </c>
      <c r="G27" s="132">
        <v>1.7</v>
      </c>
    </row>
    <row r="28" spans="1:7" x14ac:dyDescent="0.2">
      <c r="A28" s="92" t="s">
        <v>45</v>
      </c>
      <c r="B28" s="131">
        <v>0.1</v>
      </c>
      <c r="C28" s="84">
        <v>0</v>
      </c>
      <c r="D28" s="84">
        <v>0</v>
      </c>
      <c r="E28" s="84">
        <v>0.1</v>
      </c>
      <c r="F28" s="84">
        <v>0.1</v>
      </c>
      <c r="G28" s="132">
        <v>0</v>
      </c>
    </row>
    <row r="29" spans="1:7" x14ac:dyDescent="0.2">
      <c r="A29" s="32" t="s">
        <v>46</v>
      </c>
      <c r="B29" s="133">
        <v>1.1000000000000001</v>
      </c>
      <c r="C29" s="106">
        <v>0.5</v>
      </c>
      <c r="D29" s="106">
        <v>0</v>
      </c>
      <c r="E29" s="106">
        <v>0</v>
      </c>
      <c r="F29" s="106">
        <v>0</v>
      </c>
      <c r="G29" s="109">
        <v>0</v>
      </c>
    </row>
    <row r="30" spans="1:7" ht="15" x14ac:dyDescent="0.2">
      <c r="B30" s="110"/>
      <c r="C30" s="94"/>
      <c r="D30" s="94"/>
      <c r="E30" s="94"/>
      <c r="F30" s="94"/>
      <c r="G30" s="94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1.140625" style="3" bestFit="1" customWidth="1"/>
    <col min="2" max="7" width="14.28515625" style="3" customWidth="1"/>
    <col min="8" max="16384" width="9.140625" style="3"/>
  </cols>
  <sheetData>
    <row r="2" spans="1:13" ht="12.75" x14ac:dyDescent="0.2">
      <c r="A2" s="165" t="s">
        <v>99</v>
      </c>
      <c r="B2" s="165"/>
      <c r="C2" s="165"/>
      <c r="D2" s="165"/>
      <c r="E2" s="165"/>
      <c r="F2" s="165"/>
      <c r="G2" s="165"/>
      <c r="H2" s="39"/>
      <c r="I2" s="39"/>
      <c r="J2" s="39"/>
      <c r="K2" s="39"/>
      <c r="L2" s="39"/>
      <c r="M2" s="39"/>
    </row>
    <row r="3" spans="1:13" ht="11.25" customHeight="1" x14ac:dyDescent="0.2">
      <c r="A3" s="74"/>
      <c r="B3" s="74"/>
      <c r="C3" s="74"/>
      <c r="D3" s="74"/>
      <c r="E3" s="74"/>
      <c r="F3" s="74"/>
      <c r="G3" s="74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5"/>
    </row>
    <row r="20" spans="1:8" x14ac:dyDescent="0.2">
      <c r="A20" s="5"/>
    </row>
    <row r="21" spans="1:8" ht="20.25" customHeight="1" x14ac:dyDescent="0.2">
      <c r="A21" s="20"/>
      <c r="B21" s="9">
        <v>2018</v>
      </c>
      <c r="C21" s="9">
        <v>2019</v>
      </c>
      <c r="D21" s="9">
        <v>2020</v>
      </c>
      <c r="E21" s="9">
        <v>2021</v>
      </c>
      <c r="F21" s="9">
        <v>2022</v>
      </c>
      <c r="G21" s="9">
        <v>2023</v>
      </c>
    </row>
    <row r="22" spans="1:8" ht="15" customHeight="1" x14ac:dyDescent="0.2">
      <c r="A22" s="16" t="s">
        <v>30</v>
      </c>
      <c r="B22" s="130">
        <v>65.900000000000006</v>
      </c>
      <c r="C22" s="107">
        <v>64.099999999999994</v>
      </c>
      <c r="D22" s="107">
        <v>66.5</v>
      </c>
      <c r="E22" s="107">
        <v>61.1</v>
      </c>
      <c r="F22" s="107">
        <v>58.6</v>
      </c>
      <c r="G22" s="108">
        <v>65.400000000000006</v>
      </c>
      <c r="H22" s="6"/>
    </row>
    <row r="23" spans="1:8" ht="14.25" customHeight="1" x14ac:dyDescent="0.2">
      <c r="A23" s="17" t="s">
        <v>31</v>
      </c>
      <c r="B23" s="131">
        <v>15.4</v>
      </c>
      <c r="C23" s="84">
        <v>15.6</v>
      </c>
      <c r="D23" s="84">
        <v>15.3</v>
      </c>
      <c r="E23" s="84">
        <v>14.8</v>
      </c>
      <c r="F23" s="84">
        <v>24.1</v>
      </c>
      <c r="G23" s="132">
        <v>22.1</v>
      </c>
      <c r="H23" s="6"/>
    </row>
    <row r="24" spans="1:8" ht="15" customHeight="1" x14ac:dyDescent="0.2">
      <c r="A24" s="18" t="s">
        <v>32</v>
      </c>
      <c r="B24" s="133">
        <v>18.7</v>
      </c>
      <c r="C24" s="106">
        <v>20.3</v>
      </c>
      <c r="D24" s="106">
        <v>18.2</v>
      </c>
      <c r="E24" s="106">
        <v>24.1</v>
      </c>
      <c r="F24" s="106">
        <v>17.3</v>
      </c>
      <c r="G24" s="109">
        <v>12.5</v>
      </c>
      <c r="H24" s="6"/>
    </row>
    <row r="28" spans="1:8" x14ac:dyDescent="0.2">
      <c r="E28" s="3" t="s">
        <v>91</v>
      </c>
    </row>
    <row r="30" spans="1:8" ht="15.75" x14ac:dyDescent="0.2">
      <c r="B30" s="52"/>
      <c r="C30" s="52"/>
      <c r="D30" s="52"/>
      <c r="E30" s="53"/>
      <c r="F30" s="52"/>
      <c r="G30" s="52"/>
    </row>
    <row r="31" spans="1:8" ht="15.75" x14ac:dyDescent="0.2">
      <c r="B31" s="52"/>
      <c r="C31" s="52"/>
      <c r="D31" s="52"/>
      <c r="E31" s="53"/>
      <c r="F31" s="52"/>
      <c r="G31" s="52"/>
    </row>
    <row r="32" spans="1:8" ht="15.75" x14ac:dyDescent="0.2">
      <c r="B32" s="52"/>
      <c r="C32" s="52"/>
      <c r="D32" s="52"/>
      <c r="E32" s="53"/>
      <c r="F32" s="52"/>
      <c r="G32" s="52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3"/>
  <sheetViews>
    <sheetView workbookViewId="0">
      <selection activeCell="A2" sqref="A2:G2"/>
    </sheetView>
  </sheetViews>
  <sheetFormatPr defaultRowHeight="12" x14ac:dyDescent="0.2"/>
  <cols>
    <col min="1" max="1" width="21" style="3" customWidth="1"/>
    <col min="2" max="7" width="14.28515625" style="3" customWidth="1"/>
    <col min="8" max="16384" width="9.140625" style="3"/>
  </cols>
  <sheetData>
    <row r="2" spans="1:7" ht="18" customHeight="1" x14ac:dyDescent="0.2">
      <c r="A2" s="165" t="s">
        <v>100</v>
      </c>
      <c r="B2" s="165"/>
      <c r="C2" s="165"/>
      <c r="D2" s="165"/>
      <c r="E2" s="165"/>
      <c r="F2" s="165"/>
      <c r="G2" s="165"/>
    </row>
    <row r="3" spans="1:7" x14ac:dyDescent="0.2">
      <c r="A3" s="73"/>
      <c r="B3" s="73"/>
      <c r="C3" s="73"/>
      <c r="D3" s="73"/>
      <c r="E3" s="73"/>
      <c r="F3" s="73"/>
      <c r="G3" s="73"/>
    </row>
    <row r="4" spans="1:7" ht="13.5" customHeight="1" x14ac:dyDescent="0.2">
      <c r="A4" s="4"/>
      <c r="B4" s="4"/>
      <c r="C4" s="4"/>
      <c r="D4" s="4"/>
      <c r="E4" s="4"/>
      <c r="F4" s="4"/>
      <c r="G4" s="4"/>
    </row>
    <row r="5" spans="1:7" ht="13.5" customHeight="1" x14ac:dyDescent="0.2">
      <c r="A5" s="4"/>
      <c r="B5" s="4"/>
      <c r="C5" s="4"/>
      <c r="D5" s="4"/>
      <c r="E5" s="4"/>
      <c r="F5" s="4"/>
      <c r="G5" s="4"/>
    </row>
    <row r="6" spans="1:7" ht="13.5" customHeight="1" x14ac:dyDescent="0.2">
      <c r="A6" s="4"/>
      <c r="B6" s="4"/>
      <c r="C6" s="4"/>
      <c r="D6" s="4"/>
      <c r="E6" s="4"/>
      <c r="F6" s="4"/>
      <c r="G6" s="4"/>
    </row>
    <row r="7" spans="1:7" ht="13.5" customHeight="1" x14ac:dyDescent="0.2">
      <c r="A7" s="4"/>
      <c r="B7" s="4"/>
      <c r="C7" s="4"/>
      <c r="D7" s="4"/>
      <c r="E7" s="4"/>
      <c r="F7" s="4"/>
      <c r="G7" s="4"/>
    </row>
    <row r="8" spans="1:7" ht="13.5" customHeight="1" x14ac:dyDescent="0.2">
      <c r="A8" s="4"/>
      <c r="B8" s="4"/>
      <c r="C8" s="4"/>
      <c r="D8" s="4"/>
      <c r="E8" s="4"/>
      <c r="F8" s="4"/>
      <c r="G8" s="4"/>
    </row>
    <row r="9" spans="1:7" ht="13.5" customHeight="1" x14ac:dyDescent="0.2">
      <c r="A9" s="4"/>
      <c r="B9" s="4"/>
      <c r="C9" s="4"/>
      <c r="D9" s="4"/>
      <c r="E9" s="4"/>
      <c r="F9" s="4"/>
      <c r="G9" s="4"/>
    </row>
    <row r="10" spans="1:7" ht="13.5" customHeight="1" x14ac:dyDescent="0.2">
      <c r="A10" s="4"/>
      <c r="B10" s="4"/>
      <c r="C10" s="4"/>
      <c r="D10" s="4"/>
      <c r="E10" s="4"/>
      <c r="F10" s="4"/>
      <c r="G10" s="4"/>
    </row>
    <row r="11" spans="1:7" ht="13.5" customHeight="1" x14ac:dyDescent="0.2">
      <c r="A11" s="4"/>
      <c r="B11" s="4"/>
      <c r="C11" s="4"/>
      <c r="D11" s="4"/>
      <c r="E11" s="4"/>
      <c r="F11" s="4"/>
      <c r="G11" s="4"/>
    </row>
    <row r="12" spans="1:7" ht="13.5" customHeight="1" x14ac:dyDescent="0.2">
      <c r="A12" s="4"/>
      <c r="B12" s="4"/>
      <c r="C12" s="4"/>
      <c r="D12" s="4"/>
      <c r="E12" s="4"/>
      <c r="F12" s="4"/>
      <c r="G12" s="4"/>
    </row>
    <row r="13" spans="1:7" ht="13.5" customHeight="1" x14ac:dyDescent="0.2">
      <c r="A13" s="4"/>
      <c r="B13" s="4"/>
      <c r="C13" s="4"/>
      <c r="D13" s="4"/>
      <c r="E13" s="4"/>
      <c r="F13" s="4"/>
      <c r="G13" s="4"/>
    </row>
    <row r="14" spans="1:7" ht="13.5" customHeight="1" x14ac:dyDescent="0.2">
      <c r="A14" s="4"/>
      <c r="B14" s="4"/>
      <c r="C14" s="4"/>
      <c r="D14" s="4"/>
      <c r="E14" s="4"/>
      <c r="F14" s="4"/>
      <c r="G14" s="4"/>
    </row>
    <row r="15" spans="1:7" ht="13.5" customHeight="1" x14ac:dyDescent="0.2">
      <c r="A15" s="4"/>
      <c r="B15" s="4"/>
      <c r="C15" s="4"/>
      <c r="D15" s="4"/>
      <c r="E15" s="4"/>
      <c r="F15" s="4"/>
      <c r="G15" s="4"/>
    </row>
    <row r="16" spans="1:7" ht="13.5" customHeight="1" x14ac:dyDescent="0.2">
      <c r="A16" s="4"/>
      <c r="B16" s="4"/>
      <c r="C16" s="4"/>
      <c r="D16" s="4"/>
      <c r="E16" s="4"/>
      <c r="F16" s="4"/>
      <c r="G16" s="4"/>
    </row>
    <row r="17" spans="1:7" ht="13.5" customHeight="1" x14ac:dyDescent="0.2">
      <c r="A17" s="4"/>
      <c r="B17" s="4"/>
      <c r="C17" s="4"/>
      <c r="D17" s="4"/>
      <c r="E17" s="4"/>
      <c r="F17" s="4"/>
      <c r="G17" s="4"/>
    </row>
    <row r="18" spans="1:7" ht="13.5" customHeight="1" x14ac:dyDescent="0.2">
      <c r="A18" s="4"/>
      <c r="B18" s="4"/>
      <c r="C18" s="4"/>
      <c r="D18" s="4"/>
      <c r="E18" s="4"/>
      <c r="F18" s="4"/>
      <c r="G18" s="4"/>
    </row>
    <row r="19" spans="1:7" ht="13.5" customHeight="1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ht="13.5" customHeight="1" x14ac:dyDescent="0.2">
      <c r="A21" s="4"/>
      <c r="B21" s="4"/>
      <c r="C21" s="4"/>
      <c r="D21" s="4"/>
      <c r="E21" s="4"/>
      <c r="F21" s="4"/>
      <c r="G21" s="4"/>
    </row>
    <row r="22" spans="1:7" ht="13.5" customHeight="1" x14ac:dyDescent="0.2">
      <c r="A22" s="5"/>
    </row>
    <row r="23" spans="1:7" ht="13.5" customHeight="1" x14ac:dyDescent="0.2">
      <c r="A23" s="5"/>
    </row>
    <row r="24" spans="1:7" ht="14.25" customHeight="1" x14ac:dyDescent="0.2">
      <c r="A24" s="5"/>
    </row>
    <row r="25" spans="1:7" ht="29.25" customHeight="1" x14ac:dyDescent="0.2">
      <c r="A25" s="37"/>
      <c r="B25" s="9">
        <v>2018</v>
      </c>
      <c r="C25" s="9">
        <v>2019</v>
      </c>
      <c r="D25" s="9">
        <v>2020</v>
      </c>
      <c r="E25" s="9">
        <v>2021</v>
      </c>
      <c r="F25" s="9">
        <v>2022</v>
      </c>
      <c r="G25" s="9">
        <v>2023</v>
      </c>
    </row>
    <row r="26" spans="1:7" x14ac:dyDescent="0.2">
      <c r="A26" s="116" t="s">
        <v>33</v>
      </c>
      <c r="B26" s="111">
        <f>IF(OR(792137.25516="",792137.25516="***"),"-",792137.25516/2706173.30142*100)</f>
        <v>29.271490290157871</v>
      </c>
      <c r="C26" s="111">
        <f>IF(765414.78791="","-",765414.78791/2779164.46518*100)</f>
        <v>27.541183600317293</v>
      </c>
      <c r="D26" s="111">
        <f>IF(706674.1093="","-",706674.1093/2467106.07968*100)</f>
        <v>28.643847750221603</v>
      </c>
      <c r="E26" s="111">
        <f>IF(833476.92972="","-",833476.92972/3144504.53867*100)</f>
        <v>26.505826894831813</v>
      </c>
      <c r="F26" s="111">
        <f>IF(1240798.375="","-",1240798.375/4332145.11781*100)</f>
        <v>28.641662300252129</v>
      </c>
      <c r="G26" s="112">
        <f>IF(1420814.92733="","-",1420814.92733/4048616.5172*100)</f>
        <v>35.093838136900843</v>
      </c>
    </row>
    <row r="27" spans="1:7" x14ac:dyDescent="0.2">
      <c r="A27" s="117" t="s">
        <v>38</v>
      </c>
      <c r="B27" s="101">
        <f>IF(OR(80275.94023="",80275.94023="***"),"-",80275.94023/2706173.30142*100)</f>
        <v>2.9664005696855078</v>
      </c>
      <c r="C27" s="101">
        <f>IF(80160.14641="","-",80160.14641/2779164.46518*100)</f>
        <v>2.8843253939924072</v>
      </c>
      <c r="D27" s="101">
        <f>IF(69480.88574="","-",69480.88574/2467106.07968*100)</f>
        <v>2.8162909699047933</v>
      </c>
      <c r="E27" s="101">
        <f>IF(92766.58175="","-",92766.58175/3144504.53867*100)</f>
        <v>2.9501175975162228</v>
      </c>
      <c r="F27" s="101">
        <f>IF(720033.44962="","-",720033.44962/4332145.11781*100)</f>
        <v>16.620713989008607</v>
      </c>
      <c r="G27" s="113">
        <f>IF(595302.73264="","-",595302.73264/4048616.5172*100)</f>
        <v>14.703855751981862</v>
      </c>
    </row>
    <row r="28" spans="1:7" x14ac:dyDescent="0.2">
      <c r="A28" s="117" t="s">
        <v>36</v>
      </c>
      <c r="B28" s="101">
        <f>IF(OR(309606.99167="",309606.99167="***"),"-",309606.99167/2706173.30142*100)</f>
        <v>11.44076735616086</v>
      </c>
      <c r="C28" s="101">
        <f>IF(267051.6788="","-",267051.6788/2779164.46518*100)</f>
        <v>9.6090635205607988</v>
      </c>
      <c r="D28" s="101">
        <f>IF(213726.23884="","-",213726.23884/2467106.07968*100)</f>
        <v>8.6630340138321777</v>
      </c>
      <c r="E28" s="101">
        <f>IF(240059.08368="","-",240059.08368/3144504.53867*100)</f>
        <v>7.6342419203991803</v>
      </c>
      <c r="F28" s="101">
        <f>IF(331143.47353="","-",331143.47353/4332145.11781*100)</f>
        <v>7.6438684421864602</v>
      </c>
      <c r="G28" s="113">
        <f>IF(260020.65744="","-",260020.65744/4048616.5172*100)</f>
        <v>6.4224570624394133</v>
      </c>
    </row>
    <row r="29" spans="1:7" x14ac:dyDescent="0.2">
      <c r="A29" s="117" t="s">
        <v>34</v>
      </c>
      <c r="B29" s="101">
        <f>IF(OR(219902.73735="",219902.73735="***"),"-",219902.73735/2706173.30142*100)</f>
        <v>8.1259665533841208</v>
      </c>
      <c r="C29" s="101">
        <f>IF(245960.38245="","-",245960.38245/2779164.46518*100)</f>
        <v>8.8501557044077188</v>
      </c>
      <c r="D29" s="101">
        <f>IF(225600.61639="","-",225600.61639/2467106.07968*100)</f>
        <v>9.1443419578967564</v>
      </c>
      <c r="E29" s="101">
        <f>IF(245445.88827="","-",245445.88827/3144504.53867*100)</f>
        <v>7.8055504532301869</v>
      </c>
      <c r="F29" s="101">
        <f>IF(230789.25857="","-",230789.25857/4332145.11781*100)</f>
        <v>5.3273667500471298</v>
      </c>
      <c r="G29" s="113">
        <f>IF(221316.05744="","-",221316.05744/4048616.5172*100)</f>
        <v>5.4664613578433183</v>
      </c>
    </row>
    <row r="30" spans="1:7" x14ac:dyDescent="0.2">
      <c r="A30" s="117" t="s">
        <v>57</v>
      </c>
      <c r="B30" s="101">
        <f>IF(OR(42723.27087="",42723.27087="***"),"-",42723.27087/2706173.30142*100)</f>
        <v>1.5787337362164495</v>
      </c>
      <c r="C30" s="101">
        <f>IF(64817.8432="","-",64817.8432/2779164.46518*100)</f>
        <v>2.3322780645801724</v>
      </c>
      <c r="D30" s="101">
        <f>IF(80461.43231="","-",80461.43231/2467106.07968*100)</f>
        <v>3.2613689769041625</v>
      </c>
      <c r="E30" s="101">
        <f>IF(79000.73983="","-",79000.73983/3144504.53867*100)</f>
        <v>2.5123430053439888</v>
      </c>
      <c r="F30" s="101">
        <f>IF(104112.41048="","-",104112.41048/4332145.11781*100)</f>
        <v>2.4032530686006028</v>
      </c>
      <c r="G30" s="113">
        <f>IF(160918.56031="","-",160918.56031/4048616.5172*100)</f>
        <v>3.974655530509231</v>
      </c>
    </row>
    <row r="31" spans="1:7" x14ac:dyDescent="0.2">
      <c r="A31" s="117" t="s">
        <v>84</v>
      </c>
      <c r="B31" s="101">
        <f>IF(OR(218571.09808="",218571.09808="***"),"-",218571.09808/2706173.30142*100)</f>
        <v>8.0767590887586547</v>
      </c>
      <c r="C31" s="101">
        <f>IF(249858.71118="","-",249858.71118/2779164.46518*100)</f>
        <v>8.9904255149512089</v>
      </c>
      <c r="D31" s="101">
        <f>IF(216833.64131="","-",216833.64131/2467106.07968*100)</f>
        <v>8.788987352263538</v>
      </c>
      <c r="E31" s="101">
        <f>IF(276067.08135="","-",276067.08135/3144504.53867*100)</f>
        <v>8.7793507039034306</v>
      </c>
      <c r="F31" s="101">
        <f>IF(190090.60558="","-",190090.60558/4332145.11781*100)</f>
        <v>4.3879094631090112</v>
      </c>
      <c r="G31" s="113">
        <f>IF(144096.97363="","-",144096.97363/4048616.5172*100)</f>
        <v>3.5591657796638301</v>
      </c>
    </row>
    <row r="32" spans="1:7" x14ac:dyDescent="0.2">
      <c r="A32" s="117" t="s">
        <v>35</v>
      </c>
      <c r="B32" s="101">
        <f>IF(OR(107124.79787="",107124.79787="***"),"-",107124.79787/2706173.30142*100)</f>
        <v>3.958534282109309</v>
      </c>
      <c r="C32" s="101">
        <f>IF(175543.37425="","-",175543.37425/2779164.46518*100)</f>
        <v>6.3164082748384764</v>
      </c>
      <c r="D32" s="101">
        <f>IF(171687.12764="","-",171687.12764/2467106.07968*100)</f>
        <v>6.9590492704824811</v>
      </c>
      <c r="E32" s="101">
        <f>IF(313959.59291="","-",313959.59291/3144504.53867*100)</f>
        <v>9.9843898792015224</v>
      </c>
      <c r="F32" s="101">
        <f>IF(304925.15988="","-",304925.15988/4332145.11781*100)</f>
        <v>7.0386644857858949</v>
      </c>
      <c r="G32" s="113">
        <f>IF(142318.20935="","-",142318.20935/4048616.5172*100)</f>
        <v>3.5152306657195194</v>
      </c>
    </row>
    <row r="33" spans="1:7" x14ac:dyDescent="0.2">
      <c r="A33" s="117" t="s">
        <v>37</v>
      </c>
      <c r="B33" s="101">
        <f>IF(OR(98055.76385="",98055.76385="***"),"-",98055.76385/2706173.30142*100)</f>
        <v>3.6234103632072481</v>
      </c>
      <c r="C33" s="101">
        <f>IF(113039.83757="","-",113039.83757/2779164.46518*100)</f>
        <v>4.0674036742434634</v>
      </c>
      <c r="D33" s="101">
        <f>IF(109763.99893="","-",109763.99893/2467106.07968*100)</f>
        <v>4.4490992841392991</v>
      </c>
      <c r="E33" s="101">
        <f>IF(108508.15569="","-",108508.15569/3144504.53867*100)</f>
        <v>3.4507234559723239</v>
      </c>
      <c r="F33" s="101">
        <f>IF(122380.44825="","-",122380.44825/4332145.11781*100)</f>
        <v>2.8249387987230254</v>
      </c>
      <c r="G33" s="113">
        <f>IF(133581.75232="","-",133581.75232/4048616.5172*100)</f>
        <v>3.2994419637546799</v>
      </c>
    </row>
    <row r="34" spans="1:7" x14ac:dyDescent="0.2">
      <c r="A34" s="117" t="s">
        <v>42</v>
      </c>
      <c r="B34" s="101">
        <f>IF(OR(48413.00075="",48413.00075="***"),"-",48413.00075/2706173.30142*100)</f>
        <v>1.7889837552013552</v>
      </c>
      <c r="C34" s="101">
        <f>IF(62957.59931="","-",62957.59931/2779164.46518*100)</f>
        <v>2.265342699174242</v>
      </c>
      <c r="D34" s="101">
        <f>IF(58158.27616="","-",58158.27616/2467106.07968*100)</f>
        <v>2.3573480134888856</v>
      </c>
      <c r="E34" s="101">
        <f>IF(77766.04431="","-",77766.04431/3144504.53867*100)</f>
        <v>2.4730778204852562</v>
      </c>
      <c r="F34" s="101">
        <f>IF(142130.8321="","-",142130.8321/4332145.11781*100)</f>
        <v>3.2808418978321403</v>
      </c>
      <c r="G34" s="113">
        <f>IF(86135.70018="","-",86135.70018/4048616.5172*100)</f>
        <v>2.1275341789982853</v>
      </c>
    </row>
    <row r="35" spans="1:7" x14ac:dyDescent="0.2">
      <c r="A35" s="117" t="s">
        <v>39</v>
      </c>
      <c r="B35" s="101">
        <f>IF(OR(87234.06028="",87234.06028="***"),"-",87234.06028/2706173.30142*100)</f>
        <v>3.2235208378645228</v>
      </c>
      <c r="C35" s="101">
        <f>IF(80423.39978="","-",80423.39978/2779164.46518*100)</f>
        <v>2.8937977866232965</v>
      </c>
      <c r="D35" s="101">
        <f>IF(65881.91475="","-",65881.91475/2467106.07968*100)</f>
        <v>2.6704127273905187</v>
      </c>
      <c r="E35" s="101">
        <f>IF(67811.3222="","-",67811.3222/3144504.53867*100)</f>
        <v>2.1565026021136378</v>
      </c>
      <c r="F35" s="101">
        <f>IF(81160.6677="","-",81160.6677/4332145.11781*100)</f>
        <v>1.8734521926871326</v>
      </c>
      <c r="G35" s="113">
        <f>IF(84063.6571="","-",84063.6571/4048616.5172*100)</f>
        <v>2.0763551386718628</v>
      </c>
    </row>
    <row r="36" spans="1:7" x14ac:dyDescent="0.2">
      <c r="A36" s="117" t="s">
        <v>58</v>
      </c>
      <c r="B36" s="101">
        <f>IF(OR(21768.70865="",21768.70865="***"),"-",21768.70865/2706173.30142*100)</f>
        <v>0.80440926080297181</v>
      </c>
      <c r="C36" s="101">
        <f>IF(24335.80652="","-",24335.80652/2779164.46518*100)</f>
        <v>0.87565190275357907</v>
      </c>
      <c r="D36" s="101">
        <f>IF(25681.56647="","-",25681.56647/2467106.07968*100)</f>
        <v>1.0409591497310513</v>
      </c>
      <c r="E36" s="101">
        <f>IF(31732.32781="","-",31732.32781/3144504.53867*100)</f>
        <v>1.0091360155397169</v>
      </c>
      <c r="F36" s="101">
        <f>IF(51492.9071="","-",51492.9071/4332145.11781*100)</f>
        <v>1.1886237810526268</v>
      </c>
      <c r="G36" s="113">
        <f>IF(61636.2274="","-",61636.2274/4048616.5172*100)</f>
        <v>1.5224022116727238</v>
      </c>
    </row>
    <row r="37" spans="1:7" x14ac:dyDescent="0.2">
      <c r="A37" s="117" t="s">
        <v>41</v>
      </c>
      <c r="B37" s="101">
        <f>IF(OR(25558.1734="",25558.1734="***"),"-",25558.1734/2706173.30142*100)</f>
        <v>0.94443964052815677</v>
      </c>
      <c r="C37" s="101">
        <f>IF(38145.47781="","-",38145.47781/2779164.46518*100)</f>
        <v>1.3725520129493094</v>
      </c>
      <c r="D37" s="101">
        <f>IF(34662.53935="","-",34662.53935/2467106.07968*100)</f>
        <v>1.4049877966534767</v>
      </c>
      <c r="E37" s="101">
        <f>IF(62797.90029="","-",62797.90029/3144504.53867*100)</f>
        <v>1.9970682032012903</v>
      </c>
      <c r="F37" s="101">
        <f>IF(42925.47806="","-",42925.47806/4332145.11781*100)</f>
        <v>0.99085965249704822</v>
      </c>
      <c r="G37" s="113">
        <f>IF(55214.90797="","-",55214.90797/4048616.5172*100)</f>
        <v>1.36379693496351</v>
      </c>
    </row>
    <row r="38" spans="1:7" x14ac:dyDescent="0.2">
      <c r="A38" s="117" t="s">
        <v>73</v>
      </c>
      <c r="B38" s="101">
        <f>IF(OR(37495.8782="",37495.8782="***"),"-",37495.8782/2706173.30142*100)</f>
        <v>1.3855682553783577</v>
      </c>
      <c r="C38" s="101">
        <f>IF(37885.94716="","-",37885.94716/2779164.46518*100)</f>
        <v>1.3632135713690561</v>
      </c>
      <c r="D38" s="101">
        <f>IF(35958.30808="","-",35958.30808/2467106.07968*100)</f>
        <v>1.4575096051266687</v>
      </c>
      <c r="E38" s="101">
        <f>IF(35829.53069="","-",35829.53069/3144504.53867*100)</f>
        <v>1.1394332636312385</v>
      </c>
      <c r="F38" s="101">
        <f>IF(64271.27278="","-",64271.27278/4332145.11781*100)</f>
        <v>1.4835900236991744</v>
      </c>
      <c r="G38" s="113">
        <f>IF(47328.14082="","-",47328.14082/4048616.5172*100)</f>
        <v>1.1689953992662132</v>
      </c>
    </row>
    <row r="39" spans="1:7" x14ac:dyDescent="0.2">
      <c r="A39" s="117" t="s">
        <v>40</v>
      </c>
      <c r="B39" s="101">
        <f>IF(OR(8233.02862="",8233.02862="***"),"-",8233.02862/2706173.30142*100)</f>
        <v>0.30423138886485629</v>
      </c>
      <c r="C39" s="101">
        <f>IF(11132.94197="","-",11132.94197/2779164.46518*100)</f>
        <v>0.40058593543073912</v>
      </c>
      <c r="D39" s="101">
        <f>IF(27269.74917="","-",27269.74917/2467106.07968*100)</f>
        <v>1.1053334671988271</v>
      </c>
      <c r="E39" s="101">
        <f>IF(41801.2056="","-",41801.2056/3144504.53867*100)</f>
        <v>1.3293415571815408</v>
      </c>
      <c r="F39" s="101">
        <f>IF(52815.40376="","-",52815.40376/4332145.11781*100)</f>
        <v>1.2191513055014975</v>
      </c>
      <c r="G39" s="113">
        <f>IF(46356.31154="","-",46356.31154/4048616.5172*100)</f>
        <v>1.1449914147971654</v>
      </c>
    </row>
    <row r="40" spans="1:7" x14ac:dyDescent="0.2">
      <c r="A40" s="117" t="s">
        <v>80</v>
      </c>
      <c r="B40" s="101">
        <f>IF(OR(16118.54397="",16118.54397="***"),"-",16118.54397/2706173.30142*100)</f>
        <v>0.59562127678749099</v>
      </c>
      <c r="C40" s="101">
        <f>IF(9951.72678="","-",9951.72678/2779164.46518*100)</f>
        <v>0.35808340617061868</v>
      </c>
      <c r="D40" s="101">
        <f>IF(13841.56253="","-",13841.56253/2467106.07968*100)</f>
        <v>0.56104448219735004</v>
      </c>
      <c r="E40" s="101">
        <f>IF(13978.1634="","-",13978.1634/3144504.53867*100)</f>
        <v>0.44452673634594925</v>
      </c>
      <c r="F40" s="101">
        <f>IF(28542.69294="","-",28542.69294/4332145.11781*100)</f>
        <v>0.65885819066072737</v>
      </c>
      <c r="G40" s="113">
        <f>IF(41113.15918="","-",41113.15918/4048616.5172*100)</f>
        <v>1.0154866237722515</v>
      </c>
    </row>
    <row r="41" spans="1:7" x14ac:dyDescent="0.2">
      <c r="A41" s="117" t="s">
        <v>56</v>
      </c>
      <c r="B41" s="101">
        <f>IF(OR(37443.4421="",37443.4421="***"),"-",37443.4421/2706173.30142*100)</f>
        <v>1.3836306078532534</v>
      </c>
      <c r="C41" s="101">
        <f>IF(39276.09025="","-",39276.09025/2779164.46518*100)</f>
        <v>1.413233752161414</v>
      </c>
      <c r="D41" s="101">
        <f>IF(27039.61827="","-",27039.61827/2467106.07968*100)</f>
        <v>1.0960054978060456</v>
      </c>
      <c r="E41" s="101">
        <f>IF(44501.64637="","-",44501.64637/3144504.53867*100)</f>
        <v>1.4152196577468583</v>
      </c>
      <c r="F41" s="101">
        <f>IF(33041.68706="","-",33041.68706/4332145.11781*100)</f>
        <v>0.7627096083222471</v>
      </c>
      <c r="G41" s="113">
        <f>IF(40049.63478="","-",40049.63478/4048616.5172*100)</f>
        <v>0.98921778859159759</v>
      </c>
    </row>
    <row r="42" spans="1:7" x14ac:dyDescent="0.2">
      <c r="A42" s="117" t="s">
        <v>93</v>
      </c>
      <c r="B42" s="101">
        <f>IF(OR(78819.44556="",78819.44556="***"),"-",78819.44556/2706173.30142*100)</f>
        <v>2.9125793798439061</v>
      </c>
      <c r="C42" s="101">
        <f>IF(49936.12554="","-",49936.12554/2779164.46518*100)</f>
        <v>1.796803541699205</v>
      </c>
      <c r="D42" s="101">
        <f>IF(42764.58253="","-",42764.58253/2467106.07968*100)</f>
        <v>1.7333905048601255</v>
      </c>
      <c r="E42" s="101">
        <f>IF(65377.83267="","-",65377.83267/3144504.53867*100)</f>
        <v>2.0791139547107225</v>
      </c>
      <c r="F42" s="101">
        <f>IF(62005.76198="","-",62005.76198/4332145.11781*100)</f>
        <v>1.4312946656631245</v>
      </c>
      <c r="G42" s="113">
        <f>IF(39725.84992="","-",39725.84992/4048616.5172*100)</f>
        <v>0.98122036876622154</v>
      </c>
    </row>
    <row r="43" spans="1:7" ht="12" customHeight="1" x14ac:dyDescent="0.2">
      <c r="A43" s="118" t="s">
        <v>85</v>
      </c>
      <c r="B43" s="114">
        <f>IF(OR(48358.65056="",48358.65056="***"),"-",48358.65056/2706173.30142*100)</f>
        <v>1.7869753771728127</v>
      </c>
      <c r="C43" s="114">
        <f>IF(36009.6745="","-",36009.6745/2779164.46518*100)</f>
        <v>1.2957014581599344</v>
      </c>
      <c r="D43" s="114">
        <f>IF(29629.16883="","-",29629.16883/2467106.07968*100)</f>
        <v>1.2009685790990834</v>
      </c>
      <c r="E43" s="114">
        <f>IF(32473.89831="","-",32473.89831/3144504.53867*100)</f>
        <v>1.0327190789724592</v>
      </c>
      <c r="F43" s="114">
        <f>IF(37930.45317="","-",37930.45317/4332145.11781*100)</f>
        <v>0.87555823128045929</v>
      </c>
      <c r="G43" s="115">
        <f>IF(39630.46756="","-",39630.46756/4048616.5172*100)</f>
        <v>0.97886444398068606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58"/>
  <sheetViews>
    <sheetView zoomScaleNormal="100"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2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ht="15" customHeight="1" x14ac:dyDescent="0.2">
      <c r="A2" s="167" t="s">
        <v>101</v>
      </c>
      <c r="B2" s="167"/>
      <c r="C2" s="167"/>
      <c r="D2" s="167"/>
      <c r="E2" s="167"/>
      <c r="F2" s="167"/>
      <c r="G2" s="167"/>
    </row>
    <row r="3" spans="1:8" ht="15" customHeight="1" x14ac:dyDescent="0.2">
      <c r="A3" s="96"/>
      <c r="B3" s="96"/>
      <c r="C3" s="96"/>
      <c r="D3" s="96"/>
      <c r="E3" s="96"/>
      <c r="F3" s="96"/>
      <c r="G3" s="96"/>
    </row>
    <row r="4" spans="1:8" ht="15" customHeight="1" x14ac:dyDescent="0.2">
      <c r="A4" s="48"/>
      <c r="B4" s="48"/>
      <c r="C4" s="48"/>
      <c r="D4" s="48"/>
      <c r="E4" s="48"/>
      <c r="F4" s="48"/>
      <c r="G4" s="48"/>
    </row>
    <row r="5" spans="1:8" ht="15" customHeight="1" x14ac:dyDescent="0.2">
      <c r="A5" s="48"/>
      <c r="B5" s="48"/>
      <c r="C5" s="48"/>
      <c r="D5" s="48"/>
      <c r="E5" s="48"/>
      <c r="F5" s="48"/>
      <c r="G5" s="48"/>
    </row>
    <row r="6" spans="1:8" x14ac:dyDescent="0.2">
      <c r="A6" s="166"/>
      <c r="B6" s="166"/>
      <c r="C6" s="166"/>
      <c r="D6" s="166"/>
      <c r="E6" s="166"/>
      <c r="F6" s="166"/>
      <c r="G6" s="166"/>
      <c r="H6" s="166"/>
    </row>
    <row r="28" spans="1:6" x14ac:dyDescent="0.2">
      <c r="A28" s="134">
        <v>2022</v>
      </c>
      <c r="B28" s="37" t="s">
        <v>44</v>
      </c>
    </row>
    <row r="29" spans="1:6" ht="15" x14ac:dyDescent="0.2">
      <c r="A29" s="138" t="s">
        <v>64</v>
      </c>
      <c r="B29" s="136">
        <v>12.2</v>
      </c>
      <c r="C29" s="103"/>
      <c r="D29" s="93"/>
      <c r="E29" s="94"/>
      <c r="F29" s="94"/>
    </row>
    <row r="30" spans="1:6" ht="15" x14ac:dyDescent="0.2">
      <c r="A30" s="139" t="s">
        <v>59</v>
      </c>
      <c r="B30" s="137">
        <v>10.1</v>
      </c>
      <c r="C30" s="103"/>
      <c r="D30" s="93"/>
      <c r="E30" s="94"/>
      <c r="F30" s="94"/>
    </row>
    <row r="31" spans="1:6" ht="15" x14ac:dyDescent="0.2">
      <c r="A31" s="139" t="s">
        <v>78</v>
      </c>
      <c r="B31" s="137">
        <v>12.9</v>
      </c>
      <c r="C31" s="103"/>
      <c r="D31" s="93"/>
      <c r="E31" s="94"/>
      <c r="F31" s="94"/>
    </row>
    <row r="32" spans="1:6" ht="15" x14ac:dyDescent="0.2">
      <c r="A32" s="139" t="s">
        <v>60</v>
      </c>
      <c r="B32" s="137">
        <v>8.3000000000000007</v>
      </c>
      <c r="C32" s="103"/>
      <c r="D32" s="93"/>
      <c r="E32" s="94"/>
      <c r="F32" s="94"/>
    </row>
    <row r="33" spans="1:6" ht="15" x14ac:dyDescent="0.2">
      <c r="A33" s="139" t="s">
        <v>66</v>
      </c>
      <c r="B33" s="137">
        <v>6.8</v>
      </c>
      <c r="C33" s="103"/>
      <c r="D33" s="93"/>
      <c r="E33" s="94"/>
      <c r="F33" s="94"/>
    </row>
    <row r="34" spans="1:6" ht="15" x14ac:dyDescent="0.2">
      <c r="A34" s="139" t="s">
        <v>61</v>
      </c>
      <c r="B34" s="137">
        <v>9</v>
      </c>
      <c r="C34" s="103"/>
      <c r="D34" s="93"/>
      <c r="E34" s="94"/>
      <c r="F34" s="94"/>
    </row>
    <row r="35" spans="1:6" ht="15" x14ac:dyDescent="0.2">
      <c r="A35" s="139" t="s">
        <v>62</v>
      </c>
      <c r="B35" s="137">
        <v>8.6999999999999993</v>
      </c>
      <c r="C35" s="103"/>
      <c r="D35" s="93"/>
      <c r="E35" s="94"/>
      <c r="F35" s="94"/>
    </row>
    <row r="36" spans="1:6" ht="15" x14ac:dyDescent="0.2">
      <c r="A36" s="139" t="s">
        <v>68</v>
      </c>
      <c r="B36" s="137">
        <v>4.2</v>
      </c>
      <c r="C36" s="103"/>
      <c r="D36" s="93"/>
      <c r="E36" s="94"/>
      <c r="F36" s="94"/>
    </row>
    <row r="37" spans="1:6" ht="15" x14ac:dyDescent="0.2">
      <c r="A37" s="139" t="s">
        <v>65</v>
      </c>
      <c r="B37" s="137">
        <v>3.4</v>
      </c>
      <c r="C37" s="103"/>
      <c r="D37" s="93"/>
      <c r="E37" s="94"/>
      <c r="F37" s="94"/>
    </row>
    <row r="38" spans="1:6" ht="15" x14ac:dyDescent="0.2">
      <c r="A38" s="139" t="s">
        <v>75</v>
      </c>
      <c r="B38" s="137">
        <v>2.2000000000000002</v>
      </c>
      <c r="C38" s="103"/>
      <c r="D38" s="93"/>
      <c r="E38" s="94"/>
      <c r="F38" s="94"/>
    </row>
    <row r="39" spans="1:6" ht="15" x14ac:dyDescent="0.2">
      <c r="A39" s="139" t="s">
        <v>77</v>
      </c>
      <c r="B39" s="137">
        <v>2.1</v>
      </c>
      <c r="C39" s="103"/>
      <c r="D39" s="93"/>
      <c r="E39" s="94"/>
      <c r="F39" s="94"/>
    </row>
    <row r="40" spans="1:6" ht="15" x14ac:dyDescent="0.2">
      <c r="A40" s="139" t="s">
        <v>92</v>
      </c>
      <c r="B40" s="137">
        <v>1.2</v>
      </c>
      <c r="C40" s="103"/>
      <c r="D40" s="93"/>
      <c r="E40" s="94"/>
      <c r="F40" s="94"/>
    </row>
    <row r="41" spans="1:6" ht="15" x14ac:dyDescent="0.2">
      <c r="A41" s="139" t="s">
        <v>71</v>
      </c>
      <c r="B41" s="137">
        <v>2.2000000000000002</v>
      </c>
      <c r="C41" s="101"/>
      <c r="D41" s="93"/>
      <c r="E41" s="95"/>
      <c r="F41" s="95"/>
    </row>
    <row r="42" spans="1:6" ht="15" x14ac:dyDescent="0.2">
      <c r="A42" s="140" t="s">
        <v>67</v>
      </c>
      <c r="B42" s="12">
        <v>16.7</v>
      </c>
      <c r="C42" s="101"/>
      <c r="D42" s="135"/>
      <c r="E42" s="95"/>
      <c r="F42" s="95"/>
    </row>
    <row r="43" spans="1:6" x14ac:dyDescent="0.2">
      <c r="A43" s="59"/>
      <c r="B43" s="77"/>
    </row>
    <row r="44" spans="1:6" x14ac:dyDescent="0.2">
      <c r="A44" s="134">
        <v>2023</v>
      </c>
      <c r="B44" s="27" t="s">
        <v>44</v>
      </c>
    </row>
    <row r="45" spans="1:6" ht="15" x14ac:dyDescent="0.2">
      <c r="A45" s="139" t="s">
        <v>64</v>
      </c>
      <c r="B45" s="137">
        <v>15.4</v>
      </c>
      <c r="D45" s="94"/>
    </row>
    <row r="46" spans="1:6" ht="15" x14ac:dyDescent="0.2">
      <c r="A46" s="139" t="s">
        <v>59</v>
      </c>
      <c r="B46" s="137">
        <v>10.6</v>
      </c>
      <c r="D46" s="94"/>
    </row>
    <row r="47" spans="1:6" ht="15" x14ac:dyDescent="0.2">
      <c r="A47" s="139" t="s">
        <v>78</v>
      </c>
      <c r="B47" s="137">
        <v>9.8000000000000007</v>
      </c>
      <c r="D47" s="94"/>
    </row>
    <row r="48" spans="1:6" ht="15" x14ac:dyDescent="0.2">
      <c r="A48" s="139" t="s">
        <v>60</v>
      </c>
      <c r="B48" s="137">
        <v>9.5</v>
      </c>
      <c r="D48" s="94"/>
    </row>
    <row r="49" spans="1:4" ht="15" x14ac:dyDescent="0.2">
      <c r="A49" s="139" t="s">
        <v>66</v>
      </c>
      <c r="B49" s="137">
        <v>7.1</v>
      </c>
      <c r="D49" s="94"/>
    </row>
    <row r="50" spans="1:4" ht="15" x14ac:dyDescent="0.2">
      <c r="A50" s="139" t="s">
        <v>61</v>
      </c>
      <c r="B50" s="137">
        <v>7</v>
      </c>
      <c r="D50" s="94"/>
    </row>
    <row r="51" spans="1:4" ht="15" x14ac:dyDescent="0.2">
      <c r="A51" s="139" t="s">
        <v>62</v>
      </c>
      <c r="B51" s="137">
        <v>6.1</v>
      </c>
      <c r="D51" s="94"/>
    </row>
    <row r="52" spans="1:4" ht="15" x14ac:dyDescent="0.2">
      <c r="A52" s="139" t="s">
        <v>68</v>
      </c>
      <c r="B52" s="137">
        <v>5.0999999999999996</v>
      </c>
      <c r="D52" s="94"/>
    </row>
    <row r="53" spans="1:4" ht="15" x14ac:dyDescent="0.2">
      <c r="A53" s="139" t="s">
        <v>65</v>
      </c>
      <c r="B53" s="137">
        <v>3.6</v>
      </c>
      <c r="D53" s="94"/>
    </row>
    <row r="54" spans="1:4" ht="15" x14ac:dyDescent="0.2">
      <c r="A54" s="139" t="s">
        <v>75</v>
      </c>
      <c r="B54" s="137">
        <v>2.5</v>
      </c>
      <c r="D54" s="94"/>
    </row>
    <row r="55" spans="1:4" ht="15" x14ac:dyDescent="0.2">
      <c r="A55" s="139" t="s">
        <v>77</v>
      </c>
      <c r="B55" s="137">
        <v>2</v>
      </c>
      <c r="D55" s="94"/>
    </row>
    <row r="56" spans="1:4" ht="15" x14ac:dyDescent="0.2">
      <c r="A56" s="139" t="s">
        <v>92</v>
      </c>
      <c r="B56" s="137">
        <v>1.6</v>
      </c>
      <c r="D56" s="94"/>
    </row>
    <row r="57" spans="1:4" ht="15" x14ac:dyDescent="0.2">
      <c r="A57" s="139" t="s">
        <v>71</v>
      </c>
      <c r="B57" s="137">
        <v>1.5</v>
      </c>
      <c r="D57" s="95"/>
    </row>
    <row r="58" spans="1:4" x14ac:dyDescent="0.2">
      <c r="A58" s="140" t="s">
        <v>67</v>
      </c>
      <c r="B58" s="12">
        <v>18.2</v>
      </c>
    </row>
  </sheetData>
  <mergeCells count="2">
    <mergeCell ref="A6:H6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workbookViewId="0">
      <selection activeCell="A2" sqref="A2:M2"/>
    </sheetView>
  </sheetViews>
  <sheetFormatPr defaultRowHeight="12" x14ac:dyDescent="0.2"/>
  <cols>
    <col min="1" max="1" width="8.5703125" style="3" customWidth="1"/>
    <col min="2" max="2" width="9.7109375" style="3" customWidth="1"/>
    <col min="3" max="3" width="10" style="3" customWidth="1"/>
    <col min="4" max="4" width="9.5703125" style="3" customWidth="1"/>
    <col min="5" max="5" width="9.28515625" style="3" bestFit="1" customWidth="1"/>
    <col min="6" max="6" width="10.28515625" style="3" customWidth="1"/>
    <col min="7" max="7" width="9.28515625" style="3" bestFit="1" customWidth="1"/>
    <col min="8" max="8" width="10" style="3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65" t="s">
        <v>102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5" t="s">
        <v>0</v>
      </c>
      <c r="B22" s="25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374.3</v>
      </c>
      <c r="C23" s="33">
        <v>427.6</v>
      </c>
      <c r="D23" s="33">
        <v>524.1</v>
      </c>
      <c r="E23" s="33">
        <v>444.6</v>
      </c>
      <c r="F23" s="33">
        <v>505.6</v>
      </c>
      <c r="G23" s="33">
        <v>458.7</v>
      </c>
      <c r="H23" s="33">
        <v>488</v>
      </c>
      <c r="I23" s="33">
        <v>480.7</v>
      </c>
      <c r="J23" s="33">
        <v>474</v>
      </c>
      <c r="K23" s="33">
        <v>540.6</v>
      </c>
      <c r="L23" s="33">
        <v>522.6</v>
      </c>
      <c r="M23" s="34">
        <v>519.29999999999995</v>
      </c>
    </row>
    <row r="24" spans="1:13" x14ac:dyDescent="0.2">
      <c r="A24" s="28">
        <v>2019</v>
      </c>
      <c r="B24" s="33">
        <v>372.6</v>
      </c>
      <c r="C24" s="33">
        <v>459.3</v>
      </c>
      <c r="D24" s="33">
        <v>533.79999999999995</v>
      </c>
      <c r="E24" s="33">
        <v>515.6</v>
      </c>
      <c r="F24" s="33">
        <v>481.6</v>
      </c>
      <c r="G24" s="33">
        <v>445.4</v>
      </c>
      <c r="H24" s="33">
        <v>499.1</v>
      </c>
      <c r="I24" s="33">
        <v>464.3</v>
      </c>
      <c r="J24" s="33">
        <v>501.7</v>
      </c>
      <c r="K24" s="33">
        <v>525.29999999999995</v>
      </c>
      <c r="L24" s="33">
        <v>504.1</v>
      </c>
      <c r="M24" s="34">
        <v>539.70000000000005</v>
      </c>
    </row>
    <row r="25" spans="1:13" x14ac:dyDescent="0.2">
      <c r="A25" s="28">
        <v>2020</v>
      </c>
      <c r="B25" s="33">
        <v>379.8</v>
      </c>
      <c r="C25" s="33">
        <v>484.8</v>
      </c>
      <c r="D25" s="33">
        <v>500.5</v>
      </c>
      <c r="E25" s="33">
        <v>285.60000000000002</v>
      </c>
      <c r="F25" s="33">
        <v>329.4</v>
      </c>
      <c r="G25" s="33">
        <v>413.5</v>
      </c>
      <c r="H25" s="33">
        <v>496.6</v>
      </c>
      <c r="I25" s="33">
        <v>433.6</v>
      </c>
      <c r="J25" s="33">
        <v>508.3</v>
      </c>
      <c r="K25" s="33">
        <v>493.6</v>
      </c>
      <c r="L25" s="33">
        <v>522.9</v>
      </c>
      <c r="M25" s="34">
        <v>567.29999999999995</v>
      </c>
    </row>
    <row r="26" spans="1:13" x14ac:dyDescent="0.2">
      <c r="A26" s="28">
        <v>2021</v>
      </c>
      <c r="B26" s="33">
        <v>399.4</v>
      </c>
      <c r="C26" s="33">
        <v>521.4</v>
      </c>
      <c r="D26" s="33">
        <v>630.1</v>
      </c>
      <c r="E26" s="33">
        <v>562.20000000000005</v>
      </c>
      <c r="F26" s="33">
        <v>563.4</v>
      </c>
      <c r="G26" s="33">
        <v>589.6</v>
      </c>
      <c r="H26" s="33">
        <v>562</v>
      </c>
      <c r="I26" s="33">
        <v>574.9</v>
      </c>
      <c r="J26" s="33">
        <v>671.2</v>
      </c>
      <c r="K26" s="33">
        <v>646.79999999999995</v>
      </c>
      <c r="L26" s="33">
        <v>701.5</v>
      </c>
      <c r="M26" s="34">
        <v>754.2</v>
      </c>
    </row>
    <row r="27" spans="1:13" x14ac:dyDescent="0.2">
      <c r="A27" s="28">
        <v>2022</v>
      </c>
      <c r="B27" s="33">
        <v>621.70000000000005</v>
      </c>
      <c r="C27" s="33">
        <v>669.1</v>
      </c>
      <c r="D27" s="15">
        <v>748.3</v>
      </c>
      <c r="E27" s="15">
        <v>770.4</v>
      </c>
      <c r="F27" s="15">
        <v>772.7</v>
      </c>
      <c r="G27" s="33">
        <v>768.4</v>
      </c>
      <c r="H27" s="33">
        <v>761.1</v>
      </c>
      <c r="I27" s="33">
        <v>780</v>
      </c>
      <c r="J27" s="33">
        <v>844.1</v>
      </c>
      <c r="K27" s="33">
        <v>751.1</v>
      </c>
      <c r="L27" s="33">
        <v>858.3</v>
      </c>
      <c r="M27" s="34">
        <v>873.8</v>
      </c>
    </row>
    <row r="28" spans="1:13" x14ac:dyDescent="0.2">
      <c r="A28" s="29">
        <v>2023</v>
      </c>
      <c r="B28" s="10">
        <v>733.3</v>
      </c>
      <c r="C28" s="10">
        <v>752.5</v>
      </c>
      <c r="D28" s="10">
        <v>821.1</v>
      </c>
      <c r="E28" s="10">
        <v>690.6</v>
      </c>
      <c r="F28" s="10">
        <v>709.2</v>
      </c>
      <c r="G28" s="35">
        <v>665.6</v>
      </c>
      <c r="H28" s="35">
        <v>639.5</v>
      </c>
      <c r="I28" s="35">
        <v>698.9</v>
      </c>
      <c r="J28" s="35">
        <v>702.2</v>
      </c>
      <c r="K28" s="35">
        <v>713.7</v>
      </c>
      <c r="L28" s="35">
        <v>737.1</v>
      </c>
      <c r="M28" s="36">
        <v>810</v>
      </c>
    </row>
    <row r="29" spans="1:13" x14ac:dyDescent="0.2">
      <c r="E29" s="97"/>
    </row>
    <row r="30" spans="1:13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 </vt:lpstr>
      <vt:lpstr>Figura 10</vt:lpstr>
      <vt:lpstr>Figura 11</vt:lpstr>
      <vt:lpstr>Figura 12</vt:lpstr>
      <vt:lpstr>Figura 13</vt:lpstr>
      <vt:lpstr>Figura 14</vt:lpstr>
      <vt:lpstr>Figura 15</vt:lpstr>
      <vt:lpstr>Figura 16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Corina Vicol</cp:lastModifiedBy>
  <cp:lastPrinted>2023-11-15T16:00:27Z</cp:lastPrinted>
  <dcterms:created xsi:type="dcterms:W3CDTF">2017-02-13T11:50:10Z</dcterms:created>
  <dcterms:modified xsi:type="dcterms:W3CDTF">2024-02-16T05:45:48Z</dcterms:modified>
</cp:coreProperties>
</file>