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ert_Exterior\"/>
    </mc:Choice>
  </mc:AlternateContent>
  <xr:revisionPtr revIDLastSave="0" documentId="13_ncr:1_{62889F94-1467-4642-BABB-8F927DCC00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Export_Tari" sheetId="1" r:id="rId1"/>
    <sheet name="2. Import_Tari" sheetId="2" r:id="rId2"/>
    <sheet name="3. Balanta Comerciala_Tari" sheetId="3" r:id="rId3"/>
    <sheet name="4. Export_Moduri_Transport" sheetId="7" r:id="rId4"/>
    <sheet name="5. Import_Moduri_Transport" sheetId="8" r:id="rId5"/>
    <sheet name="6. Export_Grupe_Marfuri_CSCI" sheetId="5" r:id="rId6"/>
    <sheet name="7. Import_Grupe_Marfuri_CSCI" sheetId="6" r:id="rId7"/>
    <sheet name="8. Balanta_Comerciala_CSCI" sheetId="4" r:id="rId8"/>
  </sheets>
  <definedNames>
    <definedName name="_xlnm.Print_Titles" localSheetId="0">'1. Export_Tari'!$3:$4</definedName>
    <definedName name="_xlnm.Print_Titles" localSheetId="1">'2. Import_Tari'!$3:$4</definedName>
    <definedName name="_xlnm.Print_Titles" localSheetId="2">'3. Balanta Comerciala_Tari'!$3:$4</definedName>
    <definedName name="_xlnm.Print_Titles" localSheetId="5">'6. Export_Grupe_Marfuri_CSCI'!$4:$5</definedName>
    <definedName name="_xlnm.Print_Titles" localSheetId="6">'7. Import_Grupe_Marfuri_CSCI'!$4:$5</definedName>
    <definedName name="_xlnm.Print_Titles" localSheetId="7">'8. Balanta_Comerciala_CSCI'!$4:$5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4" l="1"/>
  <c r="E78" i="4"/>
  <c r="E77" i="4"/>
  <c r="E76" i="4"/>
  <c r="E75" i="4"/>
  <c r="E73" i="4"/>
  <c r="E72" i="4"/>
  <c r="E69" i="4"/>
  <c r="E67" i="4"/>
  <c r="E66" i="4"/>
  <c r="E65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0" i="4"/>
  <c r="E19" i="4"/>
  <c r="E18" i="4"/>
  <c r="E16" i="4"/>
  <c r="E14" i="4"/>
  <c r="E13" i="4"/>
  <c r="E12" i="4"/>
  <c r="E11" i="4"/>
  <c r="E10" i="4"/>
  <c r="E8" i="4"/>
  <c r="E6" i="4"/>
  <c r="I80" i="6"/>
  <c r="H80" i="6"/>
  <c r="G80" i="6"/>
  <c r="F80" i="6"/>
  <c r="E80" i="6"/>
  <c r="I79" i="6"/>
  <c r="H79" i="6"/>
  <c r="G79" i="6"/>
  <c r="F79" i="6"/>
  <c r="E79" i="6"/>
  <c r="I78" i="6"/>
  <c r="H78" i="6"/>
  <c r="G78" i="6"/>
  <c r="F78" i="6"/>
  <c r="E78" i="6"/>
  <c r="I77" i="6"/>
  <c r="H77" i="6"/>
  <c r="G77" i="6"/>
  <c r="F77" i="6"/>
  <c r="E77" i="6"/>
  <c r="I76" i="6"/>
  <c r="H76" i="6"/>
  <c r="G76" i="6"/>
  <c r="F76" i="6"/>
  <c r="E76" i="6"/>
  <c r="I75" i="6"/>
  <c r="H75" i="6"/>
  <c r="G75" i="6"/>
  <c r="F75" i="6"/>
  <c r="E75" i="6"/>
  <c r="I74" i="6"/>
  <c r="H74" i="6"/>
  <c r="G74" i="6"/>
  <c r="F74" i="6"/>
  <c r="E74" i="6"/>
  <c r="I73" i="6"/>
  <c r="H73" i="6"/>
  <c r="G73" i="6"/>
  <c r="F73" i="6"/>
  <c r="E73" i="6"/>
  <c r="I72" i="6"/>
  <c r="H72" i="6"/>
  <c r="G72" i="6"/>
  <c r="F72" i="6"/>
  <c r="E72" i="6"/>
  <c r="I71" i="6"/>
  <c r="H71" i="6"/>
  <c r="G71" i="6"/>
  <c r="F71" i="6"/>
  <c r="E71" i="6"/>
  <c r="I70" i="6"/>
  <c r="H70" i="6"/>
  <c r="G70" i="6"/>
  <c r="F70" i="6"/>
  <c r="E70" i="6"/>
  <c r="I69" i="6"/>
  <c r="H69" i="6"/>
  <c r="G69" i="6"/>
  <c r="F69" i="6"/>
  <c r="E69" i="6"/>
  <c r="I68" i="6"/>
  <c r="H68" i="6"/>
  <c r="G68" i="6"/>
  <c r="F68" i="6"/>
  <c r="E68" i="6"/>
  <c r="I67" i="6"/>
  <c r="H67" i="6"/>
  <c r="G67" i="6"/>
  <c r="F67" i="6"/>
  <c r="E67" i="6"/>
  <c r="I66" i="6"/>
  <c r="H66" i="6"/>
  <c r="G66" i="6"/>
  <c r="F66" i="6"/>
  <c r="E66" i="6"/>
  <c r="I65" i="6"/>
  <c r="H65" i="6"/>
  <c r="G65" i="6"/>
  <c r="F65" i="6"/>
  <c r="E65" i="6"/>
  <c r="I64" i="6"/>
  <c r="H64" i="6"/>
  <c r="G64" i="6"/>
  <c r="F64" i="6"/>
  <c r="E64" i="6"/>
  <c r="I63" i="6"/>
  <c r="H63" i="6"/>
  <c r="G63" i="6"/>
  <c r="F63" i="6"/>
  <c r="E63" i="6"/>
  <c r="I62" i="6"/>
  <c r="H62" i="6"/>
  <c r="G62" i="6"/>
  <c r="F62" i="6"/>
  <c r="E62" i="6"/>
  <c r="I61" i="6"/>
  <c r="H61" i="6"/>
  <c r="G61" i="6"/>
  <c r="F61" i="6"/>
  <c r="E61" i="6"/>
  <c r="I60" i="6"/>
  <c r="H60" i="6"/>
  <c r="G60" i="6"/>
  <c r="F60" i="6"/>
  <c r="E60" i="6"/>
  <c r="I59" i="6"/>
  <c r="H59" i="6"/>
  <c r="G59" i="6"/>
  <c r="F59" i="6"/>
  <c r="E59" i="6"/>
  <c r="I58" i="6"/>
  <c r="H58" i="6"/>
  <c r="G58" i="6"/>
  <c r="F58" i="6"/>
  <c r="E58" i="6"/>
  <c r="I57" i="6"/>
  <c r="H57" i="6"/>
  <c r="G57" i="6"/>
  <c r="F57" i="6"/>
  <c r="E57" i="6"/>
  <c r="I56" i="6"/>
  <c r="H56" i="6"/>
  <c r="G56" i="6"/>
  <c r="F56" i="6"/>
  <c r="E56" i="6"/>
  <c r="I55" i="6"/>
  <c r="H55" i="6"/>
  <c r="G55" i="6"/>
  <c r="F55" i="6"/>
  <c r="E55" i="6"/>
  <c r="I54" i="6"/>
  <c r="H54" i="6"/>
  <c r="G54" i="6"/>
  <c r="F54" i="6"/>
  <c r="E54" i="6"/>
  <c r="I53" i="6"/>
  <c r="H53" i="6"/>
  <c r="G53" i="6"/>
  <c r="F53" i="6"/>
  <c r="E53" i="6"/>
  <c r="I52" i="6"/>
  <c r="H52" i="6"/>
  <c r="G52" i="6"/>
  <c r="F52" i="6"/>
  <c r="E52" i="6"/>
  <c r="I51" i="6"/>
  <c r="H51" i="6"/>
  <c r="G51" i="6"/>
  <c r="F51" i="6"/>
  <c r="E51" i="6"/>
  <c r="I50" i="6"/>
  <c r="H50" i="6"/>
  <c r="G50" i="6"/>
  <c r="F50" i="6"/>
  <c r="E50" i="6"/>
  <c r="I49" i="6"/>
  <c r="H49" i="6"/>
  <c r="G49" i="6"/>
  <c r="F49" i="6"/>
  <c r="E49" i="6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I39" i="6"/>
  <c r="H39" i="6"/>
  <c r="G39" i="6"/>
  <c r="F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6" i="6"/>
  <c r="H6" i="6"/>
  <c r="E6" i="6"/>
  <c r="I79" i="5"/>
  <c r="H79" i="5"/>
  <c r="G79" i="5"/>
  <c r="F79" i="5"/>
  <c r="E79" i="5"/>
  <c r="I78" i="5"/>
  <c r="H78" i="5"/>
  <c r="G78" i="5"/>
  <c r="F78" i="5"/>
  <c r="E78" i="5"/>
  <c r="I77" i="5"/>
  <c r="H77" i="5"/>
  <c r="G77" i="5"/>
  <c r="F77" i="5"/>
  <c r="E77" i="5"/>
  <c r="I76" i="5"/>
  <c r="H76" i="5"/>
  <c r="G76" i="5"/>
  <c r="F76" i="5"/>
  <c r="I75" i="5"/>
  <c r="H75" i="5"/>
  <c r="G75" i="5"/>
  <c r="F75" i="5"/>
  <c r="E75" i="5"/>
  <c r="I74" i="5"/>
  <c r="H74" i="5"/>
  <c r="G74" i="5"/>
  <c r="F74" i="5"/>
  <c r="E74" i="5"/>
  <c r="I73" i="5"/>
  <c r="H73" i="5"/>
  <c r="G73" i="5"/>
  <c r="F73" i="5"/>
  <c r="E73" i="5"/>
  <c r="I72" i="5"/>
  <c r="H72" i="5"/>
  <c r="G72" i="5"/>
  <c r="F72" i="5"/>
  <c r="E72" i="5"/>
  <c r="I71" i="5"/>
  <c r="H71" i="5"/>
  <c r="G71" i="5"/>
  <c r="F71" i="5"/>
  <c r="E71" i="5"/>
  <c r="I70" i="5"/>
  <c r="H70" i="5"/>
  <c r="G70" i="5"/>
  <c r="F70" i="5"/>
  <c r="E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E67" i="5"/>
  <c r="I66" i="5"/>
  <c r="H66" i="5"/>
  <c r="G66" i="5"/>
  <c r="F66" i="5"/>
  <c r="I65" i="5"/>
  <c r="H65" i="5"/>
  <c r="G65" i="5"/>
  <c r="F65" i="5"/>
  <c r="E65" i="5"/>
  <c r="I64" i="5"/>
  <c r="H64" i="5"/>
  <c r="G64" i="5"/>
  <c r="F64" i="5"/>
  <c r="E64" i="5"/>
  <c r="I63" i="5"/>
  <c r="H63" i="5"/>
  <c r="G63" i="5"/>
  <c r="F63" i="5"/>
  <c r="E63" i="5"/>
  <c r="I62" i="5"/>
  <c r="H62" i="5"/>
  <c r="G62" i="5"/>
  <c r="F62" i="5"/>
  <c r="E62" i="5"/>
  <c r="I61" i="5"/>
  <c r="H61" i="5"/>
  <c r="G61" i="5"/>
  <c r="F61" i="5"/>
  <c r="E61" i="5"/>
  <c r="I60" i="5"/>
  <c r="H60" i="5"/>
  <c r="G60" i="5"/>
  <c r="F60" i="5"/>
  <c r="E60" i="5"/>
  <c r="I59" i="5"/>
  <c r="H59" i="5"/>
  <c r="G59" i="5"/>
  <c r="F59" i="5"/>
  <c r="E59" i="5"/>
  <c r="I58" i="5"/>
  <c r="H58" i="5"/>
  <c r="G58" i="5"/>
  <c r="F58" i="5"/>
  <c r="E58" i="5"/>
  <c r="I57" i="5"/>
  <c r="H57" i="5"/>
  <c r="G57" i="5"/>
  <c r="F57" i="5"/>
  <c r="E57" i="5"/>
  <c r="I56" i="5"/>
  <c r="H56" i="5"/>
  <c r="G56" i="5"/>
  <c r="F56" i="5"/>
  <c r="E56" i="5"/>
  <c r="I55" i="5"/>
  <c r="H55" i="5"/>
  <c r="G55" i="5"/>
  <c r="F55" i="5"/>
  <c r="E55" i="5"/>
  <c r="I54" i="5"/>
  <c r="H54" i="5"/>
  <c r="G54" i="5"/>
  <c r="F54" i="5"/>
  <c r="E54" i="5"/>
  <c r="I53" i="5"/>
  <c r="H53" i="5"/>
  <c r="G53" i="5"/>
  <c r="F53" i="5"/>
  <c r="E53" i="5"/>
  <c r="I52" i="5"/>
  <c r="H52" i="5"/>
  <c r="G52" i="5"/>
  <c r="F52" i="5"/>
  <c r="E52" i="5"/>
  <c r="I51" i="5"/>
  <c r="H51" i="5"/>
  <c r="G51" i="5"/>
  <c r="F51" i="5"/>
  <c r="I50" i="5"/>
  <c r="H50" i="5"/>
  <c r="G50" i="5"/>
  <c r="F50" i="5"/>
  <c r="E50" i="5"/>
  <c r="I49" i="5"/>
  <c r="H49" i="5"/>
  <c r="G49" i="5"/>
  <c r="F49" i="5"/>
  <c r="E49" i="5"/>
  <c r="I48" i="5"/>
  <c r="H48" i="5"/>
  <c r="G48" i="5"/>
  <c r="F48" i="5"/>
  <c r="E48" i="5"/>
  <c r="I47" i="5"/>
  <c r="H47" i="5"/>
  <c r="G47" i="5"/>
  <c r="F47" i="5"/>
  <c r="E47" i="5"/>
  <c r="I46" i="5"/>
  <c r="H46" i="5"/>
  <c r="G46" i="5"/>
  <c r="F46" i="5"/>
  <c r="E46" i="5"/>
  <c r="I45" i="5"/>
  <c r="H45" i="5"/>
  <c r="G45" i="5"/>
  <c r="F45" i="5"/>
  <c r="E45" i="5"/>
  <c r="I44" i="5"/>
  <c r="H44" i="5"/>
  <c r="G44" i="5"/>
  <c r="F44" i="5"/>
  <c r="E44" i="5"/>
  <c r="I43" i="5"/>
  <c r="H43" i="5"/>
  <c r="G43" i="5"/>
  <c r="F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I23" i="5"/>
  <c r="H23" i="5"/>
  <c r="G23" i="5"/>
  <c r="F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I8" i="5"/>
  <c r="H8" i="5"/>
  <c r="G8" i="5"/>
  <c r="F8" i="5"/>
  <c r="E8" i="5"/>
  <c r="I6" i="5"/>
  <c r="H6" i="5"/>
  <c r="E6" i="5"/>
  <c r="E37" i="7"/>
  <c r="E36" i="7"/>
  <c r="E35" i="7"/>
  <c r="E34" i="7"/>
  <c r="E33" i="7"/>
  <c r="E32" i="7"/>
  <c r="E31" i="7"/>
  <c r="E29" i="7"/>
  <c r="E22" i="7"/>
  <c r="E21" i="7"/>
  <c r="E20" i="7"/>
  <c r="E19" i="7"/>
  <c r="E18" i="7"/>
  <c r="E17" i="7"/>
  <c r="E16" i="7"/>
  <c r="E14" i="7"/>
  <c r="C14" i="7"/>
  <c r="D114" i="3" l="1"/>
  <c r="D113" i="3"/>
  <c r="D109" i="3"/>
  <c r="D104" i="3"/>
  <c r="D103" i="3"/>
  <c r="D100" i="3"/>
  <c r="D95" i="3"/>
  <c r="D94" i="3"/>
  <c r="D92" i="3"/>
  <c r="D87" i="3"/>
  <c r="D86" i="3"/>
  <c r="D84" i="3"/>
  <c r="D81" i="3"/>
  <c r="D80" i="3"/>
  <c r="D76" i="3"/>
  <c r="D75" i="3"/>
  <c r="D74" i="3"/>
  <c r="D71" i="3"/>
  <c r="D70" i="3"/>
  <c r="D69" i="3"/>
  <c r="D68" i="3"/>
  <c r="D65" i="3"/>
  <c r="D64" i="3"/>
  <c r="D63" i="3"/>
  <c r="D62" i="3"/>
  <c r="D61" i="3"/>
  <c r="D60" i="3"/>
  <c r="D59" i="3"/>
  <c r="D56" i="3"/>
  <c r="D54" i="3"/>
  <c r="D53" i="3"/>
  <c r="D51" i="3"/>
  <c r="D50" i="3"/>
  <c r="D49" i="3"/>
  <c r="D48" i="3"/>
  <c r="D47" i="3"/>
  <c r="D45" i="3"/>
  <c r="D42" i="3"/>
  <c r="D36" i="3"/>
  <c r="D35" i="3"/>
  <c r="D33" i="3"/>
  <c r="D30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13" i="3"/>
  <c r="D12" i="3"/>
  <c r="D11" i="3"/>
  <c r="D9" i="3"/>
  <c r="D8" i="3"/>
  <c r="D7" i="3"/>
  <c r="D5" i="3"/>
  <c r="H114" i="2"/>
  <c r="G114" i="2"/>
  <c r="F114" i="2"/>
  <c r="E114" i="2"/>
  <c r="H113" i="2"/>
  <c r="G113" i="2"/>
  <c r="F113" i="2"/>
  <c r="E113" i="2"/>
  <c r="D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D109" i="2"/>
  <c r="H108" i="2"/>
  <c r="G108" i="2"/>
  <c r="F108" i="2"/>
  <c r="E108" i="2"/>
  <c r="D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D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D100" i="2"/>
  <c r="H99" i="2"/>
  <c r="G99" i="2"/>
  <c r="F99" i="2"/>
  <c r="E99" i="2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E96" i="2"/>
  <c r="H95" i="2"/>
  <c r="G95" i="2"/>
  <c r="F95" i="2"/>
  <c r="E95" i="2"/>
  <c r="H94" i="2"/>
  <c r="G94" i="2"/>
  <c r="F94" i="2"/>
  <c r="E94" i="2"/>
  <c r="D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H74" i="2"/>
  <c r="G74" i="2"/>
  <c r="F74" i="2"/>
  <c r="E74" i="2"/>
  <c r="D74" i="2"/>
  <c r="H73" i="2"/>
  <c r="G73" i="2"/>
  <c r="F73" i="2"/>
  <c r="E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F62" i="2"/>
  <c r="E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H52" i="2"/>
  <c r="G52" i="2"/>
  <c r="F52" i="2"/>
  <c r="E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F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H40" i="2"/>
  <c r="G40" i="2"/>
  <c r="F40" i="2"/>
  <c r="E40" i="2"/>
  <c r="D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5" i="2"/>
  <c r="G35" i="2"/>
  <c r="F35" i="2"/>
  <c r="E35" i="2"/>
  <c r="D35" i="2"/>
  <c r="H34" i="2"/>
  <c r="G34" i="2"/>
  <c r="F34" i="2"/>
  <c r="E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5" i="2"/>
  <c r="G5" i="2"/>
  <c r="D5" i="2"/>
  <c r="H91" i="1" l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F85" i="1"/>
  <c r="E85" i="1"/>
  <c r="D85" i="1"/>
  <c r="H84" i="1"/>
  <c r="G84" i="1"/>
  <c r="F84" i="1"/>
  <c r="E84" i="1"/>
  <c r="D84" i="1"/>
  <c r="H83" i="1"/>
  <c r="G83" i="1"/>
  <c r="F83" i="1"/>
  <c r="E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H79" i="1"/>
  <c r="G79" i="1"/>
  <c r="F79" i="1"/>
  <c r="E79" i="1"/>
  <c r="D79" i="1"/>
  <c r="H78" i="1"/>
  <c r="F78" i="1"/>
  <c r="E78" i="1"/>
  <c r="H77" i="1"/>
  <c r="G77" i="1"/>
  <c r="F77" i="1"/>
  <c r="E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H73" i="1"/>
  <c r="G73" i="1"/>
  <c r="F73" i="1"/>
  <c r="E73" i="1"/>
  <c r="D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H66" i="1"/>
  <c r="G66" i="1"/>
  <c r="F66" i="1"/>
  <c r="E66" i="1"/>
  <c r="D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D61" i="1"/>
  <c r="F60" i="1"/>
  <c r="H59" i="1"/>
  <c r="G59" i="1"/>
  <c r="F59" i="1"/>
  <c r="E59" i="1"/>
  <c r="D59" i="1"/>
  <c r="H58" i="1"/>
  <c r="G58" i="1"/>
  <c r="F58" i="1"/>
  <c r="E58" i="1"/>
  <c r="H57" i="1"/>
  <c r="G57" i="1"/>
  <c r="F57" i="1"/>
  <c r="E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H43" i="1"/>
  <c r="G43" i="1"/>
  <c r="F43" i="1"/>
  <c r="E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H13" i="1"/>
  <c r="G13" i="1"/>
  <c r="F13" i="1"/>
  <c r="E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5" i="1"/>
  <c r="G5" i="1"/>
  <c r="D5" i="1"/>
</calcChain>
</file>

<file path=xl/sharedStrings.xml><?xml version="1.0" encoding="utf-8"?>
<sst xmlns="http://schemas.openxmlformats.org/spreadsheetml/2006/main" count="1091" uniqueCount="387">
  <si>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</si>
  <si>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</si>
  <si>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</si>
  <si>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</si>
  <si>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</si>
  <si>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</si>
  <si>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</si>
  <si>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</si>
  <si>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</si>
  <si>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</si>
  <si>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</si>
  <si>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</si>
  <si>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</si>
  <si>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</si>
  <si>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</si>
  <si>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</si>
  <si>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</si>
  <si>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</si>
  <si>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</si>
  <si>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</si>
  <si>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</si>
  <si>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</si>
  <si>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</si>
  <si>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</si>
  <si>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</si>
  <si>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</si>
  <si>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</si>
  <si>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</si>
  <si>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</si>
  <si>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</si>
  <si>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</si>
  <si>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</si>
  <si>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</si>
  <si>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</si>
  <si>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</si>
  <si>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</si>
  <si>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</si>
  <si>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</si>
  <si>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</si>
  <si>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</si>
  <si>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</si>
  <si>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</si>
  <si>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</si>
  <si>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</si>
  <si>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</si>
  <si>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</si>
  <si>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</si>
  <si>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</si>
  <si>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</si>
  <si>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</si>
  <si>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</si>
  <si>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</si>
  <si>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</si>
  <si>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</si>
  <si>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Israel</t>
  </si>
  <si>
    <t>Egipt</t>
  </si>
  <si>
    <t>Myanmar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</si>
  <si>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</si>
  <si>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</si>
  <si>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</si>
  <si>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</si>
  <si>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</si>
  <si>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</si>
  <si>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</si>
  <si>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</si>
  <si>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</si>
  <si>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</si>
  <si>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</si>
  <si>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</si>
  <si>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</si>
  <si>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</si>
  <si>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</si>
  <si>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</si>
  <si>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</si>
  <si>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</si>
  <si>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</si>
  <si>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</si>
  <si>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</si>
  <si>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</si>
  <si>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</si>
  <si>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</si>
  <si>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</si>
  <si>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</si>
  <si>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Mongolia</t>
  </si>
  <si>
    <t>Peru</t>
  </si>
  <si>
    <t>Kenya</t>
  </si>
  <si>
    <t>EXPORT - total</t>
  </si>
  <si>
    <t>Oman</t>
  </si>
  <si>
    <t>Albania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</si>
  <si>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</si>
  <si>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</si>
  <si>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</si>
  <si>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</si>
  <si>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</si>
  <si>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</si>
  <si>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</si>
  <si>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</si>
  <si>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</si>
  <si>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IMPORT - total</t>
  </si>
  <si>
    <t>Etiopia</t>
  </si>
  <si>
    <t xml:space="preserve">   din care:</t>
  </si>
  <si>
    <t>Macedonia de Nord</t>
  </si>
  <si>
    <t>Cote D'Ivoire</t>
  </si>
  <si>
    <t xml:space="preserve">EXPORT - total      </t>
  </si>
  <si>
    <t>Mali</t>
  </si>
  <si>
    <t>Ţările Uniunii Europene (UE-27) - total</t>
  </si>
  <si>
    <t>Celelalte țări ale lumii - total</t>
  </si>
  <si>
    <t>Celelalte ţări ale lumii - total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</si>
  <si>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</si>
  <si>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</si>
  <si>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</si>
  <si>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</si>
  <si>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</si>
  <si>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</si>
  <si>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</si>
  <si>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</si>
  <si>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</si>
  <si>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</si>
  <si>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</si>
  <si>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</si>
  <si>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</si>
  <si>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</si>
  <si>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</si>
  <si>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</si>
  <si>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</si>
  <si>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</si>
  <si>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</si>
  <si>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</si>
  <si>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</si>
  <si>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</si>
  <si>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</si>
  <si>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</si>
  <si>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</si>
  <si>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</si>
  <si>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</si>
  <si>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</si>
  <si>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</si>
  <si>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</si>
  <si>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</si>
  <si>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</si>
  <si>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</si>
  <si>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</si>
  <si>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</si>
  <si>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</si>
  <si>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</si>
  <si>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</si>
  <si>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</si>
  <si>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</si>
  <si>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</si>
  <si>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</si>
  <si>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</si>
  <si>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</si>
  <si>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</si>
  <si>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</si>
  <si>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</si>
  <si>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</si>
  <si>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</si>
  <si>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</si>
  <si>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</si>
  <si>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</si>
  <si>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</si>
  <si>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</si>
  <si>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</si>
  <si>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</si>
  <si>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</si>
  <si>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</si>
  <si>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</si>
  <si>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Țările Uniunii Europene (UE-27)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</si>
  <si>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</si>
  <si>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</si>
  <si>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</si>
  <si>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</si>
  <si>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</si>
  <si>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</si>
  <si>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</si>
  <si>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</si>
  <si>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</si>
  <si>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</si>
  <si>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</si>
  <si>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</si>
  <si>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</si>
  <si>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</si>
  <si>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</si>
  <si>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</si>
  <si>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</si>
  <si>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</si>
  <si>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</si>
  <si>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</si>
  <si>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</si>
  <si>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</si>
  <si>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</si>
  <si>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</si>
  <si>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</si>
  <si>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</si>
  <si>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</si>
  <si>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</si>
  <si>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</si>
  <si>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</si>
  <si>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</si>
  <si>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</si>
  <si>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</si>
  <si>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</si>
  <si>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</si>
  <si>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</si>
  <si>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</si>
  <si>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</si>
  <si>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</si>
  <si>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</si>
  <si>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</si>
  <si>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</si>
  <si>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</si>
  <si>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</si>
  <si>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</si>
  <si>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</si>
  <si>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</si>
  <si>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</si>
  <si>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</si>
  <si>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</si>
  <si>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</si>
  <si>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</si>
  <si>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</si>
  <si>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</si>
  <si>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</si>
  <si>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</si>
  <si>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</si>
  <si>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</si>
  <si>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</si>
  <si>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</si>
  <si>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</si>
  <si>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</si>
  <si>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</si>
  <si>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</si>
  <si>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</si>
  <si>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</si>
  <si>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</si>
  <si>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</si>
  <si>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</si>
  <si>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</si>
  <si>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</si>
  <si>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</si>
  <si>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</si>
  <si>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</si>
  <si>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</si>
  <si>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</si>
  <si>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</si>
  <si>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</si>
  <si>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</si>
  <si>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</si>
  <si>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</si>
  <si>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Celelalte țări ale lumii</t>
  </si>
  <si>
    <t>Franța</t>
  </si>
  <si>
    <t>Croația</t>
  </si>
  <si>
    <t>Federația Rusă</t>
  </si>
  <si>
    <t>Cehia</t>
  </si>
  <si>
    <t>Kârgâzstan</t>
  </si>
  <si>
    <t>Taiwan, provincie a Chinei</t>
  </si>
  <si>
    <t>Burkina Faso</t>
  </si>
  <si>
    <t>Regatul Țărilor de Jos (Netherlands)</t>
  </si>
  <si>
    <t>Țările Uniunii Europene - total</t>
  </si>
  <si>
    <t>Gaz și produse industriale obținute din gaz</t>
  </si>
  <si>
    <t>Kosovo</t>
  </si>
  <si>
    <t>-</t>
  </si>
  <si>
    <t>Instrumente şi aparate profesionale, ştiinţifice şi de control</t>
  </si>
  <si>
    <t>Instrumente şi aparate, profesionale, ştiinţifice şi de control</t>
  </si>
  <si>
    <t>Algeria</t>
  </si>
  <si>
    <t>Kuwait</t>
  </si>
  <si>
    <t>Coreea de Nord</t>
  </si>
  <si>
    <t>Libia</t>
  </si>
  <si>
    <t>Muntenegru</t>
  </si>
  <si>
    <t>Venezuela</t>
  </si>
  <si>
    <t>Guatemala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</si>
  <si>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</si>
  <si>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</si>
  <si>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</si>
  <si>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</si>
  <si>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</si>
  <si>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</si>
  <si>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</si>
  <si>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</si>
  <si>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</si>
  <si>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</si>
  <si>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</si>
  <si>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</si>
  <si>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</si>
  <si>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</si>
  <si>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</si>
  <si>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>Regatul Unit al Marii Britanii și Irlandei de Nord</t>
  </si>
  <si>
    <t>Elveția</t>
  </si>
  <si>
    <t>Bosnia și Herțegovina</t>
  </si>
  <si>
    <t>Mărfuri manufacturate, clasificate mai ales după materia primă</t>
  </si>
  <si>
    <r>
      <t xml:space="preserve"> </t>
    </r>
    <r>
      <rPr>
        <sz val="9"/>
        <rFont val="Arial"/>
        <family val="2"/>
        <charset val="204"/>
      </rPr>
      <t xml:space="preserve">  din care:</t>
    </r>
  </si>
  <si>
    <t>Uruguay</t>
  </si>
  <si>
    <t xml:space="preserve">     din care:</t>
  </si>
  <si>
    <t>de 1,7 ori</t>
  </si>
  <si>
    <t>de 1,9 ori</t>
  </si>
  <si>
    <t>de 1,8 ori</t>
  </si>
  <si>
    <t>de 2,1 ori</t>
  </si>
  <si>
    <t>de 2,9 ori</t>
  </si>
  <si>
    <t>de 2,2 ori</t>
  </si>
  <si>
    <t>de 3,2 ori</t>
  </si>
  <si>
    <t>de 2,0 ori</t>
  </si>
  <si>
    <t>de 3,5 ori</t>
  </si>
  <si>
    <t>de 1,6 ori</t>
  </si>
  <si>
    <t>de 3,4 ori</t>
  </si>
  <si>
    <t>x</t>
  </si>
  <si>
    <t>Valoarea, mii dolari SUA</t>
  </si>
  <si>
    <t>de 5,8 ori</t>
  </si>
  <si>
    <t>de 4,1 ori</t>
  </si>
  <si>
    <t>Piei crude, piei tăbăcite și blănuri brute</t>
  </si>
  <si>
    <t>Panama</t>
  </si>
  <si>
    <t>Madagascar</t>
  </si>
  <si>
    <t>de 5,0 ori</t>
  </si>
  <si>
    <t>de 4,6 ori</t>
  </si>
  <si>
    <t>Mexico</t>
  </si>
  <si>
    <t>Șri Lanka</t>
  </si>
  <si>
    <t>de 2,6 ori</t>
  </si>
  <si>
    <t>de 4,7 ori</t>
  </si>
  <si>
    <t>BALANŢA COMERCIALĂ – total, mii dolari SUA</t>
  </si>
  <si>
    <t>Insulele Falkland (Malvine)</t>
  </si>
  <si>
    <t>de 4,8 ori</t>
  </si>
  <si>
    <t>de 2,5 ori</t>
  </si>
  <si>
    <t>de 3,9 ori</t>
  </si>
  <si>
    <t>Indonezia</t>
  </si>
  <si>
    <t>ianuarie-februarie 2023</t>
  </si>
  <si>
    <t>ianuarie-februarie 2024</t>
  </si>
  <si>
    <r>
      <t>Ianuarie-februarie 2024               în % față de ianuarie-februarie 2023</t>
    </r>
    <r>
      <rPr>
        <b/>
        <vertAlign val="superscript"/>
        <sz val="9"/>
        <rFont val="Arial"/>
        <family val="2"/>
        <charset val="204"/>
      </rPr>
      <t>1</t>
    </r>
  </si>
  <si>
    <r>
      <t>ianuarie-februarie 2023</t>
    </r>
    <r>
      <rPr>
        <b/>
        <vertAlign val="superscript"/>
        <sz val="9"/>
        <rFont val="Arial"/>
        <family val="2"/>
        <charset val="204"/>
      </rPr>
      <t xml:space="preserve"> 1,2</t>
    </r>
  </si>
  <si>
    <r>
      <t xml:space="preserve">ianuarie-februarie 2024 </t>
    </r>
    <r>
      <rPr>
        <b/>
        <vertAlign val="superscript"/>
        <sz val="9"/>
        <rFont val="Arial"/>
        <family val="2"/>
        <charset val="204"/>
      </rPr>
      <t>1,2</t>
    </r>
  </si>
  <si>
    <r>
      <t xml:space="preserve">ianuarie-februarie 2023 </t>
    </r>
    <r>
      <rPr>
        <b/>
        <vertAlign val="superscript"/>
        <sz val="9"/>
        <rFont val="Arial"/>
        <family val="2"/>
        <charset val="204"/>
      </rPr>
      <t>1,2</t>
    </r>
  </si>
  <si>
    <r>
      <t>Ianuarie-februarie 2024                           în % față de                              ianuarie-februarie 2023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</si>
  <si>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 Ianuarie-februarie 2024
în % faţă de            
ianuarie-februarie 2023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</si>
  <si>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 xml:space="preserve"> Ianuarie-februarie              2024                     în % față de ianuarie-februarie               2023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</si>
  <si>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 Ianuarie-februarie         2024                      în % față de ianuarie-februarie               2023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</si>
  <si>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 Ianuarie-februarie          2024                 în % față de ianuarie-februarie 2023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</si>
  <si>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ianuarie-februarie  2023 </t>
    </r>
    <r>
      <rPr>
        <b/>
        <vertAlign val="superscript"/>
        <sz val="9"/>
        <rFont val="Arial"/>
        <family val="2"/>
        <charset val="204"/>
      </rPr>
      <t>1,2</t>
    </r>
  </si>
  <si>
    <r>
      <t>Ianuarie-februarie       2024                   în % față de ianuarie-februarie 2023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</si>
  <si>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ianuarie-februarie  2024 </t>
    </r>
    <r>
      <rPr>
        <b/>
        <vertAlign val="superscript"/>
        <sz val="9"/>
        <rFont val="Arial"/>
        <family val="2"/>
        <charset val="204"/>
      </rPr>
      <t>1,2</t>
    </r>
  </si>
  <si>
    <r>
      <t xml:space="preserve"> Ianuarie-februarie         2024
în % faţă de 
ianuarie-februarie 2023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</si>
  <si>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t>de 18,8 ori</t>
  </si>
  <si>
    <t>de 2,3 ori</t>
  </si>
  <si>
    <t>de 2,7 ori</t>
  </si>
  <si>
    <t>de 12,3 ori</t>
  </si>
  <si>
    <t>de 37290,0 ori</t>
  </si>
  <si>
    <t>de 39,7 ori</t>
  </si>
  <si>
    <t>de 15,9 ori</t>
  </si>
  <si>
    <t>de 9,3 ori</t>
  </si>
  <si>
    <t>de 12,5 ori</t>
  </si>
  <si>
    <t>de 53,9 ori</t>
  </si>
  <si>
    <t>de 5,9 ori</t>
  </si>
  <si>
    <t>Insulele Feroe</t>
  </si>
  <si>
    <t>Sao Tome și Principe</t>
  </si>
  <si>
    <t>de 10,4 ori</t>
  </si>
  <si>
    <t>de 1719,4 ori</t>
  </si>
  <si>
    <t>de 3,7 ori</t>
  </si>
  <si>
    <t>de 58,4 ori</t>
  </si>
  <si>
    <t>de 6,8 ori</t>
  </si>
  <si>
    <t>de 17,5 ori</t>
  </si>
  <si>
    <t>de 137,3 ori</t>
  </si>
  <si>
    <t>de 6,4 ori</t>
  </si>
  <si>
    <t>de 76,8 ori</t>
  </si>
  <si>
    <t>de 14,2 ori</t>
  </si>
  <si>
    <t>de 3,8 ori</t>
  </si>
  <si>
    <t>de 12,1 ori</t>
  </si>
  <si>
    <t>de 4,3 ori</t>
  </si>
  <si>
    <t>de 4,2 ori</t>
  </si>
  <si>
    <t>de 2,8 ori</t>
  </si>
  <si>
    <t>de 1705,6 ori</t>
  </si>
  <si>
    <t>de 120,8 ori</t>
  </si>
  <si>
    <t>de 6,0 ori</t>
  </si>
  <si>
    <t xml:space="preserve">IMPORT - total      </t>
  </si>
  <si>
    <t>de 1141,2 ori</t>
  </si>
  <si>
    <t>BALANŢA COMERCIALĂ - total, mii dolari SUA</t>
  </si>
  <si>
    <t>Mărfuri manufacturate, clasificate februarie ales după materia primă</t>
  </si>
  <si>
    <t>Malaysia</t>
  </si>
  <si>
    <t xml:space="preserve">   EXPORT - total</t>
  </si>
  <si>
    <t xml:space="preserve">      din care:</t>
  </si>
  <si>
    <r>
      <t>Ţările CSI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- total</t>
    </r>
  </si>
  <si>
    <r>
      <t>Țările CSI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- total</t>
    </r>
  </si>
  <si>
    <r>
      <t>Țările CSI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- total</t>
    </r>
  </si>
  <si>
    <r>
      <t>Țările CSI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</t>
    </r>
  </si>
  <si>
    <t xml:space="preserve">    Pentru comparabilitate datele pentru ianuarie-februarie 2023-2024 nu includ Ucraina în CSI</t>
  </si>
  <si>
    <t xml:space="preserve">     ediția 2023. Pentru comparabilitate datele pentru ianuarie-februarie 2023-2024 nu includ Ucraina în CSI</t>
  </si>
  <si>
    <t xml:space="preserve">     ediția 2023.  Pentru comparabilitate datele pentru ianuarie-februarie 2023-2024 nu includ Ucraina în CSI</t>
  </si>
  <si>
    <t xml:space="preserve">   ediția 2023. Pentru comparabilitate datele pentru ianuarie-februarie 2023-2024 nu includ Ucraina în CSI</t>
  </si>
  <si>
    <r>
      <rPr>
        <b/>
        <vertAlign val="superscript"/>
        <sz val="8"/>
        <color rgb="FF000000"/>
        <rFont val="Arial"/>
        <family val="2"/>
        <charset val="204"/>
      </rPr>
      <t xml:space="preserve">   2</t>
    </r>
    <r>
      <rPr>
        <b/>
        <sz val="8"/>
        <color indexed="8"/>
        <rFont val="Arial"/>
        <family val="2"/>
        <charset val="204"/>
      </rPr>
      <t xml:space="preserve"> Ucraina nu este inclusă în Comunitatea Statelor Independente (CSI) în conformitate cu Geonomenclatura Uniunii Europene, </t>
    </r>
  </si>
  <si>
    <r>
      <rPr>
        <b/>
        <vertAlign val="superscript"/>
        <sz val="8"/>
        <color rgb="FF000000"/>
        <rFont val="Arial"/>
        <family val="2"/>
        <charset val="204"/>
      </rPr>
      <t xml:space="preserve">   3</t>
    </r>
    <r>
      <rPr>
        <b/>
        <sz val="8"/>
        <color indexed="8"/>
        <rFont val="Arial"/>
        <family val="2"/>
        <charset val="204"/>
      </rPr>
      <t xml:space="preserve"> Ucraina nu este inclusă în Comunitatea Statelor Independente (CSI) în conformitate cu Geonomenclatura Uniunii Europene, ediția 2023. </t>
    </r>
  </si>
  <si>
    <r>
      <rPr>
        <b/>
        <vertAlign val="superscript"/>
        <sz val="8"/>
        <color rgb="FF000000"/>
        <rFont val="Arial"/>
        <family val="2"/>
        <charset val="204"/>
      </rPr>
      <t xml:space="preserve">   2</t>
    </r>
    <r>
      <rPr>
        <b/>
        <sz val="8"/>
        <color indexed="8"/>
        <rFont val="Arial"/>
        <family val="2"/>
        <charset val="204"/>
      </rPr>
      <t xml:space="preserve"> Ucraina nu este inclusă în Comunitatea Statelor Independente (CSI) în conformitate cu Geonomenclatura Uniunii Europene,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</si>
</sst>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_ ;[Red]\-#,##0.00\ "/>
  </numFmts>
  <fonts count="38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theme="1"/>
      <name val="Arial"/>
      <family val="2"/>
      <charset val="204"/>
    </font>
    <font>
      <b/>
      <vertAlign val="superscript"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10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" fillId="0" borderId="0" xfId="0" applyFont="1"/>
    <xf numFmtId="0" fontId="23" fillId="0" borderId="0" xfId="0" applyFont="1"/>
    <xf numFmtId="0" fontId="24" fillId="0" borderId="0" xfId="0" applyFont="1"/>
    <xf numFmtId="4" fontId="16" fillId="0" borderId="0" xfId="0" applyNumberFormat="1" applyFont="1" applyAlignment="1">
      <alignment horizontal="right" vertical="top" indent="1"/>
    </xf>
    <xf numFmtId="4" fontId="17" fillId="0" borderId="0" xfId="0" applyNumberFormat="1" applyFont="1" applyAlignment="1">
      <alignment horizontal="right" vertical="top" indent="1"/>
    </xf>
    <xf numFmtId="4" fontId="1" fillId="0" borderId="0" xfId="0" applyNumberFormat="1" applyFont="1"/>
    <xf numFmtId="0" fontId="29" fillId="0" borderId="0" xfId="0" applyFont="1"/>
    <xf numFmtId="0" fontId="21" fillId="0" borderId="0" xfId="0" applyFont="1" applyAlignment="1">
      <alignment vertical="top" wrapText="1"/>
    </xf>
    <xf numFmtId="0" fontId="30" fillId="0" borderId="0" xfId="0" applyFont="1"/>
    <xf numFmtId="0" fontId="31" fillId="0" borderId="0" xfId="0" applyFont="1"/>
    <xf numFmtId="38" fontId="13" fillId="0" borderId="0" xfId="0" applyNumberFormat="1" applyFont="1" applyAlignment="1">
      <alignment horizontal="left" wrapText="1"/>
    </xf>
    <xf numFmtId="0" fontId="32" fillId="0" borderId="0" xfId="0" applyFont="1"/>
    <xf numFmtId="38" fontId="16" fillId="0" borderId="0" xfId="0" applyNumberFormat="1" applyFont="1" applyAlignment="1">
      <alignment horizontal="center" vertical="top"/>
    </xf>
    <xf numFmtId="38" fontId="16" fillId="0" borderId="0" xfId="0" applyNumberFormat="1" applyFont="1" applyAlignment="1">
      <alignment horizontal="left" vertical="top" wrapText="1"/>
    </xf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center" vertical="top"/>
    </xf>
    <xf numFmtId="38" fontId="16" fillId="0" borderId="3" xfId="0" applyNumberFormat="1" applyFont="1" applyBorder="1" applyAlignment="1">
      <alignment horizontal="center" vertical="top"/>
    </xf>
    <xf numFmtId="38" fontId="16" fillId="0" borderId="3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4" fontId="16" fillId="0" borderId="3" xfId="0" applyNumberFormat="1" applyFont="1" applyBorder="1" applyAlignment="1">
      <alignment horizontal="right" vertical="top" indent="1"/>
    </xf>
    <xf numFmtId="164" fontId="17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3" fillId="0" borderId="0" xfId="0" applyFont="1"/>
    <xf numFmtId="4" fontId="17" fillId="0" borderId="0" xfId="0" applyNumberFormat="1" applyFont="1" applyAlignment="1">
      <alignment horizontal="right" vertical="top" wrapText="1" indent="1"/>
    </xf>
    <xf numFmtId="4" fontId="16" fillId="0" borderId="0" xfId="0" applyNumberFormat="1" applyFont="1" applyAlignment="1">
      <alignment horizontal="right" vertical="top" wrapText="1" indent="1"/>
    </xf>
    <xf numFmtId="4" fontId="20" fillId="0" borderId="0" xfId="0" applyNumberFormat="1" applyFont="1" applyAlignment="1">
      <alignment horizontal="right" vertical="top" indent="1"/>
    </xf>
    <xf numFmtId="4" fontId="17" fillId="0" borderId="3" xfId="0" applyNumberFormat="1" applyFont="1" applyBorder="1" applyAlignment="1">
      <alignment horizontal="right" vertical="top" indent="1"/>
    </xf>
    <xf numFmtId="4" fontId="28" fillId="0" borderId="0" xfId="0" applyNumberFormat="1" applyFont="1" applyAlignment="1">
      <alignment horizontal="right" vertical="top" indent="1"/>
    </xf>
    <xf numFmtId="0" fontId="12" fillId="0" borderId="0" xfId="0" applyFont="1" applyAlignment="1">
      <alignment horizontal="right" vertical="top" indent="1"/>
    </xf>
    <xf numFmtId="4" fontId="13" fillId="0" borderId="0" xfId="0" applyNumberFormat="1" applyFont="1" applyAlignment="1">
      <alignment horizontal="right" vertical="top" indent="1"/>
    </xf>
    <xf numFmtId="4" fontId="19" fillId="0" borderId="0" xfId="0" applyNumberFormat="1" applyFont="1" applyAlignment="1">
      <alignment horizontal="right" vertical="top" wrapText="1" indent="1"/>
    </xf>
    <xf numFmtId="4" fontId="33" fillId="0" borderId="0" xfId="0" applyNumberFormat="1" applyFont="1" applyAlignment="1">
      <alignment horizontal="right" vertical="top" indent="1"/>
    </xf>
    <xf numFmtId="4" fontId="11" fillId="0" borderId="5" xfId="0" applyNumberFormat="1" applyFont="1" applyBorder="1" applyAlignment="1">
      <alignment horizontal="right" vertical="top" wrapText="1" indent="1"/>
    </xf>
    <xf numFmtId="4" fontId="11" fillId="0" borderId="5" xfId="0" applyNumberFormat="1" applyFont="1" applyBorder="1" applyAlignment="1">
      <alignment horizontal="right" vertical="top" indent="1"/>
    </xf>
    <xf numFmtId="4" fontId="11" fillId="0" borderId="0" xfId="0" applyNumberFormat="1" applyFont="1" applyAlignment="1">
      <alignment horizontal="right" vertical="top" indent="1"/>
    </xf>
    <xf numFmtId="165" fontId="1" fillId="0" borderId="0" xfId="0" applyNumberFormat="1" applyFont="1"/>
    <xf numFmtId="4" fontId="36" fillId="0" borderId="0" xfId="0" applyNumberFormat="1" applyFont="1" applyAlignment="1">
      <alignment horizontal="right" vertical="top" indent="1"/>
    </xf>
    <xf numFmtId="0" fontId="11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 indent="1"/>
    </xf>
    <xf numFmtId="38" fontId="17" fillId="0" borderId="0" xfId="0" applyNumberFormat="1" applyFont="1" applyAlignment="1">
      <alignment horizontal="left" vertical="top" wrapText="1" indent="1"/>
    </xf>
    <xf numFmtId="4" fontId="19" fillId="0" borderId="0" xfId="0" applyNumberFormat="1" applyFont="1" applyAlignment="1">
      <alignment horizontal="right" vertical="top" indent="1"/>
    </xf>
    <xf numFmtId="4" fontId="20" fillId="0" borderId="3" xfId="0" applyNumberFormat="1" applyFont="1" applyBorder="1" applyAlignment="1">
      <alignment horizontal="right" vertical="top" indent="1"/>
    </xf>
    <xf numFmtId="0" fontId="17" fillId="0" borderId="0" xfId="0" applyFont="1" applyAlignment="1">
      <alignment horizontal="left" vertical="top" wrapText="1" indent="1"/>
    </xf>
    <xf numFmtId="38" fontId="17" fillId="0" borderId="3" xfId="0" applyNumberFormat="1" applyFont="1" applyBorder="1" applyAlignment="1">
      <alignment horizontal="left" vertical="top" wrapText="1" indent="1"/>
    </xf>
    <xf numFmtId="4" fontId="17" fillId="0" borderId="3" xfId="0" applyNumberFormat="1" applyFont="1" applyBorder="1" applyAlignment="1">
      <alignment horizontal="right" vertical="top" wrapText="1" indent="1"/>
    </xf>
    <xf numFmtId="0" fontId="11" fillId="0" borderId="0" xfId="0" applyFont="1" applyAlignment="1">
      <alignment horizontal="left" vertical="top" wrapText="1" indent="1"/>
    </xf>
    <xf numFmtId="0" fontId="17" fillId="0" borderId="3" xfId="0" applyFont="1" applyBorder="1" applyAlignment="1">
      <alignment horizontal="left" vertical="top" wrapText="1" indent="1"/>
    </xf>
    <xf numFmtId="0" fontId="20" fillId="0" borderId="0" xfId="0" applyFont="1" applyAlignment="1">
      <alignment horizontal="left" vertical="top" indent="1"/>
    </xf>
    <xf numFmtId="2" fontId="20" fillId="0" borderId="0" xfId="0" applyNumberFormat="1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 wrapText="1"/>
    </xf>
    <xf numFmtId="0" fontId="16" fillId="0" borderId="5" xfId="0" applyFont="1" applyBorder="1" applyAlignment="1">
      <alignment horizontal="left" vertical="top" wrapText="1" indent="1"/>
    </xf>
    <xf numFmtId="0" fontId="20" fillId="0" borderId="3" xfId="0" applyFont="1" applyBorder="1" applyAlignment="1">
      <alignment horizontal="left" vertical="top" indent="1"/>
    </xf>
    <xf numFmtId="4" fontId="16" fillId="0" borderId="5" xfId="0" applyNumberFormat="1" applyFont="1" applyBorder="1" applyAlignment="1">
      <alignment horizontal="right" vertical="top" wrapText="1" indent="1"/>
    </xf>
    <xf numFmtId="4" fontId="16" fillId="0" borderId="5" xfId="0" applyNumberFormat="1" applyFont="1" applyBorder="1" applyAlignment="1">
      <alignment horizontal="right" vertical="top" indent="1"/>
    </xf>
    <xf numFmtId="0" fontId="20" fillId="0" borderId="0" xfId="0" applyFont="1" applyAlignment="1">
      <alignment horizontal="left" vertical="top" wrapText="1" indent="1"/>
    </xf>
    <xf numFmtId="0" fontId="5" fillId="0" borderId="5" xfId="0" applyFont="1" applyBorder="1" applyAlignment="1">
      <alignment horizontal="center" vertical="top"/>
    </xf>
    <xf numFmtId="4" fontId="16" fillId="0" borderId="3" xfId="0" applyNumberFormat="1" applyFont="1" applyBorder="1" applyAlignment="1">
      <alignment horizontal="right" vertical="top" wrapText="1" indent="1"/>
    </xf>
    <xf numFmtId="4" fontId="29" fillId="0" borderId="0" xfId="0" applyNumberFormat="1" applyFont="1" applyAlignment="1">
      <alignment horizontal="right" vertical="top"/>
    </xf>
    <xf numFmtId="4" fontId="29" fillId="0" borderId="0" xfId="0" applyNumberFormat="1" applyFont="1" applyAlignment="1">
      <alignment horizontal="right" vertical="top" inden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22" fillId="0" borderId="0" xfId="0" applyFont="1" applyAlignment="1">
      <alignment horizontal="center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95"/>
  <sheetViews>
    <sheetView tabSelected="1" zoomScaleNormal="100" workbookViewId="0">
      <selection sqref="A1:H1"/>
    </sheetView>
  </sheetViews>
  <sheetFormatPr defaultRowHeight="15.75" x14ac:dyDescent="0.25"/>
  <cols>
    <col min="1" max="1" width="36.375" style="14" customWidth="1"/>
    <col min="2" max="3" width="14.375" style="14" customWidth="1"/>
    <col min="4" max="4" width="11.875" style="14" customWidth="1"/>
    <col min="5" max="5" width="10.75" style="14" customWidth="1"/>
    <col min="6" max="6" width="10.875" style="14" customWidth="1"/>
    <col min="7" max="8" width="10.5" style="14" customWidth="1"/>
    <col min="10" max="10" width="8.875" customWidth="1"/>
  </cols>
  <sheetData>
    <row r="1" spans="1:10" x14ac:dyDescent="0.25">
      <c r="A1" s="79" t="s">
        <v>272</v>
      </c>
      <c r="B1" s="79"/>
      <c r="C1" s="79"/>
      <c r="D1" s="79"/>
      <c r="E1" s="79"/>
      <c r="F1" s="79"/>
      <c r="G1" s="79"/>
      <c r="H1" s="79"/>
    </row>
    <row r="2" spans="1:10" x14ac:dyDescent="0.25">
      <c r="A2" s="86"/>
      <c r="B2" s="86"/>
      <c r="C2" s="86"/>
      <c r="D2" s="86"/>
      <c r="E2" s="86"/>
      <c r="F2" s="86"/>
      <c r="G2" s="86"/>
      <c r="H2" s="86"/>
    </row>
    <row r="3" spans="1:10" ht="51" customHeight="1" x14ac:dyDescent="0.25">
      <c r="A3" s="80"/>
      <c r="B3" s="82" t="s">
        <v>305</v>
      </c>
      <c r="C3" s="89"/>
      <c r="D3" s="87" t="s">
        <v>325</v>
      </c>
      <c r="E3" s="82" t="s">
        <v>90</v>
      </c>
      <c r="F3" s="83"/>
      <c r="G3" s="84" t="s">
        <v>282</v>
      </c>
      <c r="H3" s="85"/>
    </row>
    <row r="4" spans="1:10" ht="39.75" customHeight="1" x14ac:dyDescent="0.25">
      <c r="A4" s="81"/>
      <c r="B4" s="12" t="s">
        <v>323</v>
      </c>
      <c r="C4" s="12" t="s">
        <v>324</v>
      </c>
      <c r="D4" s="88"/>
      <c r="E4" s="12" t="s">
        <v>323</v>
      </c>
      <c r="F4" s="12" t="s">
        <v>324</v>
      </c>
      <c r="G4" s="12" t="s">
        <v>326</v>
      </c>
      <c r="H4" s="11" t="s">
        <v>327</v>
      </c>
    </row>
    <row r="5" spans="1:10" s="15" customFormat="1" ht="12.75" x14ac:dyDescent="0.2">
      <c r="A5" s="55" t="s">
        <v>374</v>
      </c>
      <c r="B5" s="50">
        <v>687141.54783000005</v>
      </c>
      <c r="C5" s="50">
        <v>601300.25754000002</v>
      </c>
      <c r="D5" s="51">
        <f>IF(687141.54783="","-",601300.25754/687141.54783*100)</f>
        <v>87.507480727793606</v>
      </c>
      <c r="E5" s="51">
        <v>100</v>
      </c>
      <c r="F5" s="51">
        <v>100</v>
      </c>
      <c r="G5" s="51">
        <f>IF(666821.53755="","-",(687141.54783-666821.53755)/666821.53755*100)</f>
        <v>3.0472936364141354</v>
      </c>
      <c r="H5" s="51">
        <f>IF(687141.54783="","-",(601300.25754-687141.54783)/687141.54783*100)</f>
        <v>-12.492519272206389</v>
      </c>
      <c r="I5" s="23"/>
    </row>
    <row r="6" spans="1:10" x14ac:dyDescent="0.25">
      <c r="A6" s="35" t="s">
        <v>375</v>
      </c>
      <c r="B6" s="41"/>
      <c r="C6" s="41"/>
      <c r="D6" s="58"/>
      <c r="E6" s="58"/>
      <c r="F6" s="58"/>
      <c r="G6" s="58"/>
      <c r="H6" s="58"/>
    </row>
    <row r="7" spans="1:10" x14ac:dyDescent="0.25">
      <c r="A7" s="56" t="s">
        <v>105</v>
      </c>
      <c r="B7" s="42">
        <v>429014.28016999998</v>
      </c>
      <c r="C7" s="18">
        <v>402012.08906000003</v>
      </c>
      <c r="D7" s="18">
        <f>IF(429014.28017="","-",402012.08906/429014.28017*100)</f>
        <v>93.705992467360261</v>
      </c>
      <c r="E7" s="18">
        <f>IF(429014.28017="","-",429014.28017/687141.54783*100)</f>
        <v>62.434629593397659</v>
      </c>
      <c r="F7" s="18">
        <f>IF(402012.08906="","-",402012.08906/601300.25754*100)</f>
        <v>66.85712903311989</v>
      </c>
      <c r="G7" s="18">
        <f>IF(666821.53755="","-",(429014.28017-414733.29947)/666821.53755*100)</f>
        <v>2.141649586255173</v>
      </c>
      <c r="H7" s="18">
        <f>IF(687141.54783="","-",(402012.08906-429014.28017)/687141.54783*100)</f>
        <v>-3.9296402895841696</v>
      </c>
      <c r="J7" s="7"/>
    </row>
    <row r="8" spans="1:10" x14ac:dyDescent="0.25">
      <c r="A8" s="57" t="s">
        <v>0</v>
      </c>
      <c r="B8" s="41">
        <v>231293.33989</v>
      </c>
      <c r="C8" s="19">
        <v>192812.04396000001</v>
      </c>
      <c r="D8" s="19">
        <f>IF(OR(231293.33989="",192812.04396=""),"-",192812.04396/231293.33989*100)</f>
        <v>83.362557716404112</v>
      </c>
      <c r="E8" s="19">
        <f>IF(231293.33989="","-",231293.33989/687141.54783*100)</f>
        <v>33.660217552035199</v>
      </c>
      <c r="F8" s="19">
        <f>IF(192812.04396="","-",192812.04396/601300.25754*100)</f>
        <v>32.065850886014907</v>
      </c>
      <c r="G8" s="19">
        <f>IF(OR(666821.53755="",186788.68662="",231293.33989=""),"-",(231293.33989-186788.68662)/666821.53755*100)</f>
        <v>6.6741475438115909</v>
      </c>
      <c r="H8" s="19">
        <f>IF(OR(687141.54783="",192812.04396="",231293.33989=""),"-",(192812.04396-231293.33989)/687141.54783*100)</f>
        <v>-5.6001992677526653</v>
      </c>
    </row>
    <row r="9" spans="1:10" x14ac:dyDescent="0.25">
      <c r="A9" s="57" t="s">
        <v>2</v>
      </c>
      <c r="B9" s="41">
        <v>39014.494209999997</v>
      </c>
      <c r="C9" s="19">
        <v>41044.576589999997</v>
      </c>
      <c r="D9" s="19">
        <f>IF(OR(39014.49421="",41044.57659=""),"-",41044.57659/39014.49421*100)</f>
        <v>105.20340560888179</v>
      </c>
      <c r="E9" s="19">
        <f>IF(39014.49421="","-",39014.49421/687141.54783*100)</f>
        <v>5.6777958388934806</v>
      </c>
      <c r="F9" s="19">
        <f>IF(41044.57659="","-",41044.57659/601300.25754*100)</f>
        <v>6.8259702328947709</v>
      </c>
      <c r="G9" s="19">
        <f>IF(OR(666821.53755="",41643.2799="",39014.49421=""),"-",(39014.49421-41643.2799)/666821.53755*100)</f>
        <v>-0.39422627224347728</v>
      </c>
      <c r="H9" s="19">
        <f>IF(OR(687141.54783="",41044.57659="",39014.49421=""),"-",(41044.57659-39014.49421)/687141.54783*100)</f>
        <v>0.29543874714184004</v>
      </c>
    </row>
    <row r="10" spans="1:10" x14ac:dyDescent="0.25">
      <c r="A10" s="57" t="s">
        <v>1</v>
      </c>
      <c r="B10" s="41">
        <v>38653.800900000002</v>
      </c>
      <c r="C10" s="19">
        <v>33946.592620000003</v>
      </c>
      <c r="D10" s="19">
        <f>IF(OR(38653.8009="",33946.59262=""),"-",33946.59262/38653.8009*100)</f>
        <v>87.822133476141545</v>
      </c>
      <c r="E10" s="19">
        <f>IF(38653.8009="","-",38653.8009/687141.54783*100)</f>
        <v>5.6253039889771035</v>
      </c>
      <c r="F10" s="19">
        <f>IF(33946.59262="","-",33946.59262/601300.25754*100)</f>
        <v>5.6455310295192733</v>
      </c>
      <c r="G10" s="19">
        <f>IF(OR(666821.53755="",63638.46567="",38653.8009=""),"-",(38653.8009-63638.46567)/666821.53755*100)</f>
        <v>-3.7468293033541351</v>
      </c>
      <c r="H10" s="19">
        <f>IF(OR(687141.54783="",33946.59262="",38653.8009=""),"-",(33946.59262-38653.8009)/687141.54783*100)</f>
        <v>-0.68504201133891696</v>
      </c>
    </row>
    <row r="11" spans="1:10" x14ac:dyDescent="0.25">
      <c r="A11" s="57" t="s">
        <v>253</v>
      </c>
      <c r="B11" s="41">
        <v>22915.774809999999</v>
      </c>
      <c r="C11" s="19">
        <v>30251.89099</v>
      </c>
      <c r="D11" s="19">
        <f>IF(OR(22915.77481="",30251.89099=""),"-",30251.89099/22915.77481*100)</f>
        <v>132.01338920820021</v>
      </c>
      <c r="E11" s="19">
        <f>IF(22915.77481="","-",22915.77481/687141.54783*100)</f>
        <v>3.3349423975843471</v>
      </c>
      <c r="F11" s="19">
        <f>IF(30251.89099="","-",30251.89099/601300.25754*100)</f>
        <v>5.0310790009910429</v>
      </c>
      <c r="G11" s="19">
        <f>IF(OR(666821.53755="",14559.93607="",22915.77481=""),"-",(22915.77481-14559.93607)/666821.53755*100)</f>
        <v>1.2530847114957586</v>
      </c>
      <c r="H11" s="19">
        <f>IF(OR(687141.54783="",30251.89099="",22915.77481=""),"-",(30251.89099-22915.77481)/687141.54783*100)</f>
        <v>1.0676280896079606</v>
      </c>
    </row>
    <row r="12" spans="1:10" s="4" customFormat="1" x14ac:dyDescent="0.25">
      <c r="A12" s="57" t="s">
        <v>3</v>
      </c>
      <c r="B12" s="41">
        <v>17634.891899999999</v>
      </c>
      <c r="C12" s="19">
        <v>25928.433519999999</v>
      </c>
      <c r="D12" s="19">
        <f>IF(OR(17634.8919="",25928.43352=""),"-",25928.43352/17634.8919*100)</f>
        <v>147.02916052465284</v>
      </c>
      <c r="E12" s="19">
        <f>IF(17634.8919="","-",17634.8919/687141.54783*100)</f>
        <v>2.5664132747744866</v>
      </c>
      <c r="F12" s="19">
        <f>IF(25928.43352="","-",25928.43352/601300.25754*100)</f>
        <v>4.3120609370893499</v>
      </c>
      <c r="G12" s="19">
        <f>IF(OR(666821.53755="",18539.48644="",17634.8919=""),"-",(17634.8919-18539.48644)/666821.53755*100)</f>
        <v>-0.13565766686595257</v>
      </c>
      <c r="H12" s="19">
        <f>IF(OR(687141.54783="",25928.43352="",17634.8919=""),"-",(25928.43352-17634.8919)/687141.54783*100)</f>
        <v>1.2069626187196929</v>
      </c>
    </row>
    <row r="13" spans="1:10" s="4" customFormat="1" x14ac:dyDescent="0.25">
      <c r="A13" s="57" t="s">
        <v>4</v>
      </c>
      <c r="B13" s="41">
        <v>9522.5127100000009</v>
      </c>
      <c r="C13" s="19">
        <v>17025.162260000001</v>
      </c>
      <c r="D13" s="19" t="s">
        <v>295</v>
      </c>
      <c r="E13" s="19">
        <f>IF(9522.51271="","-",9522.51271/687141.54783*100)</f>
        <v>1.3858153010936674</v>
      </c>
      <c r="F13" s="19">
        <f>IF(17025.16226="","-",17025.16226/601300.25754*100)</f>
        <v>2.8313911471869684</v>
      </c>
      <c r="G13" s="19">
        <f>IF(OR(666821.53755="",21129.79532="",9522.51271=""),"-",(9522.51271-21129.79532)/666821.53755*100)</f>
        <v>-1.7406880186634128</v>
      </c>
      <c r="H13" s="19">
        <f>IF(OR(687141.54783="",17025.16226="",9522.51271=""),"-",(17025.16226-9522.51271)/687141.54783*100)</f>
        <v>1.0918637613594235</v>
      </c>
    </row>
    <row r="14" spans="1:10" s="4" customFormat="1" x14ac:dyDescent="0.25">
      <c r="A14" s="57" t="s">
        <v>6</v>
      </c>
      <c r="B14" s="41">
        <v>4661.8185800000001</v>
      </c>
      <c r="C14" s="19">
        <v>9023.3116399999999</v>
      </c>
      <c r="D14" s="19" t="s">
        <v>294</v>
      </c>
      <c r="E14" s="19">
        <f>IF(4661.81858="","-",4661.81858/687141.54783*100)</f>
        <v>0.67843642910577451</v>
      </c>
      <c r="F14" s="19">
        <f>IF(9023.31164="","-",9023.31164/601300.25754*100)</f>
        <v>1.5006332571543504</v>
      </c>
      <c r="G14" s="19">
        <f>IF(OR(666821.53755="",12960.43825="",4661.81858=""),"-",(4661.81858-12960.43825)/666821.53755*100)</f>
        <v>-1.2445038443854624</v>
      </c>
      <c r="H14" s="19">
        <f>IF(OR(687141.54783="",9023.31164="",4661.81858=""),"-",(9023.31164-4661.81858)/687141.54783*100)</f>
        <v>0.63472992919343019</v>
      </c>
    </row>
    <row r="15" spans="1:10" s="4" customFormat="1" x14ac:dyDescent="0.25">
      <c r="A15" s="57" t="s">
        <v>257</v>
      </c>
      <c r="B15" s="41">
        <v>6207.4395400000003</v>
      </c>
      <c r="C15" s="19">
        <v>7682.4633999999996</v>
      </c>
      <c r="D15" s="19">
        <f>IF(OR(6207.43954="",7682.4634=""),"-",7682.4634/6207.43954*100)</f>
        <v>123.76219454889767</v>
      </c>
      <c r="E15" s="19">
        <f>IF(6207.43954="","-",6207.43954/687141.54783*100)</f>
        <v>0.9033713009500236</v>
      </c>
      <c r="F15" s="19">
        <f>IF(7682.4634="","-",7682.4634/601300.25754*100)</f>
        <v>1.2776417943724134</v>
      </c>
      <c r="G15" s="19">
        <f>IF(OR(666821.53755="",5441.89833="",6207.43954=""),"-",(6207.43954-5441.89833)/666821.53755*100)</f>
        <v>0.11480451168579689</v>
      </c>
      <c r="H15" s="19">
        <f>IF(OR(687141.54783="",7682.4634="",6207.43954=""),"-",(7682.4634-6207.43954)/687141.54783*100)</f>
        <v>0.21466084603065258</v>
      </c>
    </row>
    <row r="16" spans="1:10" s="4" customFormat="1" x14ac:dyDescent="0.25">
      <c r="A16" s="57" t="s">
        <v>250</v>
      </c>
      <c r="B16" s="41">
        <v>11140.339019999999</v>
      </c>
      <c r="C16" s="19">
        <v>7540.62907</v>
      </c>
      <c r="D16" s="19">
        <f>IF(OR(11140.33902="",7540.62907=""),"-",7540.62907/11140.33902*100)</f>
        <v>67.687608576924617</v>
      </c>
      <c r="E16" s="19">
        <f>IF(11140.33902="","-",11140.33902/687141.54783*100)</f>
        <v>1.6212582480540294</v>
      </c>
      <c r="F16" s="19">
        <f>IF(7540.62907="","-",7540.62907/601300.25754*100)</f>
        <v>1.2540538566954427</v>
      </c>
      <c r="G16" s="19">
        <f>IF(OR(666821.53755="",8236.16456="",11140.33902=""),"-",(11140.33902-8236.16456)/666821.53755*100)</f>
        <v>0.43552499378924725</v>
      </c>
      <c r="H16" s="19">
        <f>IF(OR(687141.54783="",7540.62907="",11140.33902=""),"-",(7540.62907-11140.33902)/687141.54783*100)</f>
        <v>-0.52386731109011231</v>
      </c>
    </row>
    <row r="17" spans="1:8" s="4" customFormat="1" x14ac:dyDescent="0.25">
      <c r="A17" s="57" t="s">
        <v>33</v>
      </c>
      <c r="B17" s="41">
        <v>13433.27706</v>
      </c>
      <c r="C17" s="19">
        <v>7158.6353799999997</v>
      </c>
      <c r="D17" s="19">
        <f>IF(OR(13433.27706="",7158.63538=""),"-",7158.63538/13433.27706*100)</f>
        <v>53.290312914903872</v>
      </c>
      <c r="E17" s="19">
        <f>IF(13433.27706="","-",13433.27706/687141.54783*100)</f>
        <v>1.9549504905390198</v>
      </c>
      <c r="F17" s="19">
        <f>IF(7158.63538="","-",7158.63538/601300.25754*100)</f>
        <v>1.1905259128421026</v>
      </c>
      <c r="G17" s="19">
        <f>IF(OR(666821.53755="",10499.30898="",13433.27706=""),"-",(13433.27706-10499.30898)/666821.53755*100)</f>
        <v>0.43999299884341303</v>
      </c>
      <c r="H17" s="19">
        <f>IF(OR(687141.54783="",7158.63538="",13433.27706=""),"-",(7158.63538-13433.27706)/687141.54783*100)</f>
        <v>-0.91315125679932785</v>
      </c>
    </row>
    <row r="18" spans="1:8" s="6" customFormat="1" x14ac:dyDescent="0.25">
      <c r="A18" s="57" t="s">
        <v>35</v>
      </c>
      <c r="B18" s="41">
        <v>9346.3504099999991</v>
      </c>
      <c r="C18" s="19">
        <v>6341.6264499999997</v>
      </c>
      <c r="D18" s="19">
        <f>IF(OR(9346.35041="",6341.62645=""),"-",6341.62645/9346.35041*100)</f>
        <v>67.851366274635538</v>
      </c>
      <c r="E18" s="19">
        <f>IF(9346.35041="","-",9346.35041/687141.54783*100)</f>
        <v>1.3601783270879002</v>
      </c>
      <c r="F18" s="19">
        <f>IF(6341.62645="","-",6341.62645/601300.25754*100)</f>
        <v>1.0546522091882089</v>
      </c>
      <c r="G18" s="19">
        <f>IF(OR(666821.53755="",10993.44627="",9346.35041=""),"-",(9346.35041-10993.44627)/666821.53755*100)</f>
        <v>-0.2470069977121124</v>
      </c>
      <c r="H18" s="19">
        <f>IF(OR(687141.54783="",6341.62645="",9346.35041=""),"-",(6341.62645-9346.35041)/687141.54783*100)</f>
        <v>-0.43727874838727887</v>
      </c>
    </row>
    <row r="19" spans="1:8" s="4" customFormat="1" x14ac:dyDescent="0.25">
      <c r="A19" s="57" t="s">
        <v>44</v>
      </c>
      <c r="B19" s="41">
        <v>268.96609999999998</v>
      </c>
      <c r="C19" s="19">
        <v>5057.1224700000002</v>
      </c>
      <c r="D19" s="19" t="s">
        <v>338</v>
      </c>
      <c r="E19" s="19">
        <f>IF(268.9661="","-",268.9661/687141.54783*100)</f>
        <v>3.9142750260029779E-2</v>
      </c>
      <c r="F19" s="19">
        <f>IF(5057.12247="","-",5057.12247/601300.25754*100)</f>
        <v>0.84103114984340221</v>
      </c>
      <c r="G19" s="19">
        <f>IF(OR(666821.53755="",99.66124="",268.9661=""),"-",(268.9661-99.66124)/666821.53755*100)</f>
        <v>2.5389830781718723E-2</v>
      </c>
      <c r="H19" s="19">
        <f>IF(OR(687141.54783="",5057.12247="",268.9661=""),"-",(5057.12247-268.9661)/687141.54783*100)</f>
        <v>0.69682242110392634</v>
      </c>
    </row>
    <row r="20" spans="1:8" s="4" customFormat="1" x14ac:dyDescent="0.25">
      <c r="A20" s="57" t="s">
        <v>40</v>
      </c>
      <c r="B20" s="41">
        <v>11030.25159</v>
      </c>
      <c r="C20" s="19">
        <v>4018.4152100000001</v>
      </c>
      <c r="D20" s="19">
        <f>IF(OR(11030.25159="",4018.41521=""),"-",4018.41521/11030.25159*100)</f>
        <v>36.430857240310694</v>
      </c>
      <c r="E20" s="19">
        <f>IF(11030.25159="","-",11030.25159/687141.54783*100)</f>
        <v>1.6052371778178229</v>
      </c>
      <c r="F20" s="19">
        <f>IF(4018.41521="","-",4018.41521/601300.25754*100)</f>
        <v>0.66828762496125904</v>
      </c>
      <c r="G20" s="19">
        <f>IF(OR(666821.53755="",8241.3833="",11030.25159=""),"-",(11030.25159-8241.3833)/666821.53755*100)</f>
        <v>0.41823308530895847</v>
      </c>
      <c r="H20" s="19">
        <f>IF(OR(687141.54783="",4018.41521="",11030.25159=""),"-",(4018.41521-11030.25159)/687141.54783*100)</f>
        <v>-1.0204355131986196</v>
      </c>
    </row>
    <row r="21" spans="1:8" s="4" customFormat="1" x14ac:dyDescent="0.25">
      <c r="A21" s="57" t="s">
        <v>36</v>
      </c>
      <c r="B21" s="41">
        <v>3964.5085300000001</v>
      </c>
      <c r="C21" s="19">
        <v>3108.8870000000002</v>
      </c>
      <c r="D21" s="19">
        <f>IF(OR(3964.50853="",3108.887=""),"-",3108.887/3964.50853*100)</f>
        <v>78.417967232876663</v>
      </c>
      <c r="E21" s="19">
        <f>IF(3964.50853="","-",3964.50853/687141.54783*100)</f>
        <v>0.57695660268542315</v>
      </c>
      <c r="F21" s="19">
        <f>IF(3108.887="","-",3108.887/601300.25754*100)</f>
        <v>0.51702738540623183</v>
      </c>
      <c r="G21" s="19">
        <f>IF(OR(666821.53755="",1392.42271="",3964.50853=""),"-",(3964.50853-1392.42271)/666821.53755*100)</f>
        <v>0.38572326704536575</v>
      </c>
      <c r="H21" s="19">
        <f>IF(OR(687141.54783="",3108.887="",3964.50853=""),"-",(3108.887-3964.50853)/687141.54783*100)</f>
        <v>-0.12451896304364965</v>
      </c>
    </row>
    <row r="22" spans="1:8" s="4" customFormat="1" x14ac:dyDescent="0.25">
      <c r="A22" s="57" t="s">
        <v>37</v>
      </c>
      <c r="B22" s="41">
        <v>2357.9244399999998</v>
      </c>
      <c r="C22" s="19">
        <v>2538.60995</v>
      </c>
      <c r="D22" s="19">
        <f>IF(OR(2357.92444="",2538.60995=""),"-",2538.60995/2357.92444*100)</f>
        <v>107.66290500810112</v>
      </c>
      <c r="E22" s="19">
        <f>IF(2357.92444="","-",2357.92444/687141.54783*100)</f>
        <v>0.34314974075521254</v>
      </c>
      <c r="F22" s="19">
        <f>IF(2538.60995="","-",2538.60995/601300.25754*100)</f>
        <v>0.42218673918181804</v>
      </c>
      <c r="G22" s="19">
        <f>IF(OR(666821.53755="",1602.97279="",2357.92444=""),"-",(2357.92444-1602.97279)/666821.53755*100)</f>
        <v>0.11321644660335997</v>
      </c>
      <c r="H22" s="19">
        <f>IF(OR(687141.54783="",2538.60995="",2357.92444=""),"-",(2538.60995-2357.92444)/687141.54783*100)</f>
        <v>2.6295238669617187E-2</v>
      </c>
    </row>
    <row r="23" spans="1:8" s="4" customFormat="1" x14ac:dyDescent="0.25">
      <c r="A23" s="57" t="s">
        <v>5</v>
      </c>
      <c r="B23" s="41">
        <v>2241.70109</v>
      </c>
      <c r="C23" s="19">
        <v>2450.3528299999998</v>
      </c>
      <c r="D23" s="19">
        <f>IF(OR(2241.70109="",2450.35283=""),"-",2450.35283/2241.70109*100)</f>
        <v>109.30774138134535</v>
      </c>
      <c r="E23" s="19">
        <f>IF(2241.70109="","-",2241.70109/687141.54783*100)</f>
        <v>0.32623570748695296</v>
      </c>
      <c r="F23" s="19">
        <f>IF(2450.35283="","-",2450.35283/601300.25754*100)</f>
        <v>0.407509027191294</v>
      </c>
      <c r="G23" s="19">
        <f>IF(OR(666821.53755="",3534.13501="",2241.70109=""),"-",(2241.70109-3534.13501)/666821.53755*100)</f>
        <v>-0.19382006237359869</v>
      </c>
      <c r="H23" s="19">
        <f>IF(OR(687141.54783="",2450.35283="",2241.70109=""),"-",(2450.35283-2241.70109)/687141.54783*100)</f>
        <v>3.0365175946487896E-2</v>
      </c>
    </row>
    <row r="24" spans="1:8" s="4" customFormat="1" x14ac:dyDescent="0.25">
      <c r="A24" s="57" t="s">
        <v>34</v>
      </c>
      <c r="B24" s="41">
        <v>2559.8643299999999</v>
      </c>
      <c r="C24" s="19">
        <v>2420.4872300000002</v>
      </c>
      <c r="D24" s="19">
        <f>IF(OR(2559.86433="",2420.48723=""),"-",2420.48723/2559.86433*100)</f>
        <v>94.555293483073001</v>
      </c>
      <c r="E24" s="19">
        <f>IF(2559.86433="","-",2559.86433/687141.54783*100)</f>
        <v>0.37253813833322658</v>
      </c>
      <c r="F24" s="19">
        <f>IF(2420.48723="","-",2420.48723/601300.25754*100)</f>
        <v>0.40254219080206921</v>
      </c>
      <c r="G24" s="19">
        <f>IF(OR(666821.53755="",3186.81698="",2559.86433=""),"-",(2559.86433-3186.81698)/666821.53755*100)</f>
        <v>-9.4021055814051249E-2</v>
      </c>
      <c r="H24" s="19">
        <f>IF(OR(687141.54783="",2420.48723="",2559.86433=""),"-",(2420.48723-2559.86433)/687141.54783*100)</f>
        <v>-2.0283608295867714E-2</v>
      </c>
    </row>
    <row r="25" spans="1:8" s="2" customFormat="1" x14ac:dyDescent="0.25">
      <c r="A25" s="57" t="s">
        <v>38</v>
      </c>
      <c r="B25" s="41">
        <v>1222.0312200000001</v>
      </c>
      <c r="C25" s="19">
        <v>1195.2234800000001</v>
      </c>
      <c r="D25" s="19">
        <f>IF(OR(1222.03122="",1195.22348=""),"-",1195.22348/1222.03122*100)</f>
        <v>97.806296634549156</v>
      </c>
      <c r="E25" s="19">
        <f>IF(1222.03122="","-",1222.03122/687141.54783*100)</f>
        <v>0.17784272015848654</v>
      </c>
      <c r="F25" s="19">
        <f>IF(1195.22348="","-",1195.22348/601300.25754*100)</f>
        <v>0.19877315284876473</v>
      </c>
      <c r="G25" s="19">
        <f>IF(OR(666821.53755="",769.44321="",1222.03122=""),"-",(1222.03122-769.44321)/666821.53755*100)</f>
        <v>6.787243430421798E-2</v>
      </c>
      <c r="H25" s="19">
        <f>IF(OR(687141.54783="",1195.22348="",1222.03122=""),"-",(1195.22348-1222.03122)/687141.54783*100)</f>
        <v>-3.9013417373260405E-3</v>
      </c>
    </row>
    <row r="26" spans="1:8" s="2" customFormat="1" x14ac:dyDescent="0.25">
      <c r="A26" s="57" t="s">
        <v>251</v>
      </c>
      <c r="B26" s="41">
        <v>324.65942999999999</v>
      </c>
      <c r="C26" s="19">
        <v>746.25084000000004</v>
      </c>
      <c r="D26" s="19" t="s">
        <v>339</v>
      </c>
      <c r="E26" s="19">
        <f>IF(324.65943="","-",324.65943/687141.54783*100)</f>
        <v>4.7247824123759913E-2</v>
      </c>
      <c r="F26" s="19">
        <f>IF(746.25084="","-",746.25084/601300.25754*100)</f>
        <v>0.12410618998451993</v>
      </c>
      <c r="G26" s="19">
        <f>IF(OR(666821.53755="",128.42346="",324.65943=""),"-",(324.65943-128.42346)/666821.53755*100)</f>
        <v>2.9428559059594815E-2</v>
      </c>
      <c r="H26" s="19">
        <f>IF(OR(687141.54783="",746.25084="",324.65943=""),"-",(746.25084-324.65943)/687141.54783*100)</f>
        <v>6.1354376158942792E-2</v>
      </c>
    </row>
    <row r="27" spans="1:8" s="4" customFormat="1" x14ac:dyDescent="0.25">
      <c r="A27" s="57" t="s">
        <v>39</v>
      </c>
      <c r="B27" s="41">
        <v>665.56237999999996</v>
      </c>
      <c r="C27" s="19">
        <v>591.90934000000004</v>
      </c>
      <c r="D27" s="19">
        <f>IF(OR(665.56238="",591.90934=""),"-",591.90934/665.56238*100)</f>
        <v>88.933713471004779</v>
      </c>
      <c r="E27" s="19">
        <f>IF(665.56238="","-",665.56238/687141.54783*100)</f>
        <v>9.6859574581373037E-2</v>
      </c>
      <c r="F27" s="19">
        <f>IF(591.90934="","-",591.90934/601300.25754*100)</f>
        <v>9.8438231578609411E-2</v>
      </c>
      <c r="G27" s="19">
        <f>IF(OR(666821.53755="",428.93172="",665.56238=""),"-",(665.56238-428.93172)/666821.53755*100)</f>
        <v>3.5486355295213726E-2</v>
      </c>
      <c r="H27" s="19">
        <f>IF(OR(687141.54783="",591.90934="",665.56238=""),"-",(591.90934-665.56238)/687141.54783*100)</f>
        <v>-1.0718758053940555E-2</v>
      </c>
    </row>
    <row r="28" spans="1:8" s="4" customFormat="1" x14ac:dyDescent="0.25">
      <c r="A28" s="57" t="s">
        <v>41</v>
      </c>
      <c r="B28" s="41">
        <v>323.07089000000002</v>
      </c>
      <c r="C28" s="19">
        <v>495.8836</v>
      </c>
      <c r="D28" s="19">
        <f>IF(OR(323.07089="",495.8836=""),"-",495.8836/323.07089*100)</f>
        <v>153.49064720749058</v>
      </c>
      <c r="E28" s="19">
        <f>IF(323.07089="","-",323.07089/687141.54783*100)</f>
        <v>4.7016643225876988E-2</v>
      </c>
      <c r="F28" s="19">
        <f>IF(495.8836="","-",495.8836/601300.25754*100)</f>
        <v>8.2468549411358366E-2</v>
      </c>
      <c r="G28" s="19">
        <f>IF(OR(666821.53755="",413.96226="",323.07089=""),"-",(323.07089-413.96226)/666821.53755*100)</f>
        <v>-1.3630539039567948E-2</v>
      </c>
      <c r="H28" s="19">
        <f>IF(OR(687141.54783="",495.8836="",323.07089=""),"-",(495.8836-323.07089)/687141.54783*100)</f>
        <v>2.514950675675838E-2</v>
      </c>
    </row>
    <row r="29" spans="1:8" s="2" customFormat="1" x14ac:dyDescent="0.25">
      <c r="A29" s="57" t="s">
        <v>43</v>
      </c>
      <c r="B29" s="41">
        <v>111.83320000000001</v>
      </c>
      <c r="C29" s="19">
        <v>240.47736</v>
      </c>
      <c r="D29" s="19" t="s">
        <v>298</v>
      </c>
      <c r="E29" s="19">
        <f>IF(111.8332="","-",111.8332/687141.54783*100)</f>
        <v>1.6275132882470924E-2</v>
      </c>
      <c r="F29" s="19">
        <f>IF(240.47736="","-",240.47736/601300.25754*100)</f>
        <v>3.9992891568652426E-2</v>
      </c>
      <c r="G29" s="19">
        <f>IF(OR(666821.53755="",310.36669="",111.8332=""),"-",(111.8332-310.36669)/666821.53755*100)</f>
        <v>-2.9773107018924605E-2</v>
      </c>
      <c r="H29" s="19">
        <f>IF(OR(687141.54783="",240.47736="",111.8332=""),"-",(240.47736-111.8332)/687141.54783*100)</f>
        <v>1.8721638999454997E-2</v>
      </c>
    </row>
    <row r="30" spans="1:8" s="2" customFormat="1" x14ac:dyDescent="0.25">
      <c r="A30" s="57" t="s">
        <v>46</v>
      </c>
      <c r="B30" s="41">
        <v>63.281570000000002</v>
      </c>
      <c r="C30" s="19">
        <v>223.43329</v>
      </c>
      <c r="D30" s="19" t="s">
        <v>301</v>
      </c>
      <c r="E30" s="19">
        <f>IF(63.28157="","-",63.28157/687141.54783*100)</f>
        <v>9.2093936394682923E-3</v>
      </c>
      <c r="F30" s="19">
        <f>IF(223.43329="","-",223.43329/601300.25754*100)</f>
        <v>3.7158355945845684E-2</v>
      </c>
      <c r="G30" s="19">
        <f>IF(OR(666821.53755="",157.25652="",63.28157=""),"-",(63.28157-157.25652)/666821.53755*100)</f>
        <v>-1.4092968614252882E-2</v>
      </c>
      <c r="H30" s="19">
        <f>IF(OR(687141.54783="",223.43329="",63.28157=""),"-",(223.43329-63.28157)/687141.54783*100)</f>
        <v>2.3306947528607572E-2</v>
      </c>
    </row>
    <row r="31" spans="1:8" s="2" customFormat="1" x14ac:dyDescent="0.25">
      <c r="A31" s="57" t="s">
        <v>45</v>
      </c>
      <c r="B31" s="41">
        <v>35.161479999999997</v>
      </c>
      <c r="C31" s="19">
        <v>95.288110000000003</v>
      </c>
      <c r="D31" s="19" t="s">
        <v>340</v>
      </c>
      <c r="E31" s="19">
        <f>IF(35.16148="","-",35.16148/687141.54783*100)</f>
        <v>5.1170650517408395E-3</v>
      </c>
      <c r="F31" s="19">
        <f>IF(95.28811="","-",95.28811/601300.25754*100)</f>
        <v>1.5847009676968449E-2</v>
      </c>
      <c r="G31" s="19">
        <f>IF(OR(666821.53755="",8.69575="",35.16148=""),"-",(35.16148-8.69575)/666821.53755*100)</f>
        <v>3.9689374907173761E-3</v>
      </c>
      <c r="H31" s="19">
        <f>IF(OR(687141.54783="",95.28811="",35.16148=""),"-",(95.28811-35.16148)/687141.54783*100)</f>
        <v>8.7502538872639146E-3</v>
      </c>
    </row>
    <row r="32" spans="1:8" s="2" customFormat="1" x14ac:dyDescent="0.25">
      <c r="A32" s="57" t="s">
        <v>42</v>
      </c>
      <c r="B32" s="41">
        <v>17.422779999999999</v>
      </c>
      <c r="C32" s="19">
        <v>58.893479999999997</v>
      </c>
      <c r="D32" s="19" t="s">
        <v>303</v>
      </c>
      <c r="E32" s="19">
        <f>IF(17.42278="","-",17.42278/687141.54783*100)</f>
        <v>2.5355445402801377E-3</v>
      </c>
      <c r="F32" s="19">
        <f>IF(58.89348="","-",58.89348/601300.25754*100)</f>
        <v>9.794354694099271E-3</v>
      </c>
      <c r="G32" s="19">
        <f>IF(OR(666821.53755="",25.31808="",17.42278=""),"-",(17.42278-25.31808)/666821.53755*100)</f>
        <v>-1.184019944677925E-3</v>
      </c>
      <c r="H32" s="19">
        <f>IF(OR(687141.54783="",58.89348="",17.42278=""),"-",(58.89348-17.42278)/687141.54783*100)</f>
        <v>6.0352485060705301E-3</v>
      </c>
    </row>
    <row r="33" spans="1:8" s="2" customFormat="1" x14ac:dyDescent="0.25">
      <c r="A33" s="57" t="s">
        <v>47</v>
      </c>
      <c r="B33" s="41">
        <v>4.0021100000000001</v>
      </c>
      <c r="C33" s="19">
        <v>15.488989999999999</v>
      </c>
      <c r="D33" s="19" t="s">
        <v>321</v>
      </c>
      <c r="E33" s="19">
        <f>IF(4.00211="","-",4.00211/687141.54783*100)</f>
        <v>5.8242876051356571E-4</v>
      </c>
      <c r="F33" s="19">
        <f>IF(15.48899="","-",15.48899/601300.25754*100)</f>
        <v>2.57591607616593E-3</v>
      </c>
      <c r="G33" s="19" t="str">
        <f>IF(OR(666821.53755="",""="",4.00211=""),"-",(4.00211-"")/666821.53755*100)</f>
        <v>-</v>
      </c>
      <c r="H33" s="19">
        <f>IF(OR(687141.54783="",15.48899="",4.00211=""),"-",(15.48899-4.00211)/687141.54783*100)</f>
        <v>1.6716905034014728E-3</v>
      </c>
    </row>
    <row r="34" spans="1:8" s="5" customFormat="1" ht="12.75" x14ac:dyDescent="0.2">
      <c r="A34" s="57" t="s">
        <v>48</v>
      </c>
      <c r="B34" s="41" t="s">
        <v>261</v>
      </c>
      <c r="C34" s="19" t="s">
        <v>261</v>
      </c>
      <c r="D34" s="19" t="str">
        <f>IF(OR(""="",""=""),"-",""/""*100)</f>
        <v>-</v>
      </c>
      <c r="E34" s="19" t="str">
        <f>IF(""="","-",""/687141.54783*100)</f>
        <v>-</v>
      </c>
      <c r="F34" s="19" t="str">
        <f>IF(""="","-",""/601300.25754*100)</f>
        <v>-</v>
      </c>
      <c r="G34" s="19" t="str">
        <f>IF(OR(666821.53755="",2.60334="",""=""),"-",(""-2.60334)/666821.53755*100)</f>
        <v>-</v>
      </c>
      <c r="H34" s="19" t="str">
        <f>IF(OR(687141.54783="",""="",""=""),"-",(""-"")/687141.54783*100)</f>
        <v>-</v>
      </c>
    </row>
    <row r="35" spans="1:8" s="5" customFormat="1" ht="13.5" x14ac:dyDescent="0.2">
      <c r="A35" s="56" t="s">
        <v>376</v>
      </c>
      <c r="B35" s="42">
        <v>60708.009530000003</v>
      </c>
      <c r="C35" s="18">
        <v>41617.274839999998</v>
      </c>
      <c r="D35" s="18">
        <f>IF(60708.00953="","-",41617.27484/60708.00953*100)</f>
        <v>68.553186247086614</v>
      </c>
      <c r="E35" s="18">
        <f>IF(60708.00953="","-",60708.00953/687141.54783*100)</f>
        <v>8.8348622960897227</v>
      </c>
      <c r="F35" s="18">
        <f>IF(41617.27484="","-",41617.27484/601300.25754*100)</f>
        <v>6.9212135398481038</v>
      </c>
      <c r="G35" s="18">
        <f>IF(666821.53755="","-",(60708.00953-62908.6515)/666821.53755*100)</f>
        <v>-0.33001962985261063</v>
      </c>
      <c r="H35" s="18">
        <f>IF(687141.54783="","-",(41617.27484-60708.00953)/687141.54783*100)</f>
        <v>-2.7782826915777017</v>
      </c>
    </row>
    <row r="36" spans="1:8" s="5" customFormat="1" ht="12.75" x14ac:dyDescent="0.2">
      <c r="A36" s="57" t="s">
        <v>252</v>
      </c>
      <c r="B36" s="41">
        <v>27641.181809999998</v>
      </c>
      <c r="C36" s="19">
        <v>18019.36334</v>
      </c>
      <c r="D36" s="19">
        <f>IF(OR(27641.18181="",18019.36334=""),"-",18019.36334/27641.18181*100)</f>
        <v>65.190278273416553</v>
      </c>
      <c r="E36" s="19">
        <f>IF(27641.18181="","-",27641.18181/687141.54783*100)</f>
        <v>4.022632876339836</v>
      </c>
      <c r="F36" s="19">
        <f>IF(18019.36334="","-",18019.36334/601300.25754*100)</f>
        <v>2.996733015502044</v>
      </c>
      <c r="G36" s="19">
        <f>IF(OR(666821.53755="",48779.67899="",27641.18181=""),"-",(27641.18181-48779.67899)/666821.53755*100)</f>
        <v>-3.1700381570856182</v>
      </c>
      <c r="H36" s="19">
        <f>IF(OR(687141.54783="",18019.36334="",27641.18181=""),"-",(18019.36334-27641.18181)/687141.54783*100)</f>
        <v>-1.400267310335956</v>
      </c>
    </row>
    <row r="37" spans="1:8" s="3" customFormat="1" ht="12.75" x14ac:dyDescent="0.2">
      <c r="A37" s="57" t="s">
        <v>7</v>
      </c>
      <c r="B37" s="41">
        <v>19900.292460000001</v>
      </c>
      <c r="C37" s="19">
        <v>15276.01901</v>
      </c>
      <c r="D37" s="19">
        <f>IF(OR(19900.29246="",15276.01901=""),"-",15276.01901/19900.29246*100)</f>
        <v>76.762786480174171</v>
      </c>
      <c r="E37" s="19">
        <f>IF(19900.29246="","-",19900.29246/687141.54783*100)</f>
        <v>2.896097976151395</v>
      </c>
      <c r="F37" s="19">
        <f>IF(15276.01901="","-",15276.01901/601300.25754*100)</f>
        <v>2.5404976662568286</v>
      </c>
      <c r="G37" s="19">
        <f>IF(OR(666821.53755="",10441.74335="",19900.29246=""),"-",(19900.29246-10441.74335)/666821.53755*100)</f>
        <v>1.4184528509310144</v>
      </c>
      <c r="H37" s="19">
        <f>IF(OR(687141.54783="",15276.01901="",19900.29246=""),"-",(15276.01901-19900.29246)/687141.54783*100)</f>
        <v>-0.6729724704616542</v>
      </c>
    </row>
    <row r="38" spans="1:8" s="5" customFormat="1" ht="12.75" x14ac:dyDescent="0.2">
      <c r="A38" s="57" t="s">
        <v>9</v>
      </c>
      <c r="B38" s="41">
        <v>9313.2584999999999</v>
      </c>
      <c r="C38" s="19">
        <v>3574.7287799999999</v>
      </c>
      <c r="D38" s="19">
        <f>IF(OR(9313.2585="",3574.72878=""),"-",3574.72878/9313.2585*100)</f>
        <v>38.383223014801956</v>
      </c>
      <c r="E38" s="19">
        <f>IF(9313.2585="","-",9313.2585/687141.54783*100)</f>
        <v>1.3553624474333366</v>
      </c>
      <c r="F38" s="19">
        <f>IF(3574.72878="","-",3574.72878/601300.25754*100)</f>
        <v>0.59449979193833957</v>
      </c>
      <c r="G38" s="19">
        <f>IF(OR(666821.53755="",1168.77624="",9313.2585=""),"-",(9313.2585-1168.77624)/666821.53755*100)</f>
        <v>1.2213886027023093</v>
      </c>
      <c r="H38" s="19">
        <f>IF(OR(687141.54783="",3574.72878="",9313.2585=""),"-",(3574.72878-9313.2585)/687141.54783*100)</f>
        <v>-0.83513065657612118</v>
      </c>
    </row>
    <row r="39" spans="1:8" s="3" customFormat="1" ht="12.75" x14ac:dyDescent="0.2">
      <c r="A39" s="57" t="s">
        <v>254</v>
      </c>
      <c r="B39" s="41">
        <v>1259.3721499999999</v>
      </c>
      <c r="C39" s="19">
        <v>1437.7701999999999</v>
      </c>
      <c r="D39" s="19">
        <f>IF(OR(1259.37215="",1437.7702=""),"-",1437.7702/1259.37215*100)</f>
        <v>114.16563404232815</v>
      </c>
      <c r="E39" s="19">
        <f>IF(1259.37215="","-",1259.37215/687141.54783*100)</f>
        <v>0.18327696149026498</v>
      </c>
      <c r="F39" s="19">
        <f>IF(1437.7702="","-",1437.7702/601300.25754*100)</f>
        <v>0.23911019195004352</v>
      </c>
      <c r="G39" s="19">
        <f>IF(OR(666821.53755="",182.7988="",1259.37215=""),"-",(1259.37215-182.7988)/666821.53755*100)</f>
        <v>0.16144849699298677</v>
      </c>
      <c r="H39" s="19">
        <f>IF(OR(687141.54783="",1437.7702="",1259.37215=""),"-",(1437.7702-1259.37215)/687141.54783*100)</f>
        <v>2.5962343648609644E-2</v>
      </c>
    </row>
    <row r="40" spans="1:8" s="3" customFormat="1" ht="12.75" x14ac:dyDescent="0.2">
      <c r="A40" s="57" t="s">
        <v>13</v>
      </c>
      <c r="B40" s="41">
        <v>367.21775000000002</v>
      </c>
      <c r="C40" s="19">
        <v>808.50900000000001</v>
      </c>
      <c r="D40" s="19" t="s">
        <v>298</v>
      </c>
      <c r="E40" s="19">
        <f>IF(367.21775="","-",367.21775/687141.54783*100)</f>
        <v>5.344135442830919E-2</v>
      </c>
      <c r="F40" s="19">
        <f>IF(808.509="","-",808.509/601300.25754*100)</f>
        <v>0.13446011204247921</v>
      </c>
      <c r="G40" s="19">
        <f>IF(OR(666821.53755="",76.40711="",367.21775=""),"-",(367.21775-76.40711)/666821.53755*100)</f>
        <v>4.3611464780888891E-2</v>
      </c>
      <c r="H40" s="19">
        <f>IF(OR(687141.54783="",808.509="",367.21775=""),"-",(808.509-367.21775)/687141.54783*100)</f>
        <v>6.4221302203833E-2</v>
      </c>
    </row>
    <row r="41" spans="1:8" s="3" customFormat="1" ht="12.75" x14ac:dyDescent="0.2">
      <c r="A41" s="57" t="s">
        <v>11</v>
      </c>
      <c r="B41" s="41">
        <v>1102.45255</v>
      </c>
      <c r="C41" s="19">
        <v>791.68043999999998</v>
      </c>
      <c r="D41" s="19">
        <f>IF(OR(1102.45255="",791.68044=""),"-",791.68044/1102.45255*100)</f>
        <v>71.810840294214927</v>
      </c>
      <c r="E41" s="19">
        <f>IF(1102.45255="","-",1102.45255/687141.54783*100)</f>
        <v>0.16044038575189584</v>
      </c>
      <c r="F41" s="19">
        <f>IF(791.68044="","-",791.68044/601300.25754*100)</f>
        <v>0.13166141708285156</v>
      </c>
      <c r="G41" s="19">
        <f>IF(OR(666821.53755="",1167.80337="",1102.45255=""),"-",(1102.45255-1167.80337)/666821.53755*100)</f>
        <v>-9.8003463175632567E-3</v>
      </c>
      <c r="H41" s="19">
        <f>IF(OR(687141.54783="",791.68044="",1102.45255=""),"-",(791.68044-1102.45255)/687141.54783*100)</f>
        <v>-4.5226796572179553E-2</v>
      </c>
    </row>
    <row r="42" spans="1:8" s="3" customFormat="1" ht="12.75" x14ac:dyDescent="0.2">
      <c r="A42" s="57" t="s">
        <v>10</v>
      </c>
      <c r="B42" s="41">
        <v>812.44898000000001</v>
      </c>
      <c r="C42" s="19">
        <v>722.82740999999999</v>
      </c>
      <c r="D42" s="19">
        <f>IF(OR(812.44898="",722.82741=""),"-",722.82741/812.44898*100)</f>
        <v>88.968960241663424</v>
      </c>
      <c r="E42" s="19">
        <f>IF(812.44898="","-",812.44898/687141.54783*100)</f>
        <v>0.11823604358748531</v>
      </c>
      <c r="F42" s="19">
        <f>IF(722.82741="","-",722.82741/601300.25754*100)</f>
        <v>0.12021072682675769</v>
      </c>
      <c r="G42" s="19">
        <f>IF(OR(666821.53755="",655.94285="",812.44898=""),"-",(812.44898-655.94285)/666821.53755*100)</f>
        <v>2.3470467162027553E-2</v>
      </c>
      <c r="H42" s="19">
        <f>IF(OR(687141.54783="",722.82741="",812.44898=""),"-",(722.82741-812.44898)/687141.54783*100)</f>
        <v>-1.3042664976819674E-2</v>
      </c>
    </row>
    <row r="43" spans="1:8" s="2" customFormat="1" x14ac:dyDescent="0.25">
      <c r="A43" s="57" t="s">
        <v>14</v>
      </c>
      <c r="B43" s="41">
        <v>42.13064</v>
      </c>
      <c r="C43" s="19">
        <v>519.06943999999999</v>
      </c>
      <c r="D43" s="19" t="s">
        <v>341</v>
      </c>
      <c r="E43" s="19">
        <f>IF(42.13064="","-",42.13064/687141.54783*100)</f>
        <v>6.1312898533131908E-3</v>
      </c>
      <c r="F43" s="19">
        <f>IF(519.06944="","-",519.06944/601300.25754*100)</f>
        <v>8.632449986360935E-2</v>
      </c>
      <c r="G43" s="19">
        <f>IF(OR(666821.53755="",18.01218="",42.13064=""),"-",(42.13064-18.01218)/666821.53755*100)</f>
        <v>3.6169287645709159E-3</v>
      </c>
      <c r="H43" s="19">
        <f>IF(OR(687141.54783="",519.06944="",42.13064=""),"-",(519.06944-42.13064)/687141.54783*100)</f>
        <v>6.9409105228198986E-2</v>
      </c>
    </row>
    <row r="44" spans="1:8" s="2" customFormat="1" x14ac:dyDescent="0.25">
      <c r="A44" s="57" t="s">
        <v>12</v>
      </c>
      <c r="B44" s="41">
        <v>269.65469000000002</v>
      </c>
      <c r="C44" s="19">
        <v>467.30721999999997</v>
      </c>
      <c r="D44" s="19" t="s">
        <v>293</v>
      </c>
      <c r="E44" s="19">
        <f>IF(269.65469="","-",269.65469/687141.54783*100)</f>
        <v>3.9242961053886534E-2</v>
      </c>
      <c r="F44" s="19">
        <f>IF(467.30722="","-",467.30722/601300.25754*100)</f>
        <v>7.7716118385150287E-2</v>
      </c>
      <c r="G44" s="19">
        <f>IF(OR(666821.53755="",417.48861="",269.65469=""),"-",(269.65469-417.48861)/666821.53755*100)</f>
        <v>-2.2169937783228094E-2</v>
      </c>
      <c r="H44" s="19">
        <f>IF(OR(687141.54783="",467.30722="",269.65469=""),"-",(467.30722-269.65469)/687141.54783*100)</f>
        <v>2.8764456264388123E-2</v>
      </c>
    </row>
    <row r="45" spans="1:8" s="4" customFormat="1" x14ac:dyDescent="0.25">
      <c r="A45" s="56" t="s">
        <v>107</v>
      </c>
      <c r="B45" s="42">
        <v>197419.25813</v>
      </c>
      <c r="C45" s="42">
        <v>157670.89363999999</v>
      </c>
      <c r="D45" s="18">
        <f>IF(197419.25813="","-",157670.89364/197419.25813*100)</f>
        <v>79.866014660116988</v>
      </c>
      <c r="E45" s="18">
        <f>IF(197419.25813="","-",197419.25813/687141.54783*100)</f>
        <v>28.730508110512602</v>
      </c>
      <c r="F45" s="18">
        <f>IF(157670.89364="","-",157670.89364/601300.25754*100)</f>
        <v>26.221657427032007</v>
      </c>
      <c r="G45" s="18">
        <f>IF(666821.53755="","-",(197419.25813-189179.58658)/666821.53755*100)</f>
        <v>1.2356636800115606</v>
      </c>
      <c r="H45" s="18">
        <f>IF(687141.54783="","-",(157670.89364-197419.25813)/687141.54783*100)</f>
        <v>-5.7845962910445081</v>
      </c>
    </row>
    <row r="46" spans="1:8" s="2" customFormat="1" x14ac:dyDescent="0.25">
      <c r="A46" s="72" t="s">
        <v>8</v>
      </c>
      <c r="B46" s="43">
        <v>109709.16776</v>
      </c>
      <c r="C46" s="43">
        <v>45049.882389999999</v>
      </c>
      <c r="D46" s="19">
        <f>IF(OR(109709.16776="",45049.88239=""),"-",45049.88239/109709.16776*100)</f>
        <v>41.06300622802209</v>
      </c>
      <c r="E46" s="19">
        <f>IF(109709.16776="","-",109709.16776/687141.54783*100)</f>
        <v>15.96602157247843</v>
      </c>
      <c r="F46" s="19">
        <f>IF(45049.88239="","-",45049.88239/601300.25754*100)</f>
        <v>7.4920776808420326</v>
      </c>
      <c r="G46" s="19">
        <f>IF(OR(666821.53755="",15499.89503="",109709.16776=""),"-",(109709.16776-15499.89503)/666821.53755*100)</f>
        <v>14.128108860451427</v>
      </c>
      <c r="H46" s="19">
        <f>IF(OR(687141.54783="",45049.88239="",109709.16776=""),"-",(45049.88239-109709.16776)/687141.54783*100)</f>
        <v>-9.4098931398042627</v>
      </c>
    </row>
    <row r="47" spans="1:8" s="6" customFormat="1" x14ac:dyDescent="0.25">
      <c r="A47" s="66" t="s">
        <v>49</v>
      </c>
      <c r="B47" s="43">
        <v>27592.98976</v>
      </c>
      <c r="C47" s="43">
        <v>38922.53486</v>
      </c>
      <c r="D47" s="19">
        <f>IF(OR(27592.98976="",38922.53486=""),"-",38922.53486/27592.98976*100)</f>
        <v>141.05950532560195</v>
      </c>
      <c r="E47" s="19">
        <f>IF(27592.98976="","-",27592.98976/687141.54783*100)</f>
        <v>4.0156194669262746</v>
      </c>
      <c r="F47" s="19">
        <f>IF(38922.53486="","-",38922.53486/601300.25754*100)</f>
        <v>6.47306139851616</v>
      </c>
      <c r="G47" s="19">
        <f>IF(OR(666821.53755="",92236.38198="",27592.98976=""),"-",(27592.98976-92236.38198)/666821.53755*100)</f>
        <v>-9.6942567958301549</v>
      </c>
      <c r="H47" s="19">
        <f>IF(OR(687141.54783="",38922.53486="",27592.98976=""),"-",(38922.53486-27592.98976)/687141.54783*100)</f>
        <v>1.6487934888785021</v>
      </c>
    </row>
    <row r="48" spans="1:8" s="4" customFormat="1" x14ac:dyDescent="0.25">
      <c r="A48" s="72" t="s">
        <v>15</v>
      </c>
      <c r="B48" s="43">
        <v>10894.41192</v>
      </c>
      <c r="C48" s="43">
        <v>19453.569899999999</v>
      </c>
      <c r="D48" s="19" t="s">
        <v>295</v>
      </c>
      <c r="E48" s="19">
        <f>IF(10894.41192="","-",10894.41192/687141.54783*100)</f>
        <v>1.5854683732055883</v>
      </c>
      <c r="F48" s="19">
        <f>IF(19453.5699="","-",19453.5699/601300.25754*100)</f>
        <v>3.2352505517937349</v>
      </c>
      <c r="G48" s="19">
        <f>IF(OR(666821.53755="",4843.56528="",10894.41192=""),"-",(10894.41192-4843.56528)/666821.53755*100)</f>
        <v>0.90741619747791846</v>
      </c>
      <c r="H48" s="19">
        <f>IF(OR(687141.54783="",19453.5699="",10894.41192=""),"-",(19453.5699-10894.41192)/687141.54783*100)</f>
        <v>1.2456178799011506</v>
      </c>
    </row>
    <row r="49" spans="1:8" s="2" customFormat="1" x14ac:dyDescent="0.25">
      <c r="A49" s="57" t="s">
        <v>287</v>
      </c>
      <c r="B49" s="43">
        <v>4967.6367200000004</v>
      </c>
      <c r="C49" s="41">
        <v>9629.4408500000009</v>
      </c>
      <c r="D49" s="19" t="s">
        <v>294</v>
      </c>
      <c r="E49" s="19">
        <f>IF(4967.63672="","-",4967.63672/687141.54783*100)</f>
        <v>0.72294227232916519</v>
      </c>
      <c r="F49" s="19">
        <f>IF(9629.44085="","-",9629.44085/601300.25754*100)</f>
        <v>1.6014363422020363</v>
      </c>
      <c r="G49" s="19">
        <f>IF(OR(666821.53755="",25589.85957="",4967.63672=""),"-",(4967.63672-25589.85957)/666821.53755*100)</f>
        <v>-3.0926149934762255</v>
      </c>
      <c r="H49" s="19">
        <f>IF(OR(687141.54783="",9629.44085="",4967.63672=""),"-",(9629.44085-4967.63672)/687141.54783*100)</f>
        <v>0.67843432619116473</v>
      </c>
    </row>
    <row r="50" spans="1:8" s="6" customFormat="1" x14ac:dyDescent="0.25">
      <c r="A50" s="57" t="s">
        <v>55</v>
      </c>
      <c r="B50" s="41">
        <v>0.2</v>
      </c>
      <c r="C50" s="41">
        <v>7458.0019700000003</v>
      </c>
      <c r="D50" s="19" t="s">
        <v>342</v>
      </c>
      <c r="E50" s="19">
        <f>IF(0.2="","-",0.2/687141.54783*100)</f>
        <v>2.9106084566069688E-5</v>
      </c>
      <c r="F50" s="19">
        <f>IF(7458.00197="","-",7458.00197/601300.25754*100)</f>
        <v>1.2403124523032281</v>
      </c>
      <c r="G50" s="19">
        <f>IF(OR(666821.53755="",1161.08693="",0.2=""),"-",(0.2-1161.08693)/666821.53755*100)</f>
        <v>-0.17409259668865354</v>
      </c>
      <c r="H50" s="19">
        <f>IF(OR(687141.54783="",7458.00197="",0.2=""),"-",(7458.00197-0.2)/687141.54783*100)</f>
        <v>1.0853370740791057</v>
      </c>
    </row>
    <row r="51" spans="1:8" s="2" customFormat="1" x14ac:dyDescent="0.25">
      <c r="A51" s="57" t="s">
        <v>286</v>
      </c>
      <c r="B51" s="41">
        <v>7541.4852099999998</v>
      </c>
      <c r="C51" s="41">
        <v>5589.2469600000004</v>
      </c>
      <c r="D51" s="19">
        <f>IF(OR(7541.48521="",5589.24696=""),"-",5589.24696/7541.48521*100)</f>
        <v>74.113345108582408</v>
      </c>
      <c r="E51" s="19">
        <f>IF(7541.48521="","-",7541.48521/687141.54783*100)</f>
        <v>1.097515531380119</v>
      </c>
      <c r="F51" s="19">
        <f>IF(5589.24696="","-",5589.24696/601300.25754*100)</f>
        <v>0.92952678631244223</v>
      </c>
      <c r="G51" s="19">
        <f>IF(OR(666821.53755="",16865.77551="",7541.48521=""),"-",(7541.48521-16865.77551)/666821.53755*100)</f>
        <v>-1.3983187067200631</v>
      </c>
      <c r="H51" s="19">
        <f>IF(OR(687141.54783="",5589.24696="",7541.48521=""),"-",(5589.24696-7541.48521)/687141.54783*100)</f>
        <v>-0.28411005798807942</v>
      </c>
    </row>
    <row r="52" spans="1:8" s="2" customFormat="1" x14ac:dyDescent="0.25">
      <c r="A52" s="57" t="s">
        <v>30</v>
      </c>
      <c r="B52" s="19">
        <v>1868.40488</v>
      </c>
      <c r="C52" s="41">
        <v>2938.2935299999999</v>
      </c>
      <c r="D52" s="19">
        <f>IF(OR(1868.40488="",2938.29353=""),"-",2938.29353/1868.40488*100)</f>
        <v>157.26214170453247</v>
      </c>
      <c r="E52" s="19">
        <f>IF(1868.40488="","-",1868.40488/687141.54783*100)</f>
        <v>0.27190975220468644</v>
      </c>
      <c r="F52" s="19">
        <f>IF(2938.29353="","-",2938.29353/601300.25754*100)</f>
        <v>0.48865662257005393</v>
      </c>
      <c r="G52" s="19">
        <f>IF(OR(666821.53755="",992.64115="",1868.40488=""),"-",(1868.40488-992.64115)/666821.53755*100)</f>
        <v>0.13133404976955065</v>
      </c>
      <c r="H52" s="19">
        <f>IF(OR(687141.54783="",2938.29353="",1868.40488=""),"-",(2938.29353-1868.40488)/687141.54783*100)</f>
        <v>0.15570134761589063</v>
      </c>
    </row>
    <row r="53" spans="1:8" s="2" customFormat="1" x14ac:dyDescent="0.25">
      <c r="A53" s="57" t="s">
        <v>57</v>
      </c>
      <c r="B53" s="41">
        <v>2544.9508999999998</v>
      </c>
      <c r="C53" s="41">
        <v>2921.5726399999999</v>
      </c>
      <c r="D53" s="19">
        <f>IF(OR(2544.9509="",2921.57264=""),"-",2921.57264/2544.9509*100)</f>
        <v>114.7987821690391</v>
      </c>
      <c r="E53" s="19">
        <f>IF(2544.9509="","-",2544.9509/687141.54783*100)</f>
        <v>0.37036778055947578</v>
      </c>
      <c r="F53" s="19">
        <f>IF(2921.57264="","-",2921.57264/601300.25754*100)</f>
        <v>0.48587583380598331</v>
      </c>
      <c r="G53" s="19">
        <f>IF(OR(666821.53755="",2512.62829="",2544.9509=""),"-",(2544.9509-2512.62829)/666821.53755*100)</f>
        <v>4.8472654495770665E-3</v>
      </c>
      <c r="H53" s="19">
        <f>IF(OR(687141.54783="",2921.57264="",2544.9509=""),"-",(2921.57264-2544.9509)/687141.54783*100)</f>
        <v>5.4809921069301555E-2</v>
      </c>
    </row>
    <row r="54" spans="1:8" s="4" customFormat="1" x14ac:dyDescent="0.25">
      <c r="A54" s="57" t="s">
        <v>50</v>
      </c>
      <c r="B54" s="41">
        <v>677.19731000000002</v>
      </c>
      <c r="C54" s="41">
        <v>2327.2705999999998</v>
      </c>
      <c r="D54" s="19" t="s">
        <v>303</v>
      </c>
      <c r="E54" s="19">
        <f>IF(677.19731="","-",677.19731/687141.54783*100)</f>
        <v>9.8552810863874546E-2</v>
      </c>
      <c r="F54" s="19">
        <f>IF(2327.2706="","-",2327.2706/601300.25754*100)</f>
        <v>0.38703968122700894</v>
      </c>
      <c r="G54" s="19">
        <f>IF(OR(666821.53755="",1076.2797="",677.19731=""),"-",(677.19731-1076.2797)/666821.53755*100)</f>
        <v>-5.9848455325286459E-2</v>
      </c>
      <c r="H54" s="19">
        <f>IF(OR(687141.54783="",2327.2706="",677.19731=""),"-",(2327.2706-677.19731)/687141.54783*100)</f>
        <v>0.2401358635947641</v>
      </c>
    </row>
    <row r="55" spans="1:8" s="6" customFormat="1" x14ac:dyDescent="0.25">
      <c r="A55" s="57" t="s">
        <v>51</v>
      </c>
      <c r="B55" s="41">
        <v>3145.8542600000001</v>
      </c>
      <c r="C55" s="41">
        <v>2294.8941199999999</v>
      </c>
      <c r="D55" s="19">
        <f>IF(OR(3145.85426="",2294.89412=""),"-",2294.89412/3145.85426*100)</f>
        <v>72.949791386712235</v>
      </c>
      <c r="E55" s="19">
        <f>IF(3145.85426="","-",3145.85426/687141.54783*100)</f>
        <v>0.45781750062045284</v>
      </c>
      <c r="F55" s="19">
        <f>IF(2294.89412="","-",2294.89412/601300.25754*100)</f>
        <v>0.3816552697630165</v>
      </c>
      <c r="G55" s="19">
        <f>IF(OR(666821.53755="",2996.41715="",3145.85426=""),"-",(3145.85426-2996.41715)/666821.53755*100)</f>
        <v>2.2410360431526204E-2</v>
      </c>
      <c r="H55" s="19">
        <f>IF(OR(687141.54783="",2294.89412="",3145.85426=""),"-",(2294.89412-3145.85426)/687141.54783*100)</f>
        <v>-0.12384058898597251</v>
      </c>
    </row>
    <row r="56" spans="1:8" s="2" customFormat="1" x14ac:dyDescent="0.25">
      <c r="A56" s="57" t="s">
        <v>59</v>
      </c>
      <c r="B56" s="41">
        <v>2539.0599900000002</v>
      </c>
      <c r="C56" s="41">
        <v>2043.8243299999999</v>
      </c>
      <c r="D56" s="19">
        <f>IF(OR(2539.05999="",2043.82433=""),"-",2043.82433/2539.05999*100)</f>
        <v>80.495314724722192</v>
      </c>
      <c r="E56" s="19">
        <f>IF(2539.05999="","-",2539.05999/687141.54783*100)</f>
        <v>0.36951047393632031</v>
      </c>
      <c r="F56" s="19">
        <f>IF(2043.82433="","-",2043.82433/601300.25754*100)</f>
        <v>0.33990079072334994</v>
      </c>
      <c r="G56" s="19">
        <f>IF(OR(666821.53755="",1478.0701="",2539.05999=""),"-",(2539.05999-1478.0701)/666821.53755*100)</f>
        <v>0.15911152088731753</v>
      </c>
      <c r="H56" s="19">
        <f>IF(OR(687141.54783="",2043.82433="",2539.05999=""),"-",(2043.82433-2539.05999)/687141.54783*100)</f>
        <v>-7.2071855000466714E-2</v>
      </c>
    </row>
    <row r="57" spans="1:8" s="2" customFormat="1" x14ac:dyDescent="0.25">
      <c r="A57" s="57" t="s">
        <v>52</v>
      </c>
      <c r="B57" s="41">
        <v>675.43579999999997</v>
      </c>
      <c r="C57" s="41">
        <v>1782.6537900000001</v>
      </c>
      <c r="D57" s="19" t="s">
        <v>315</v>
      </c>
      <c r="E57" s="19">
        <f>IF(675.4358="","-",675.4358/687141.54783*100)</f>
        <v>9.8296457568754644E-2</v>
      </c>
      <c r="F57" s="19">
        <f>IF(1782.65379="","-",1782.65379/601300.25754*100)</f>
        <v>0.29646649367706507</v>
      </c>
      <c r="G57" s="19">
        <f>IF(OR(666821.53755="",1016.78053="",675.4358=""),"-",(675.4358-1016.78053)/666821.53755*100)</f>
        <v>-5.1189817781553744E-2</v>
      </c>
      <c r="H57" s="19">
        <f>IF(OR(687141.54783="",1782.65379="",675.4358=""),"-",(1782.65379-675.4358)/687141.54783*100)</f>
        <v>0.16113390225006852</v>
      </c>
    </row>
    <row r="58" spans="1:8" s="2" customFormat="1" x14ac:dyDescent="0.25">
      <c r="A58" s="57" t="s">
        <v>322</v>
      </c>
      <c r="B58" s="41">
        <v>36.781709999999997</v>
      </c>
      <c r="C58" s="41">
        <v>1459.8207199999999</v>
      </c>
      <c r="D58" s="19" t="s">
        <v>343</v>
      </c>
      <c r="E58" s="19">
        <f>IF(36.78171="","-",36.78171/687141.54783*100)</f>
        <v>5.352857808723255E-3</v>
      </c>
      <c r="F58" s="19">
        <f>IF(1459.82072="","-",1459.82072/601300.25754*100)</f>
        <v>0.24277733157346751</v>
      </c>
      <c r="G58" s="19">
        <f>IF(OR(666821.53755="",138.18994="",36.78171=""),"-",(36.78171-138.18994)/666821.53755*100)</f>
        <v>-1.5207701654716896E-2</v>
      </c>
      <c r="H58" s="19">
        <f>IF(OR(687141.54783="",1459.82072="",36.78171=""),"-",(1459.82072-36.78171)/687141.54783*100)</f>
        <v>0.20709546882938043</v>
      </c>
    </row>
    <row r="59" spans="1:8" s="2" customFormat="1" x14ac:dyDescent="0.25">
      <c r="A59" s="57" t="s">
        <v>54</v>
      </c>
      <c r="B59" s="41">
        <v>1885.37644</v>
      </c>
      <c r="C59" s="41">
        <v>1430.8954100000001</v>
      </c>
      <c r="D59" s="19">
        <f>IF(OR(1885.37644="",1430.89541=""),"-",1430.89541/1885.37644*100)</f>
        <v>75.894414486265674</v>
      </c>
      <c r="E59" s="19">
        <f>IF(1885.37644="","-",1885.37644/687141.54783*100)</f>
        <v>0.27437963050757702</v>
      </c>
      <c r="F59" s="19">
        <f>IF(1430.89541="","-",1430.89541/601300.25754*100)</f>
        <v>0.23796687130219854</v>
      </c>
      <c r="G59" s="19">
        <f>IF(OR(666821.53755="",1069.30032="",1885.37644=""),"-",(1885.37644-1069.30032)/666821.53755*100)</f>
        <v>0.12238298765789467</v>
      </c>
      <c r="H59" s="19">
        <f>IF(OR(687141.54783="",1430.89541="",1885.37644=""),"-",(1430.89541-1885.37644)/687141.54783*100)</f>
        <v>-6.6140816464272251E-2</v>
      </c>
    </row>
    <row r="60" spans="1:8" s="2" customFormat="1" x14ac:dyDescent="0.25">
      <c r="A60" s="57" t="s">
        <v>267</v>
      </c>
      <c r="B60" s="41" t="s">
        <v>261</v>
      </c>
      <c r="C60" s="41">
        <v>1317.7790199999999</v>
      </c>
      <c r="D60" s="41" t="s">
        <v>261</v>
      </c>
      <c r="E60" s="41" t="s">
        <v>261</v>
      </c>
      <c r="F60" s="19">
        <f>IF(1317.77902="","-",1317.77902/601300.25754*100)</f>
        <v>0.21915490696631507</v>
      </c>
      <c r="G60" s="41" t="s">
        <v>261</v>
      </c>
      <c r="H60" s="41" t="s">
        <v>261</v>
      </c>
    </row>
    <row r="61" spans="1:8" s="2" customFormat="1" x14ac:dyDescent="0.25">
      <c r="A61" s="57" t="s">
        <v>65</v>
      </c>
      <c r="B61" s="41">
        <v>5327.76667</v>
      </c>
      <c r="C61" s="41">
        <v>1205.1956600000001</v>
      </c>
      <c r="D61" s="19">
        <f>IF(OR(5327.76667="",1205.19566=""),"-",1205.19566/5327.76667*100)</f>
        <v>22.621029310204385</v>
      </c>
      <c r="E61" s="19">
        <f>IF(5327.76667="","-",5327.76667/687141.54783*100)</f>
        <v>0.77535213622653743</v>
      </c>
      <c r="F61" s="19">
        <f>IF(1205.19566="","-",1205.19566/601300.25754*100)</f>
        <v>0.20043158885888673</v>
      </c>
      <c r="G61" s="19">
        <f>IF(OR(666821.53755="",442.21531="",5327.76667=""),"-",(5327.76667-442.21531)/666821.53755*100)</f>
        <v>0.7326625018667261</v>
      </c>
      <c r="H61" s="19">
        <f>IF(OR(687141.54783="",1205.19566="",5327.76667=""),"-",(1205.19566-5327.76667)/687141.54783*100)</f>
        <v>-0.59995950223343653</v>
      </c>
    </row>
    <row r="62" spans="1:8" s="2" customFormat="1" x14ac:dyDescent="0.25">
      <c r="A62" s="72" t="s">
        <v>62</v>
      </c>
      <c r="B62" s="41">
        <v>225.28124</v>
      </c>
      <c r="C62" s="43">
        <v>1071.2180599999999</v>
      </c>
      <c r="D62" s="19" t="s">
        <v>319</v>
      </c>
      <c r="E62" s="19">
        <f>IF(225.28124="","-",225.28124/687141.54783*100)</f>
        <v>3.2785274112945205E-2</v>
      </c>
      <c r="F62" s="19">
        <f>IF(1071.21806="","-",1071.21806/601300.25754*100)</f>
        <v>0.17815027460365587</v>
      </c>
      <c r="G62" s="19">
        <f>IF(OR(666821.53755="",139.428="",225.28124=""),"-",(225.28124-139.428)/666821.53755*100)</f>
        <v>1.2874995057213866E-2</v>
      </c>
      <c r="H62" s="19">
        <f>IF(OR(687141.54783="",1071.21806="",225.28124=""),"-",(1071.21806-225.28124)/687141.54783*100)</f>
        <v>0.12310954310236033</v>
      </c>
    </row>
    <row r="63" spans="1:8" s="2" customFormat="1" x14ac:dyDescent="0.25">
      <c r="A63" s="57" t="s">
        <v>373</v>
      </c>
      <c r="B63" s="41">
        <v>67.144810000000007</v>
      </c>
      <c r="C63" s="41">
        <v>1065.5845300000001</v>
      </c>
      <c r="D63" s="19" t="s">
        <v>344</v>
      </c>
      <c r="E63" s="19">
        <f>IF(67.14481="","-",67.14481/687141.54783*100)</f>
        <v>9.7716125901634084E-3</v>
      </c>
      <c r="F63" s="19">
        <f>IF(1065.58453="","-",1065.58453/601300.25754*100)</f>
        <v>0.17721338327035635</v>
      </c>
      <c r="G63" s="19">
        <f>IF(OR(666821.53755="",26.39739="",67.14481=""),"-",(67.14481-26.39739)/666821.53755*100)</f>
        <v>6.1106934472620654E-3</v>
      </c>
      <c r="H63" s="19">
        <f>IF(OR(687141.54783="",1065.58453="",67.14481=""),"-",(1065.58453-67.14481)/687141.54783*100)</f>
        <v>0.14530335462221469</v>
      </c>
    </row>
    <row r="64" spans="1:8" s="2" customFormat="1" x14ac:dyDescent="0.25">
      <c r="A64" s="57" t="s">
        <v>101</v>
      </c>
      <c r="B64" s="41">
        <v>372.88404000000003</v>
      </c>
      <c r="C64" s="41">
        <v>1007.95278</v>
      </c>
      <c r="D64" s="19" t="s">
        <v>340</v>
      </c>
      <c r="E64" s="19">
        <f>IF(372.88404="","-",372.88404/687141.54783*100)</f>
        <v>5.4265972007888567E-2</v>
      </c>
      <c r="F64" s="19">
        <f>IF(1007.95278="","-",1007.95278/601300.25754*100)</f>
        <v>0.16762886218004794</v>
      </c>
      <c r="G64" s="19">
        <f>IF(OR(666821.53755="",709.52338="",372.88404=""),"-",(372.88404-709.52338)/666821.53755*100)</f>
        <v>-5.0484173207251549E-2</v>
      </c>
      <c r="H64" s="19">
        <f>IF(OR(687141.54783="",1007.95278="",372.88404=""),"-",(1007.95278-372.88404)/687141.54783*100)</f>
        <v>9.2421822258536596E-2</v>
      </c>
    </row>
    <row r="65" spans="1:8" x14ac:dyDescent="0.25">
      <c r="A65" s="57" t="s">
        <v>83</v>
      </c>
      <c r="B65" s="41">
        <v>207.12123</v>
      </c>
      <c r="C65" s="41">
        <v>849.60760000000005</v>
      </c>
      <c r="D65" s="19" t="s">
        <v>307</v>
      </c>
      <c r="E65" s="19">
        <f>IF(207.12123="","-",207.12123/687141.54783*100)</f>
        <v>3.014244017904185E-2</v>
      </c>
      <c r="F65" s="19">
        <f>IF(849.6076="","-",849.6076/601300.25754*100)</f>
        <v>0.14129506670691588</v>
      </c>
      <c r="G65" s="19">
        <f>IF(OR(666821.53755="",511.15533="",207.12123=""),"-",(207.12123-511.15533)/666821.53755*100)</f>
        <v>-4.5594523103897604E-2</v>
      </c>
      <c r="H65" s="19">
        <f>IF(OR(687141.54783="",849.6076="",207.12123=""),"-",(849.6076-207.12123)/687141.54783*100)</f>
        <v>9.3501313088835705E-2</v>
      </c>
    </row>
    <row r="66" spans="1:8" x14ac:dyDescent="0.25">
      <c r="A66" s="57" t="s">
        <v>66</v>
      </c>
      <c r="B66" s="41">
        <v>530.03128000000004</v>
      </c>
      <c r="C66" s="41">
        <v>820.52098999999998</v>
      </c>
      <c r="D66" s="19">
        <f>IF(OR(530.03128="",820.52099=""),"-",820.52099/530.03128*100)</f>
        <v>154.80614464867054</v>
      </c>
      <c r="E66" s="19">
        <f>IF(530.03128="","-",530.03128/687141.54783*100)</f>
        <v>7.7135676291710809E-2</v>
      </c>
      <c r="F66" s="19">
        <f>IF(820.52099="","-",820.52099/601300.25754*100)</f>
        <v>0.13645778123509567</v>
      </c>
      <c r="G66" s="19">
        <f>IF(OR(666821.53755="",408.72268="",530.03128=""),"-",(530.03128-408.72268)/666821.53755*100)</f>
        <v>1.8192063868498545E-2</v>
      </c>
      <c r="H66" s="19">
        <f>IF(OR(687141.54783="",820.52099="",530.03128=""),"-",(820.52099-530.03128)/687141.54783*100)</f>
        <v>4.2275090324165286E-2</v>
      </c>
    </row>
    <row r="67" spans="1:8" x14ac:dyDescent="0.25">
      <c r="A67" s="57" t="s">
        <v>58</v>
      </c>
      <c r="B67" s="41">
        <v>80.462260000000001</v>
      </c>
      <c r="C67" s="41">
        <v>745.05087000000003</v>
      </c>
      <c r="D67" s="19" t="s">
        <v>345</v>
      </c>
      <c r="E67" s="19">
        <f>IF(80.46226="","-",80.46226/687141.54783*100)</f>
        <v>1.1709706719685431E-2</v>
      </c>
      <c r="F67" s="19">
        <f>IF(745.05087="","-",745.05087/601300.25754*100)</f>
        <v>0.12390662745565802</v>
      </c>
      <c r="G67" s="19">
        <f>IF(OR(666821.53755="",578.8395="",80.46226=""),"-",(80.46226-578.8395)/666821.53755*100)</f>
        <v>-7.4739223605630817E-2</v>
      </c>
      <c r="H67" s="19">
        <f>IF(OR(687141.54783="",745.05087="",80.46226=""),"-",(745.05087-80.46226)/687141.54783*100)</f>
        <v>9.6717861421533532E-2</v>
      </c>
    </row>
    <row r="68" spans="1:8" x14ac:dyDescent="0.25">
      <c r="A68" s="57" t="s">
        <v>74</v>
      </c>
      <c r="B68" s="41">
        <v>1745.1668400000001</v>
      </c>
      <c r="C68" s="41">
        <v>630.52653999999995</v>
      </c>
      <c r="D68" s="19">
        <f>IF(OR(1745.16684="",630.52654=""),"-",630.52654/1745.16684*100)</f>
        <v>36.129871686079021</v>
      </c>
      <c r="E68" s="19">
        <f>IF(1745.16684="","-",1745.16684/687141.54783*100)</f>
        <v>0.25397486813470305</v>
      </c>
      <c r="F68" s="19">
        <f>IF(630.52654="","-",630.52654/601300.25754*100)</f>
        <v>0.10486051387697198</v>
      </c>
      <c r="G68" s="19">
        <f>IF(OR(666821.53755="",0.13875="",1745.16684=""),"-",(1745.16684-0.13875)/666821.53755*100)</f>
        <v>0.26169342046321548</v>
      </c>
      <c r="H68" s="19">
        <f>IF(OR(687141.54783="",630.52654="",1745.16684=""),"-",(630.52654-1745.16684)/687141.54783*100)</f>
        <v>-0.16221407416274644</v>
      </c>
    </row>
    <row r="69" spans="1:8" x14ac:dyDescent="0.25">
      <c r="A69" s="57" t="s">
        <v>288</v>
      </c>
      <c r="B69" s="41">
        <v>413.89017999999999</v>
      </c>
      <c r="C69" s="41">
        <v>557.99360999999999</v>
      </c>
      <c r="D69" s="19">
        <f>IF(OR(413.89018="",557.99361=""),"-",557.99361/413.89018*100)</f>
        <v>134.81682749757437</v>
      </c>
      <c r="E69" s="19">
        <f>IF(413.89018="","-",413.89018/687141.54783*100)</f>
        <v>6.0233612900729018E-2</v>
      </c>
      <c r="F69" s="19">
        <f>IF(557.99361="","-",557.99361/601300.25754*100)</f>
        <v>9.279783319615173E-2</v>
      </c>
      <c r="G69" s="19">
        <f>IF(OR(666821.53755="",331.69774="",413.89018=""),"-",(413.89018-331.69774)/666821.53755*100)</f>
        <v>1.2326002591635995E-2</v>
      </c>
      <c r="H69" s="19">
        <f>IF(OR(687141.54783="",557.99361="",413.89018=""),"-",(557.99361-413.89018)/687141.54783*100)</f>
        <v>2.0971433099203518E-2</v>
      </c>
    </row>
    <row r="70" spans="1:8" x14ac:dyDescent="0.25">
      <c r="A70" s="57" t="s">
        <v>67</v>
      </c>
      <c r="B70" s="41">
        <v>310.10138999999998</v>
      </c>
      <c r="C70" s="41">
        <v>523.52607</v>
      </c>
      <c r="D70" s="19" t="s">
        <v>293</v>
      </c>
      <c r="E70" s="19">
        <f>IF(310.10139="","-",310.10139/687141.54783*100)</f>
        <v>4.5129186406978779E-2</v>
      </c>
      <c r="F70" s="19">
        <f>IF(523.52607="","-",523.52607/601300.25754*100)</f>
        <v>8.7065665353581484E-2</v>
      </c>
      <c r="G70" s="19">
        <f>IF(OR(666821.53755="",322.43188="",310.10139=""),"-",(310.10139-322.43188)/666821.53755*100)</f>
        <v>-1.8491439321687213E-3</v>
      </c>
      <c r="H70" s="19">
        <f>IF(OR(687141.54783="",523.52607="",310.10139=""),"-",(523.52607-310.10139)/687141.54783*100)</f>
        <v>3.1059783922831811E-2</v>
      </c>
    </row>
    <row r="71" spans="1:8" x14ac:dyDescent="0.25">
      <c r="A71" s="57" t="s">
        <v>88</v>
      </c>
      <c r="B71" s="41">
        <v>38.835799999999999</v>
      </c>
      <c r="C71" s="41">
        <v>484.76814000000002</v>
      </c>
      <c r="D71" s="19" t="s">
        <v>346</v>
      </c>
      <c r="E71" s="19">
        <f>IF(38.8358="","-",38.8358/687141.54783*100)</f>
        <v>5.6517903949548452E-3</v>
      </c>
      <c r="F71" s="19">
        <f>IF(484.76814="","-",484.76814/601300.25754*100)</f>
        <v>8.0619978774539608E-2</v>
      </c>
      <c r="G71" s="19">
        <f>IF(OR(666821.53755="",244.18742="",38.8358=""),"-",(38.8358-244.18742)/666821.53755*100)</f>
        <v>-3.0795588989895546E-2</v>
      </c>
      <c r="H71" s="19">
        <f>IF(OR(687141.54783="",484.76814="",38.8358=""),"-",(484.76814-38.8358)/687141.54783*100)</f>
        <v>6.4896721993926695E-2</v>
      </c>
    </row>
    <row r="72" spans="1:8" x14ac:dyDescent="0.25">
      <c r="A72" s="72" t="s">
        <v>255</v>
      </c>
      <c r="B72" s="43">
        <v>7.0578000000000003</v>
      </c>
      <c r="C72" s="43">
        <v>380.72931999999997</v>
      </c>
      <c r="D72" s="19" t="s">
        <v>347</v>
      </c>
      <c r="E72" s="19">
        <f>IF(7.0578="","-",7.0578/687141.54783*100)</f>
        <v>1.0271246182520333E-3</v>
      </c>
      <c r="F72" s="19">
        <f>IF(380.72932="","-",380.72932/601300.25754*100)</f>
        <v>6.3317671201009409E-2</v>
      </c>
      <c r="G72" s="19">
        <f>IF(OR(666821.53755="",45.65851="",7.0578=""),"-",(7.0578-45.65851)/666821.53755*100)</f>
        <v>-5.7887617340352656E-3</v>
      </c>
      <c r="H72" s="19">
        <f>IF(OR(687141.54783="",380.72932="",7.0578=""),"-",(380.72932-7.0578)/687141.54783*100)</f>
        <v>5.4380574305259E-2</v>
      </c>
    </row>
    <row r="73" spans="1:8" x14ac:dyDescent="0.25">
      <c r="A73" s="57" t="s">
        <v>31</v>
      </c>
      <c r="B73" s="41">
        <v>530.88361999999995</v>
      </c>
      <c r="C73" s="41">
        <v>364.30925000000002</v>
      </c>
      <c r="D73" s="19">
        <f>IF(OR(530.88362="",364.30925=""),"-",364.30925/530.88362*100)</f>
        <v>68.623185247267571</v>
      </c>
      <c r="E73" s="19">
        <f>IF(530.88362="","-",530.88362/687141.54783*100)</f>
        <v>7.725971769230601E-2</v>
      </c>
      <c r="F73" s="19">
        <f>IF(364.30925="","-",364.30925/601300.25754*100)</f>
        <v>6.0586910687588591E-2</v>
      </c>
      <c r="G73" s="19">
        <f>IF(OR(666821.53755="",285.75932="",530.88362=""),"-",(530.88362-285.75932)/666821.53755*100)</f>
        <v>3.6760105395009068E-2</v>
      </c>
      <c r="H73" s="19">
        <f>IF(OR(687141.54783="",364.30925="",530.88362=""),"-",(364.30925-530.88362)/687141.54783*100)</f>
        <v>-2.4241638498798897E-2</v>
      </c>
    </row>
    <row r="74" spans="1:8" x14ac:dyDescent="0.25">
      <c r="A74" s="57" t="s">
        <v>109</v>
      </c>
      <c r="B74" s="41">
        <v>192.03088</v>
      </c>
      <c r="C74" s="41">
        <v>329.12788</v>
      </c>
      <c r="D74" s="19" t="s">
        <v>293</v>
      </c>
      <c r="E74" s="19">
        <f>IF(192.03088="","-",192.03088/687141.54783*100)</f>
        <v>2.7946335162883897E-2</v>
      </c>
      <c r="F74" s="19">
        <f>IF(329.12788="","-",329.12788/601300.25754*100)</f>
        <v>5.4736028443843732E-2</v>
      </c>
      <c r="G74" s="19">
        <f>IF(OR(666821.53755="",70.66408="",192.03088=""),"-",(192.03088-70.66408)/666821.53755*100)</f>
        <v>1.8200791840935343E-2</v>
      </c>
      <c r="H74" s="19">
        <f>IF(OR(687141.54783="",329.12788="",192.03088=""),"-",(329.12788-192.03088)/687141.54783*100)</f>
        <v>1.9951784378772278E-2</v>
      </c>
    </row>
    <row r="75" spans="1:8" x14ac:dyDescent="0.25">
      <c r="A75" s="57" t="s">
        <v>75</v>
      </c>
      <c r="B75" s="41">
        <v>258.86369000000002</v>
      </c>
      <c r="C75" s="41">
        <v>234.03989000000001</v>
      </c>
      <c r="D75" s="19">
        <f>IF(OR(258.86369="",234.03989=""),"-",234.03989/258.86369*100)</f>
        <v>90.410474331104524</v>
      </c>
      <c r="E75" s="19">
        <f>IF(258.86369="","-",258.86369/687141.54783*100)</f>
        <v>3.7672542261124237E-2</v>
      </c>
      <c r="F75" s="19">
        <f>IF(234.03989="","-",234.03989/601300.25754*100)</f>
        <v>3.8922299976635398E-2</v>
      </c>
      <c r="G75" s="19">
        <f>IF(OR(666821.53755="",32.57962="",258.86369=""),"-",(258.86369-32.57962)/666821.53755*100)</f>
        <v>3.3934727248223086E-2</v>
      </c>
      <c r="H75" s="19">
        <f>IF(OR(687141.54783="",234.03989="",258.86369=""),"-",(234.03989-258.86369)/687141.54783*100)</f>
        <v>-3.6126181102560046E-3</v>
      </c>
    </row>
    <row r="76" spans="1:8" x14ac:dyDescent="0.25">
      <c r="A76" s="57" t="s">
        <v>81</v>
      </c>
      <c r="B76" s="41">
        <v>240.45590000000001</v>
      </c>
      <c r="C76" s="41">
        <v>213.30166</v>
      </c>
      <c r="D76" s="19">
        <f>IF(OR(240.4559="",213.30166=""),"-",213.30166/240.4559*100)</f>
        <v>88.707184976538315</v>
      </c>
      <c r="E76" s="19">
        <f>IF(240.4559="","-",240.4559/687141.54783*100)</f>
        <v>3.499364879905198E-2</v>
      </c>
      <c r="F76" s="19">
        <f>IF(213.30166="","-",213.30166/601300.25754*100)</f>
        <v>3.5473402401762756E-2</v>
      </c>
      <c r="G76" s="19">
        <f>IF(OR(666821.53755="",106.36263="",240.4559=""),"-",(240.4559-106.36263)/666821.53755*100)</f>
        <v>2.0109318978009969E-2</v>
      </c>
      <c r="H76" s="19">
        <f>IF(OR(687141.54783="",213.30166="",240.4559=""),"-",(213.30166-240.4559)/687141.54783*100)</f>
        <v>-3.9517680288367633E-3</v>
      </c>
    </row>
    <row r="77" spans="1:8" x14ac:dyDescent="0.25">
      <c r="A77" s="57" t="s">
        <v>60</v>
      </c>
      <c r="B77" s="41">
        <v>101.83566999999999</v>
      </c>
      <c r="C77" s="41">
        <v>202.99912</v>
      </c>
      <c r="D77" s="19" t="s">
        <v>300</v>
      </c>
      <c r="E77" s="19">
        <f>IF(101.83567="","-",101.83567/687141.54783*100)</f>
        <v>1.4820188114311829E-2</v>
      </c>
      <c r="F77" s="19">
        <f>IF(202.99912="","-",202.99912/601300.25754*100)</f>
        <v>3.376002545392158E-2</v>
      </c>
      <c r="G77" s="19">
        <f>IF(OR(666821.53755="",14.7956="",101.83567=""),"-",(101.83567-14.7956)/666821.53755*100)</f>
        <v>1.3052978210601588E-2</v>
      </c>
      <c r="H77" s="19">
        <f>IF(OR(687141.54783="",202.99912="",101.83567=""),"-",(202.99912-101.83567)/687141.54783*100)</f>
        <v>1.4722359653476815E-2</v>
      </c>
    </row>
    <row r="78" spans="1:8" x14ac:dyDescent="0.25">
      <c r="A78" s="57" t="s">
        <v>268</v>
      </c>
      <c r="B78" s="41">
        <v>33.074759999999998</v>
      </c>
      <c r="C78" s="41">
        <v>195.46526</v>
      </c>
      <c r="D78" s="19" t="s">
        <v>348</v>
      </c>
      <c r="E78" s="19">
        <f>IF(33.07476="","-",33.07476/687141.54783*100)</f>
        <v>4.8133838078122946E-3</v>
      </c>
      <c r="F78" s="19">
        <f>IF(195.46526="","-",195.46526/601300.25754*100)</f>
        <v>3.2507097335975642E-2</v>
      </c>
      <c r="G78" s="19" t="s">
        <v>304</v>
      </c>
      <c r="H78" s="19">
        <f>IF(OR(687141.54783="",195.46526="",33.07476=""),"-",(195.46526-33.07476)/687141.54783*100)</f>
        <v>2.3632758128631699E-2</v>
      </c>
    </row>
    <row r="79" spans="1:8" x14ac:dyDescent="0.25">
      <c r="A79" s="57" t="s">
        <v>53</v>
      </c>
      <c r="B79" s="41">
        <v>2826.1007100000002</v>
      </c>
      <c r="C79" s="41">
        <v>170.32373000000001</v>
      </c>
      <c r="D79" s="19">
        <f>IF(OR(2826.10071="",170.32373=""),"-",170.32373/2826.10071*100)</f>
        <v>6.0268103467551226</v>
      </c>
      <c r="E79" s="19">
        <f>IF(2826.10071="","-",2826.10071/687141.54783*100)</f>
        <v>0.41128363128744799</v>
      </c>
      <c r="F79" s="19">
        <f>IF(170.32373="","-",170.32373/601300.25754*100)</f>
        <v>2.8325903384245538E-2</v>
      </c>
      <c r="G79" s="19">
        <f>IF(OR(666821.53755="",2194.07827="",2826.10071=""),"-",(2826.10071-2194.07827)/666821.53755*100)</f>
        <v>9.4781347693438822E-2</v>
      </c>
      <c r="H79" s="19">
        <f>IF(OR(687141.54783="",170.32373="",2826.10071=""),"-",(170.32373-2826.10071)/687141.54783*100)</f>
        <v>-0.38649634684250583</v>
      </c>
    </row>
    <row r="80" spans="1:8" x14ac:dyDescent="0.25">
      <c r="A80" s="57" t="s">
        <v>29</v>
      </c>
      <c r="B80" s="41">
        <v>66.679270000000002</v>
      </c>
      <c r="C80" s="41">
        <v>146.32680999999999</v>
      </c>
      <c r="D80" s="19" t="s">
        <v>298</v>
      </c>
      <c r="E80" s="19">
        <f>IF(66.67927="","-",66.67927/687141.54783*100)</f>
        <v>9.7038623571189687E-3</v>
      </c>
      <c r="F80" s="19">
        <f>IF(146.32681="","-",146.32681/601300.25754*100)</f>
        <v>2.4335065246544645E-2</v>
      </c>
      <c r="G80" s="19">
        <f>IF(OR(666821.53755="",1120.35149="",66.67927=""),"-",(66.67927-1120.35149)/666821.53755*100)</f>
        <v>-0.15801412531924897</v>
      </c>
      <c r="H80" s="19">
        <f>IF(OR(687141.54783="",146.32681="",66.67927=""),"-",(146.32681-66.67927)/687141.54783*100)</f>
        <v>1.1591140173597088E-2</v>
      </c>
    </row>
    <row r="81" spans="1:8" x14ac:dyDescent="0.25">
      <c r="A81" s="57" t="s">
        <v>102</v>
      </c>
      <c r="B81" s="41">
        <v>271.11263000000002</v>
      </c>
      <c r="C81" s="41">
        <v>130.04461000000001</v>
      </c>
      <c r="D81" s="19">
        <f>IF(OR(271.11263="",130.04461=""),"-",130.04461/271.11263*100)</f>
        <v>47.967005447145709</v>
      </c>
      <c r="E81" s="19">
        <f>IF(271.11263="","-",271.11263/687141.54783*100)</f>
        <v>3.9455135678547811E-2</v>
      </c>
      <c r="F81" s="19">
        <f>IF(130.04461="","-",130.04461/601300.25754*100)</f>
        <v>2.1627233377885108E-2</v>
      </c>
      <c r="G81" s="19">
        <f>IF(OR(666821.53755="",93.23149="",271.11263=""),"-",(271.11263-93.23149)/666821.53755*100)</f>
        <v>2.6675974002513682E-2</v>
      </c>
      <c r="H81" s="19">
        <f>IF(OR(687141.54783="",130.04461="",271.11263=""),"-",(130.04461-271.11263)/687141.54783*100)</f>
        <v>-2.0529688598440052E-2</v>
      </c>
    </row>
    <row r="82" spans="1:8" x14ac:dyDescent="0.25">
      <c r="A82" s="57" t="s">
        <v>89</v>
      </c>
      <c r="B82" s="41">
        <v>86.101330000000004</v>
      </c>
      <c r="C82" s="41">
        <v>129.15941000000001</v>
      </c>
      <c r="D82" s="19">
        <f>IF(OR(86.10133="",129.15941=""),"-",129.15941/86.10133*100)</f>
        <v>150.00861194594788</v>
      </c>
      <c r="E82" s="19">
        <f>IF(86.10133="","-",86.10133/687141.54783*100)</f>
        <v>1.2530362961155365E-2</v>
      </c>
      <c r="F82" s="19">
        <f>IF(129.15941="","-",129.15941/601300.25754*100)</f>
        <v>2.1480019072070328E-2</v>
      </c>
      <c r="G82" s="19">
        <f>IF(OR(666821.53755="",169.19244="",86.10133=""),"-",(86.10133-169.19244)/666821.53755*100)</f>
        <v>-1.2460771783900218E-2</v>
      </c>
      <c r="H82" s="19">
        <f>IF(OR(687141.54783="",129.15941="",86.10133=""),"-",(129.15941-86.10133)/687141.54783*100)</f>
        <v>6.26626058866297E-3</v>
      </c>
    </row>
    <row r="83" spans="1:8" x14ac:dyDescent="0.25">
      <c r="A83" s="57" t="s">
        <v>260</v>
      </c>
      <c r="B83" s="41">
        <v>58.412739999999999</v>
      </c>
      <c r="C83" s="41">
        <v>121.29455</v>
      </c>
      <c r="D83" s="19" t="s">
        <v>296</v>
      </c>
      <c r="E83" s="19">
        <f>IF(58.41274="","-",58.41274/687141.54783*100)</f>
        <v>8.5008307508792069E-3</v>
      </c>
      <c r="F83" s="19">
        <f>IF(121.29455="","-",121.29455/601300.25754*100)</f>
        <v>2.0172043580395635E-2</v>
      </c>
      <c r="G83" s="19">
        <f>IF(OR(666821.53755="",22.04356="",58.41274=""),"-",(58.41274-22.04356)/666821.53755*100)</f>
        <v>5.4541099757553866E-3</v>
      </c>
      <c r="H83" s="19">
        <f>IF(OR(687141.54783="",121.29455="",58.41274=""),"-",(121.29455-58.41274)/687141.54783*100)</f>
        <v>9.1512163976376331E-3</v>
      </c>
    </row>
    <row r="84" spans="1:8" x14ac:dyDescent="0.25">
      <c r="A84" s="57" t="s">
        <v>68</v>
      </c>
      <c r="B84" s="41">
        <v>344.80124000000001</v>
      </c>
      <c r="C84" s="41">
        <v>120.71998000000001</v>
      </c>
      <c r="D84" s="19">
        <f>IF(OR(344.80124="",120.71998=""),"-",120.71998/344.80124*100)</f>
        <v>35.011469216294003</v>
      </c>
      <c r="E84" s="19">
        <f>IF(344.80124="","-",344.80124/687141.54783*100)</f>
        <v>5.0179070249628449E-2</v>
      </c>
      <c r="F84" s="19">
        <f>IF(120.71998="","-",120.71998/601300.25754*100)</f>
        <v>2.0076488989690715E-2</v>
      </c>
      <c r="G84" s="19">
        <f>IF(OR(666821.53755="",309.59491="",344.80124=""),"-",(344.80124-309.59491)/666821.53755*100)</f>
        <v>5.2797229869558796E-3</v>
      </c>
      <c r="H84" s="19">
        <f>IF(OR(687141.54783="",120.71998="",344.80124=""),"-",(120.71998-344.80124)/687141.54783*100)</f>
        <v>-3.2610640516157245E-2</v>
      </c>
    </row>
    <row r="85" spans="1:8" x14ac:dyDescent="0.25">
      <c r="A85" s="57" t="s">
        <v>87</v>
      </c>
      <c r="B85" s="41">
        <v>96.821200000000005</v>
      </c>
      <c r="C85" s="41">
        <v>108.72839999999999</v>
      </c>
      <c r="D85" s="19">
        <f>IF(OR(96.8212="",108.7284=""),"-",108.7284/96.8212*100)</f>
        <v>112.2981330535048</v>
      </c>
      <c r="E85" s="19">
        <f>IF(96.8212="","-",96.8212/687141.54783*100)</f>
        <v>1.4090430174941732E-2</v>
      </c>
      <c r="F85" s="19">
        <f>IF(108.7284="","-",108.7284/601300.25754*100)</f>
        <v>1.808221410794375E-2</v>
      </c>
      <c r="G85" s="19" t="s">
        <v>304</v>
      </c>
      <c r="H85" s="19">
        <f>IF(OR(687141.54783="",108.7284="",96.8212=""),"-",(108.7284-96.8212)/687141.54783*100)</f>
        <v>1.7328598507255232E-3</v>
      </c>
    </row>
    <row r="86" spans="1:8" x14ac:dyDescent="0.25">
      <c r="A86" s="57" t="s">
        <v>73</v>
      </c>
      <c r="B86" s="41">
        <v>58.173369999999998</v>
      </c>
      <c r="C86" s="41">
        <v>92.526349999999994</v>
      </c>
      <c r="D86" s="19">
        <f>IF(OR(58.17337="",92.52635=""),"-",92.52635/58.17337*100)</f>
        <v>159.05275902014958</v>
      </c>
      <c r="E86" s="19">
        <f>IF(58.17337="","-",58.17337/687141.54783*100)</f>
        <v>8.465995133566306E-3</v>
      </c>
      <c r="F86" s="19">
        <f>IF(92.52635="","-",92.52635/601300.25754*100)</f>
        <v>1.5387711686427294E-2</v>
      </c>
      <c r="G86" s="19">
        <f>IF(OR(666821.53755="",77.86474="",58.17337=""),"-",(58.17337-77.86474)/666821.53755*100)</f>
        <v>-2.9530194948934876E-3</v>
      </c>
      <c r="H86" s="19">
        <f>IF(OR(687141.54783="",92.52635="",58.17337=""),"-",(92.52635-58.17337)/687141.54783*100)</f>
        <v>4.9994037048825025E-3</v>
      </c>
    </row>
    <row r="87" spans="1:8" x14ac:dyDescent="0.25">
      <c r="A87" s="57" t="s">
        <v>104</v>
      </c>
      <c r="B87" s="41">
        <v>66.072519999999997</v>
      </c>
      <c r="C87" s="41">
        <v>88.349819999999994</v>
      </c>
      <c r="D87" s="19">
        <f>IF(OR(66.07252="",88.34982=""),"-",88.34982/66.07252*100)</f>
        <v>133.71643763549505</v>
      </c>
      <c r="E87" s="19">
        <f>IF(66.07252="","-",66.07252/687141.54783*100)</f>
        <v>9.615561773066654E-3</v>
      </c>
      <c r="F87" s="19">
        <f>IF(88.34982="","-",88.34982/601300.25754*100)</f>
        <v>1.4693128581293305E-2</v>
      </c>
      <c r="G87" s="19">
        <f>IF(OR(666821.53755="",51.91357="",66.07252=""),"-",(66.07252-51.91357)/666821.53755*100)</f>
        <v>2.123349232543096E-3</v>
      </c>
      <c r="H87" s="19">
        <f>IF(OR(687141.54783="",88.34982="",66.07252=""),"-",(88.34982-66.07252)/687141.54783*100)</f>
        <v>3.2420248885185205E-3</v>
      </c>
    </row>
    <row r="88" spans="1:8" x14ac:dyDescent="0.25">
      <c r="A88" s="57" t="s">
        <v>256</v>
      </c>
      <c r="B88" s="41">
        <v>54.757210000000001</v>
      </c>
      <c r="C88" s="41">
        <v>81.507589999999993</v>
      </c>
      <c r="D88" s="19">
        <f>IF(OR(54.75721="",81.50759=""),"-",81.50759/54.75721*100)</f>
        <v>148.85270816391119</v>
      </c>
      <c r="E88" s="19">
        <f>IF(54.75721="","-",54.75721/687141.54783*100)</f>
        <v>7.9688399243101841E-3</v>
      </c>
      <c r="F88" s="19">
        <f>IF(81.50759="","-",81.50759/601300.25754*100)</f>
        <v>1.3555222865438055E-2</v>
      </c>
      <c r="G88" s="19">
        <f>IF(OR(666821.53755="",1.98484="",54.75721=""),"-",(54.75721-1.98484)/666821.53755*100)</f>
        <v>7.914017023789216E-3</v>
      </c>
      <c r="H88" s="19">
        <f>IF(OR(687141.54783="",81.50759="",54.75721=""),"-",(81.50759-54.75721)/687141.54783*100)</f>
        <v>3.892994112272495E-3</v>
      </c>
    </row>
    <row r="89" spans="1:8" x14ac:dyDescent="0.25">
      <c r="A89" s="57" t="s">
        <v>85</v>
      </c>
      <c r="B89" s="41">
        <v>72.453689999999995</v>
      </c>
      <c r="C89" s="41">
        <v>77.235299999999995</v>
      </c>
      <c r="D89" s="19">
        <f>IF(OR(72.45369="",77.2353=""),"-",77.2353/72.45369*100)</f>
        <v>106.59953965077555</v>
      </c>
      <c r="E89" s="19">
        <f>IF(72.45369="","-",72.45369/687141.54783*100)</f>
        <v>1.0544216141318988E-2</v>
      </c>
      <c r="F89" s="19">
        <f>IF(77.2353="","-",77.2353/601300.25754*100)</f>
        <v>1.2844714272363687E-2</v>
      </c>
      <c r="G89" s="19">
        <f>IF(OR(666821.53755="",43.30548="",72.45369=""),"-",(72.45369-43.30548)/666821.53755*100)</f>
        <v>4.3712160388662286E-3</v>
      </c>
      <c r="H89" s="19">
        <f>IF(OR(687141.54783="",77.2353="",72.45369=""),"-",(77.2353-72.45369)/687141.54783*100)</f>
        <v>6.9586972510982245E-4</v>
      </c>
    </row>
    <row r="90" spans="1:8" x14ac:dyDescent="0.25">
      <c r="A90" s="57" t="s">
        <v>76</v>
      </c>
      <c r="B90" s="41">
        <v>192.79351</v>
      </c>
      <c r="C90" s="41">
        <v>76.156710000000004</v>
      </c>
      <c r="D90" s="19">
        <f>IF(OR(192.79351="",76.15671=""),"-",76.15671/192.79351*100)</f>
        <v>39.501697956533917</v>
      </c>
      <c r="E90" s="19">
        <f>IF(192.79351="","-",192.79351/687141.54783*100)</f>
        <v>2.8057321029247007E-2</v>
      </c>
      <c r="F90" s="19">
        <f>IF(76.15671="","-",76.15671/601300.25754*100)</f>
        <v>1.2665337997952523E-2</v>
      </c>
      <c r="G90" s="19">
        <f>IF(OR(666821.53755="",74.65871="",192.79351=""),"-",(192.79351-74.65871)/666821.53755*100)</f>
        <v>1.7716104436884952E-2</v>
      </c>
      <c r="H90" s="19">
        <f>IF(OR(687141.54783="",76.15671="",192.79351=""),"-",(76.15671-192.79351)/687141.54783*100)</f>
        <v>-1.6974202821578781E-2</v>
      </c>
    </row>
    <row r="91" spans="1:8" x14ac:dyDescent="0.25">
      <c r="A91" s="61" t="s">
        <v>32</v>
      </c>
      <c r="B91" s="62">
        <v>51.581890000000001</v>
      </c>
      <c r="C91" s="62">
        <v>46.758540000000004</v>
      </c>
      <c r="D91" s="44">
        <f>IF(OR(51.58189="",46.75854=""),"-",46.75854/51.58189*100)</f>
        <v>90.649140618926523</v>
      </c>
      <c r="E91" s="44">
        <f>IF(51.58189="","-",51.58189/687141.54783*100)</f>
        <v>7.5067342620885212E-3</v>
      </c>
      <c r="F91" s="44">
        <f>IF(46.75854="","-",46.75854/601300.25754*100)</f>
        <v>7.7762381461959559E-3</v>
      </c>
      <c r="G91" s="44">
        <f>IF(OR(666821.53755="",14.01813="",51.58189=""),"-",(51.58189-14.01813)/666821.53755*100)</f>
        <v>5.6332553591497301E-3</v>
      </c>
      <c r="H91" s="44">
        <f>IF(OR(687141.54783="",46.75854="",51.58189=""),"-",(46.75854-51.58189)/687141.54783*100)</f>
        <v>-7.0194416495876076E-4</v>
      </c>
    </row>
    <row r="92" spans="1:8" s="17" customFormat="1" ht="14.25" customHeight="1" x14ac:dyDescent="0.2">
      <c r="A92" s="8" t="s">
        <v>245</v>
      </c>
      <c r="B92" s="8"/>
      <c r="C92" s="8"/>
      <c r="D92" s="10"/>
      <c r="E92" s="9"/>
      <c r="F92" s="9"/>
      <c r="G92" s="16"/>
      <c r="H92" s="16"/>
    </row>
    <row r="93" spans="1:8" s="17" customFormat="1" ht="12" customHeight="1" x14ac:dyDescent="0.2">
      <c r="A93" s="9" t="s">
        <v>271</v>
      </c>
      <c r="B93" s="9"/>
      <c r="C93" s="9"/>
      <c r="D93" s="40"/>
      <c r="E93" s="40"/>
      <c r="F93" s="40"/>
      <c r="G93" s="16"/>
      <c r="H93" s="16"/>
    </row>
    <row r="94" spans="1:8" s="17" customFormat="1" ht="13.5" customHeight="1" x14ac:dyDescent="0.2">
      <c r="A94" s="78" t="s">
        <v>385</v>
      </c>
      <c r="B94" s="77"/>
      <c r="C94" s="77"/>
    </row>
    <row r="95" spans="1:8" s="26" customFormat="1" ht="11.25" x14ac:dyDescent="0.2">
      <c r="A95" s="40" t="s">
        <v>380</v>
      </c>
      <c r="B95" s="16"/>
      <c r="C95" s="16"/>
      <c r="D95" s="16"/>
      <c r="E95" s="16"/>
      <c r="F95" s="16"/>
      <c r="G95" s="16"/>
      <c r="H95" s="16"/>
    </row>
  </sheetData>
  <mergeCells count="7">
    <mergeCell ref="A1:H1"/>
    <mergeCell ref="A3:A4"/>
    <mergeCell ref="E3:F3"/>
    <mergeCell ref="G3:H3"/>
    <mergeCell ref="A2:H2"/>
    <mergeCell ref="D3:D4"/>
    <mergeCell ref="B3:C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118"/>
  <sheetViews>
    <sheetView zoomScaleNormal="100" workbookViewId="0">
      <selection sqref="A1:H1"/>
    </sheetView>
  </sheetViews>
  <sheetFormatPr defaultRowHeight="15.75" x14ac:dyDescent="0.25"/>
  <cols>
    <col min="1" max="1" width="37" customWidth="1"/>
    <col min="2" max="2" width="14.25" customWidth="1"/>
    <col min="3" max="3" width="14.125" customWidth="1"/>
    <col min="4" max="4" width="10.875" customWidth="1"/>
    <col min="5" max="6" width="10.5" customWidth="1"/>
    <col min="7" max="8" width="10.75" customWidth="1"/>
    <col min="10" max="10" width="10.25" bestFit="1" customWidth="1"/>
  </cols>
  <sheetData>
    <row r="1" spans="1:15" x14ac:dyDescent="0.25">
      <c r="A1" s="90" t="s">
        <v>275</v>
      </c>
      <c r="B1" s="90"/>
      <c r="C1" s="90"/>
      <c r="D1" s="90"/>
      <c r="E1" s="90"/>
      <c r="F1" s="90"/>
      <c r="G1" s="90"/>
      <c r="H1" s="90"/>
    </row>
    <row r="2" spans="1:15" x14ac:dyDescent="0.25">
      <c r="A2" s="91"/>
      <c r="B2" s="91"/>
      <c r="C2" s="91"/>
      <c r="D2" s="91"/>
      <c r="E2" s="91"/>
      <c r="F2" s="91"/>
      <c r="G2" s="91"/>
      <c r="H2" s="91"/>
    </row>
    <row r="3" spans="1:15" ht="48.75" customHeight="1" x14ac:dyDescent="0.25">
      <c r="A3" s="80"/>
      <c r="B3" s="82" t="s">
        <v>305</v>
      </c>
      <c r="C3" s="89"/>
      <c r="D3" s="87" t="s">
        <v>329</v>
      </c>
      <c r="E3" s="82" t="s">
        <v>90</v>
      </c>
      <c r="F3" s="83"/>
      <c r="G3" s="84" t="s">
        <v>281</v>
      </c>
      <c r="H3" s="85"/>
    </row>
    <row r="4" spans="1:15" s="15" customFormat="1" ht="37.5" customHeight="1" x14ac:dyDescent="0.2">
      <c r="A4" s="81"/>
      <c r="B4" s="12" t="s">
        <v>323</v>
      </c>
      <c r="C4" s="12" t="s">
        <v>324</v>
      </c>
      <c r="D4" s="88"/>
      <c r="E4" s="12" t="s">
        <v>323</v>
      </c>
      <c r="F4" s="12" t="s">
        <v>324</v>
      </c>
      <c r="G4" s="12" t="s">
        <v>328</v>
      </c>
      <c r="H4" s="11" t="s">
        <v>327</v>
      </c>
      <c r="J4" s="20"/>
      <c r="K4" s="20"/>
      <c r="L4" s="20"/>
      <c r="M4" s="20"/>
      <c r="N4" s="20"/>
      <c r="O4" s="20"/>
    </row>
    <row r="5" spans="1:15" s="15" customFormat="1" ht="12.75" x14ac:dyDescent="0.2">
      <c r="A5" s="68" t="s">
        <v>98</v>
      </c>
      <c r="B5" s="70">
        <v>1485800.76581</v>
      </c>
      <c r="C5" s="71">
        <v>1374988.4640200001</v>
      </c>
      <c r="D5" s="71">
        <f>IF(1485800.76581="","-",1374988.46402/1485800.76581*100)</f>
        <v>92.541913805678419</v>
      </c>
      <c r="E5" s="71">
        <v>100</v>
      </c>
      <c r="F5" s="71">
        <v>100</v>
      </c>
      <c r="G5" s="71">
        <f>IF(1290763.45346="","-",(1485800.76581-1290763.45346)/1290763.45346*100)</f>
        <v>15.110228898035974</v>
      </c>
      <c r="H5" s="71">
        <f>IF(1485800.76581="","-",(1374988.46402-1485800.76581)/1485800.76581*100)</f>
        <v>-7.4580861943215808</v>
      </c>
      <c r="J5" s="20"/>
      <c r="K5" s="20"/>
      <c r="L5" s="20"/>
      <c r="M5" s="20"/>
      <c r="N5" s="20"/>
      <c r="O5" s="20"/>
    </row>
    <row r="6" spans="1:15" s="1" customFormat="1" ht="15" x14ac:dyDescent="0.25">
      <c r="A6" s="60" t="s">
        <v>100</v>
      </c>
      <c r="B6" s="41"/>
      <c r="C6" s="58"/>
      <c r="D6" s="58"/>
      <c r="E6" s="58"/>
      <c r="F6" s="58"/>
      <c r="G6" s="58"/>
      <c r="H6" s="58"/>
    </row>
    <row r="7" spans="1:15" x14ac:dyDescent="0.25">
      <c r="A7" s="56" t="s">
        <v>105</v>
      </c>
      <c r="B7" s="42">
        <v>716109.46148000006</v>
      </c>
      <c r="C7" s="18">
        <v>650071.90969999996</v>
      </c>
      <c r="D7" s="18">
        <f>IF(716109.46148="","-",650071.9097/716109.46148*100)</f>
        <v>90.778288050611877</v>
      </c>
      <c r="E7" s="18">
        <f>IF(716109.46148="","-",716109.46148/1485800.76581*100)</f>
        <v>48.19686986024707</v>
      </c>
      <c r="F7" s="18">
        <f>IF(650071.9097="","-",650071.9097/1374988.46402*100)</f>
        <v>47.278353725194911</v>
      </c>
      <c r="G7" s="18">
        <f>IF(1290763.45346="","-",(716109.46148-538654.2613)/1290763.45346*100)</f>
        <v>13.74808061882419</v>
      </c>
      <c r="H7" s="18">
        <f>IF(1485800.76581="","-",(650071.9097-716109.46148)/1485800.76581*100)</f>
        <v>-4.444576507133446</v>
      </c>
    </row>
    <row r="8" spans="1:15" x14ac:dyDescent="0.25">
      <c r="A8" s="57" t="s">
        <v>0</v>
      </c>
      <c r="B8" s="41">
        <v>246382.83684</v>
      </c>
      <c r="C8" s="43">
        <v>221955.66071</v>
      </c>
      <c r="D8" s="19">
        <f>IF(OR(246382.83684="",221955.66071=""),"-",221955.66071/246382.83684*100)</f>
        <v>90.0856827353348</v>
      </c>
      <c r="E8" s="19">
        <f>IF(246382.83684="","-",246382.83684/1485800.76581*100)</f>
        <v>16.5824949420915</v>
      </c>
      <c r="F8" s="19">
        <f>IF(221955.66071="","-",221955.66071/1374988.46402*100)</f>
        <v>16.142365301093285</v>
      </c>
      <c r="G8" s="19">
        <f>IF(OR(1290763.45346="",169476.93199="",246382.83684=""),"-",(246382.83684-169476.93199)/1290763.45346*100)</f>
        <v>5.9581718589759607</v>
      </c>
      <c r="H8" s="19">
        <f>IF(OR(1485800.76581="",221955.66071="",246382.83684=""),"-",(221955.66071-246382.83684)/1485800.76581*100)</f>
        <v>-1.6440411589560107</v>
      </c>
    </row>
    <row r="9" spans="1:15" s="2" customFormat="1" x14ac:dyDescent="0.25">
      <c r="A9" s="57" t="s">
        <v>2</v>
      </c>
      <c r="B9" s="41">
        <v>84738.839380000005</v>
      </c>
      <c r="C9" s="43">
        <v>90878.69197</v>
      </c>
      <c r="D9" s="19">
        <f>IF(OR(84738.83938="",90878.69197=""),"-",90878.69197/84738.83938*100)</f>
        <v>107.24561798925126</v>
      </c>
      <c r="E9" s="19">
        <f>IF(84738.83938="","-",84738.83938/1485800.76581*100)</f>
        <v>5.703243754474963</v>
      </c>
      <c r="F9" s="19">
        <f>IF(90878.69197="","-",90878.69197/1374988.46402*100)</f>
        <v>6.609414867692891</v>
      </c>
      <c r="G9" s="19">
        <f>IF(OR(1290763.45346="",85284.1953="",84738.83938=""),"-",(84738.83938-85284.1953)/1290763.45346*100)</f>
        <v>-4.225064774944854E-2</v>
      </c>
      <c r="H9" s="19">
        <f>IF(OR(1485800.76581="",90878.69197="",84738.83938=""),"-",(90878.69197-84738.83938)/1485800.76581*100)</f>
        <v>0.41323525544508583</v>
      </c>
    </row>
    <row r="10" spans="1:15" s="2" customFormat="1" x14ac:dyDescent="0.25">
      <c r="A10" s="57" t="s">
        <v>1</v>
      </c>
      <c r="B10" s="41">
        <v>62645.311869999998</v>
      </c>
      <c r="C10" s="19">
        <v>62659.738850000002</v>
      </c>
      <c r="D10" s="19">
        <f>IF(OR(62645.31187="",62659.73885=""),"-",62659.73885/62645.31187*100)</f>
        <v>100.02302962435552</v>
      </c>
      <c r="E10" s="19">
        <f>IF(62645.31187="","-",62645.31187/1485800.76581*100)</f>
        <v>4.2162659564822773</v>
      </c>
      <c r="F10" s="19">
        <f>IF(62659.73885="","-",62659.73885/1374988.46402*100)</f>
        <v>4.5571101496229405</v>
      </c>
      <c r="G10" s="19">
        <f>IF(OR(1290763.45346="",66509.45703="",62645.31187=""),"-",(62645.31187-66509.45703)/1290763.45346*100)</f>
        <v>-0.29936896258116397</v>
      </c>
      <c r="H10" s="19">
        <f>IF(OR(1485800.76581="",62659.73885="",62645.31187=""),"-",(62659.73885-62645.31187)/1485800.76581*100)</f>
        <v>9.7099021160746291E-4</v>
      </c>
    </row>
    <row r="11" spans="1:15" s="2" customFormat="1" x14ac:dyDescent="0.25">
      <c r="A11" s="57" t="s">
        <v>3</v>
      </c>
      <c r="B11" s="41">
        <v>45076.05197</v>
      </c>
      <c r="C11" s="19">
        <v>50883.621359999997</v>
      </c>
      <c r="D11" s="19">
        <f>IF(OR(45076.05197="",50883.62136=""),"-",50883.62136/45076.05197*100)</f>
        <v>112.88393534079955</v>
      </c>
      <c r="E11" s="19">
        <f>IF(45076.05197="","-",45076.05197/1485800.76581*100)</f>
        <v>3.0337884464224456</v>
      </c>
      <c r="F11" s="19">
        <f>IF(50883.62136="","-",50883.62136/1374988.46402*100)</f>
        <v>3.7006580557944133</v>
      </c>
      <c r="G11" s="19">
        <f>IF(OR(1290763.45346="",39594.52926="",45076.05197=""),"-",(45076.05197-39594.52926)/1290763.45346*100)</f>
        <v>0.42467290930079515</v>
      </c>
      <c r="H11" s="19">
        <f>IF(OR(1485800.76581="",50883.62136="",45076.05197=""),"-",(50883.62136-45076.05197)/1485800.76581*100)</f>
        <v>0.39087134181371475</v>
      </c>
    </row>
    <row r="12" spans="1:15" s="2" customFormat="1" x14ac:dyDescent="0.25">
      <c r="A12" s="57" t="s">
        <v>250</v>
      </c>
      <c r="B12" s="41">
        <v>36555.135869999998</v>
      </c>
      <c r="C12" s="19">
        <v>38433.461199999998</v>
      </c>
      <c r="D12" s="19">
        <f>IF(OR(36555.13587="",38433.4612=""),"-",38433.4612/36555.13587*100)</f>
        <v>105.13833497071339</v>
      </c>
      <c r="E12" s="19">
        <f>IF(36555.13587="","-",36555.13587/1485800.76581*100)</f>
        <v>2.4602986289397677</v>
      </c>
      <c r="F12" s="19">
        <f>IF(38433.4612="","-",38433.4612/1374988.46402*100)</f>
        <v>2.79518426559257</v>
      </c>
      <c r="G12" s="19">
        <f>IF(OR(1290763.45346="",31958.21513="",36555.13587=""),"-",(36555.13587-31958.21513)/1290763.45346*100)</f>
        <v>0.35613967281747599</v>
      </c>
      <c r="H12" s="19">
        <f>IF(OR(1485800.76581="",38433.4612="",36555.13587=""),"-",(38433.4612-36555.13587)/1485800.76581*100)</f>
        <v>0.12641838483479381</v>
      </c>
    </row>
    <row r="13" spans="1:15" s="2" customFormat="1" x14ac:dyDescent="0.25">
      <c r="A13" s="65" t="s">
        <v>35</v>
      </c>
      <c r="B13" s="43">
        <v>36854.532890000002</v>
      </c>
      <c r="C13" s="43">
        <v>30316.839080000002</v>
      </c>
      <c r="D13" s="19">
        <f>IF(OR(36854.53289="",30316.83908=""),"-",30316.83908/36854.53289*100)</f>
        <v>82.260814892124387</v>
      </c>
      <c r="E13" s="19">
        <f>IF(36854.53289="","-",36854.53289/1485800.76581*100)</f>
        <v>2.4804491785214799</v>
      </c>
      <c r="F13" s="19">
        <f>IF(30316.83908="","-",30316.83908/1374988.46402*100)</f>
        <v>2.2048795225062356</v>
      </c>
      <c r="G13" s="19">
        <f>IF(OR(1290763.45346="",30589.549="",36854.53289=""),"-",(36854.53289-30589.549)/1290763.45346*100)</f>
        <v>0.48537041184472551</v>
      </c>
      <c r="H13" s="19">
        <f>IF(OR(1485800.76581="",30316.83908="",36854.53289=""),"-",(30316.83908-36854.53289)/1485800.76581*100)</f>
        <v>-0.44001147128470541</v>
      </c>
    </row>
    <row r="14" spans="1:15" s="2" customFormat="1" x14ac:dyDescent="0.25">
      <c r="A14" s="57" t="s">
        <v>253</v>
      </c>
      <c r="B14" s="41">
        <v>20795.142189999999</v>
      </c>
      <c r="C14" s="19">
        <v>25899.084220000001</v>
      </c>
      <c r="D14" s="19">
        <f>IF(OR(20795.14219="",25899.08422=""),"-",25899.08422/20795.14219*100)</f>
        <v>124.54391503249443</v>
      </c>
      <c r="E14" s="19">
        <f>IF(20795.14219="","-",20795.14219/1485800.76581*100)</f>
        <v>1.3995915649338966</v>
      </c>
      <c r="F14" s="19">
        <f>IF(25899.08422="","-",25899.08422/1374988.46402*100)</f>
        <v>1.883585564367563</v>
      </c>
      <c r="G14" s="19">
        <f>IF(OR(1290763.45346="",17587.36378="",20795.14219=""),"-",(20795.14219-17587.36378)/1290763.45346*100)</f>
        <v>0.24851791406095974</v>
      </c>
      <c r="H14" s="19">
        <f>IF(OR(1485800.76581="",25899.08422="",20795.14219=""),"-",(25899.08422-20795.14219)/1485800.76581*100)</f>
        <v>0.34351456449933476</v>
      </c>
    </row>
    <row r="15" spans="1:15" s="2" customFormat="1" x14ac:dyDescent="0.25">
      <c r="A15" s="65" t="s">
        <v>33</v>
      </c>
      <c r="B15" s="43">
        <v>18019.583689999999</v>
      </c>
      <c r="C15" s="43">
        <v>24691.844700000001</v>
      </c>
      <c r="D15" s="19">
        <f>IF(OR(18019.58369="",24691.8447=""),"-",24691.8447/18019.58369*100)</f>
        <v>137.02783107970905</v>
      </c>
      <c r="E15" s="19">
        <f>IF(18019.58369="","-",18019.58369/1485800.76581*100)</f>
        <v>1.21278600096672</v>
      </c>
      <c r="F15" s="19">
        <f>IF(24691.8447="","-",24691.8447/1374988.46402*100)</f>
        <v>1.7957855899248361</v>
      </c>
      <c r="G15" s="19">
        <f>IF(OR(1290763.45346="",18158.14858="",18019.58369=""),"-",(18019.58369-18158.14858)/1290763.45346*100)</f>
        <v>-1.0735111040568016E-2</v>
      </c>
      <c r="H15" s="19">
        <f>IF(OR(1485800.76581="",24691.8447="",18019.58369=""),"-",(24691.8447-18019.58369)/1485800.76581*100)</f>
        <v>0.44906835179631555</v>
      </c>
    </row>
    <row r="16" spans="1:15" s="2" customFormat="1" x14ac:dyDescent="0.25">
      <c r="A16" s="57" t="s">
        <v>4</v>
      </c>
      <c r="B16" s="41">
        <v>29966.091509999998</v>
      </c>
      <c r="C16" s="19">
        <v>17455.232360000002</v>
      </c>
      <c r="D16" s="19">
        <f>IF(OR(29966.09151="",17455.23236=""),"-",17455.23236/29966.09151*100)</f>
        <v>58.249946791275761</v>
      </c>
      <c r="E16" s="19">
        <f>IF(29966.09151="","-",29966.09151/1485800.76581*100)</f>
        <v>2.0168310718068359</v>
      </c>
      <c r="F16" s="19">
        <f>IF(17455.23236="","-",17455.23236/1374988.46402*100)</f>
        <v>1.2694820950691339</v>
      </c>
      <c r="G16" s="19">
        <f>IF(OR(1290763.45346="",12985.24124="",29966.09151=""),"-",(29966.09151-12985.24124)/1290763.45346*100)</f>
        <v>1.3155663978927665</v>
      </c>
      <c r="H16" s="19">
        <f>IF(OR(1485800.76581="",17455.23236="",29966.09151=""),"-",(17455.23236-29966.09151)/1485800.76581*100)</f>
        <v>-0.84202804560943734</v>
      </c>
    </row>
    <row r="17" spans="1:8" s="2" customFormat="1" x14ac:dyDescent="0.25">
      <c r="A17" s="57" t="s">
        <v>257</v>
      </c>
      <c r="B17" s="41">
        <v>13482.55941</v>
      </c>
      <c r="C17" s="19">
        <v>14581.939630000001</v>
      </c>
      <c r="D17" s="19">
        <f>IF(OR(13482.55941="",14581.93963=""),"-",14581.93963/13482.55941*100)</f>
        <v>108.15409141964982</v>
      </c>
      <c r="E17" s="19">
        <f>IF(13482.55941="","-",13482.55941/1485800.76581*100)</f>
        <v>0.90742714099018784</v>
      </c>
      <c r="F17" s="19">
        <f>IF(14581.93963="","-",14581.93963/1374988.46402*100)</f>
        <v>1.060513597864476</v>
      </c>
      <c r="G17" s="19">
        <f>IF(OR(1290763.45346="",11791.39881="",13482.55941=""),"-",(13482.55941-11791.39881)/1290763.45346*100)</f>
        <v>0.13102017999244564</v>
      </c>
      <c r="H17" s="19">
        <f>IF(OR(1485800.76581="",14581.93963="",13482.55941=""),"-",(14581.93963-13482.55941)/1485800.76581*100)</f>
        <v>7.3992438643054687E-2</v>
      </c>
    </row>
    <row r="18" spans="1:8" s="2" customFormat="1" x14ac:dyDescent="0.25">
      <c r="A18" s="57" t="s">
        <v>37</v>
      </c>
      <c r="B18" s="41">
        <v>12907.279350000001</v>
      </c>
      <c r="C18" s="19">
        <v>13375.464470000001</v>
      </c>
      <c r="D18" s="19">
        <f>IF(OR(12907.27935="",13375.46447=""),"-",13375.46447/12907.27935*100)</f>
        <v>103.62729516658365</v>
      </c>
      <c r="E18" s="19">
        <f>IF(12907.27935="","-",12907.27935/1485800.76581*100)</f>
        <v>0.86870862143912408</v>
      </c>
      <c r="F18" s="19">
        <f>IF(13375.46447="","-",13375.46447/1374988.46402*100)</f>
        <v>0.97276921370632286</v>
      </c>
      <c r="G18" s="19">
        <f>IF(OR(1290763.45346="",5787.64853="",12907.27935=""),"-",(12907.27935-5787.64853)/1290763.45346*100)</f>
        <v>0.5515829256642828</v>
      </c>
      <c r="H18" s="19">
        <f>IF(OR(1485800.76581="",13375.46447="",12907.27935=""),"-",(13375.46447-12907.27935)/1485800.76581*100)</f>
        <v>3.1510625837156844E-2</v>
      </c>
    </row>
    <row r="19" spans="1:8" s="2" customFormat="1" x14ac:dyDescent="0.25">
      <c r="A19" s="57" t="s">
        <v>5</v>
      </c>
      <c r="B19" s="41">
        <v>16087.151180000001</v>
      </c>
      <c r="C19" s="43">
        <v>12706.95896</v>
      </c>
      <c r="D19" s="19">
        <f>IF(OR(16087.15118="",12706.95896=""),"-",12706.95896/16087.15118*100)</f>
        <v>78.988248558250945</v>
      </c>
      <c r="E19" s="19">
        <f>IF(16087.15118="","-",16087.15118/1485800.76581*100)</f>
        <v>1.0827259986792321</v>
      </c>
      <c r="F19" s="19">
        <f>IF(12706.95896="","-",12706.95896/1374988.46402*100)</f>
        <v>0.9241502232570854</v>
      </c>
      <c r="G19" s="19">
        <f>IF(OR(1290763.45346="",12223.27556="",16087.15118=""),"-",(16087.15118-12223.27556)/1290763.45346*100)</f>
        <v>0.2993480803661242</v>
      </c>
      <c r="H19" s="19">
        <f>IF(OR(1485800.76581="",12706.95896="",16087.15118=""),"-",(12706.95896-16087.15118)/1485800.76581*100)</f>
        <v>-0.22749969563767544</v>
      </c>
    </row>
    <row r="20" spans="1:8" s="2" customFormat="1" x14ac:dyDescent="0.25">
      <c r="A20" s="57" t="s">
        <v>34</v>
      </c>
      <c r="B20" s="41">
        <v>9036.6196299999992</v>
      </c>
      <c r="C20" s="19">
        <v>9857.3377099999998</v>
      </c>
      <c r="D20" s="19">
        <f>IF(OR(9036.61963="",9857.33771=""),"-",9857.33771/9036.61963*100)</f>
        <v>109.08213594910382</v>
      </c>
      <c r="E20" s="19">
        <f>IF(9036.61963="","-",9036.61963/1485800.76581*100)</f>
        <v>0.60819861168085954</v>
      </c>
      <c r="F20" s="19">
        <f>IF(9857.33771="","-",9857.33771/1374988.46402*100)</f>
        <v>0.71690330267793567</v>
      </c>
      <c r="G20" s="19">
        <f>IF(OR(1290763.45346="",6380.14349="",9036.61963=""),"-",(9036.61963-6380.14349)/1290763.45346*100)</f>
        <v>0.20580658159162246</v>
      </c>
      <c r="H20" s="19">
        <f>IF(OR(1485800.76581="",9857.33771="",9036.61963=""),"-",(9857.33771-9036.61963)/1485800.76581*100)</f>
        <v>5.5237424753417558E-2</v>
      </c>
    </row>
    <row r="21" spans="1:8" s="2" customFormat="1" x14ac:dyDescent="0.25">
      <c r="A21" s="57" t="s">
        <v>6</v>
      </c>
      <c r="B21" s="41">
        <v>55554.136079999997</v>
      </c>
      <c r="C21" s="43">
        <v>6283.37417</v>
      </c>
      <c r="D21" s="19">
        <f>IF(OR(55554.13608="",6283.37417=""),"-",6283.37417/55554.13608*100)</f>
        <v>11.310362492095477</v>
      </c>
      <c r="E21" s="19">
        <f>IF(55554.13608="","-",55554.13608/1485800.76581*100)</f>
        <v>3.7390030587118503</v>
      </c>
      <c r="F21" s="19">
        <f>IF(6283.37417="","-",6283.37417/1374988.46402*100)</f>
        <v>0.45697650085219949</v>
      </c>
      <c r="G21" s="19">
        <f>IF(OR(1290763.45346="",4532.90542="",55554.13608=""),"-",(55554.13608-4532.90542)/1290763.45346*100)</f>
        <v>3.9527947993285135</v>
      </c>
      <c r="H21" s="19">
        <f>IF(OR(1485800.76581="",6283.37417="",55554.13608=""),"-",(6283.37417-55554.13608)/1485800.76581*100)</f>
        <v>-3.3161082591810027</v>
      </c>
    </row>
    <row r="22" spans="1:8" s="2" customFormat="1" x14ac:dyDescent="0.25">
      <c r="A22" s="57" t="s">
        <v>43</v>
      </c>
      <c r="B22" s="41">
        <v>4801.4076999999997</v>
      </c>
      <c r="C22" s="19">
        <v>5830.9767700000002</v>
      </c>
      <c r="D22" s="19">
        <f>IF(OR(4801.4077="",5830.97677=""),"-",5830.97677/4801.4077*100)</f>
        <v>121.44306699887204</v>
      </c>
      <c r="E22" s="19">
        <f>IF(4801.4077="","-",4801.4077/1485800.76581*100)</f>
        <v>0.32315286211219996</v>
      </c>
      <c r="F22" s="19">
        <f>IF(5830.97677="","-",5830.97677/1374988.46402*100)</f>
        <v>0.42407459572076706</v>
      </c>
      <c r="G22" s="19">
        <f>IF(OR(1290763.45346="",4292.72307="",4801.4077=""),"-",(4801.4077-4292.72307)/1290763.45346*100)</f>
        <v>3.94095934957275E-2</v>
      </c>
      <c r="H22" s="19">
        <f>IF(OR(1485800.76581="",5830.97677="",4801.4077=""),"-",(5830.97677-4801.4077)/1485800.76581*100)</f>
        <v>6.9293884731491576E-2</v>
      </c>
    </row>
    <row r="23" spans="1:8" s="2" customFormat="1" x14ac:dyDescent="0.25">
      <c r="A23" s="57" t="s">
        <v>45</v>
      </c>
      <c r="B23" s="41">
        <v>4879.5585099999998</v>
      </c>
      <c r="C23" s="19">
        <v>4670.2096300000003</v>
      </c>
      <c r="D23" s="19">
        <f>IF(OR(4879.55851="",4670.20963=""),"-",4670.20963/4879.55851*100)</f>
        <v>95.709675791960123</v>
      </c>
      <c r="E23" s="19">
        <f>IF(4879.55851="","-",4879.55851/1485800.76581*100)</f>
        <v>0.32841270662152722</v>
      </c>
      <c r="F23" s="19">
        <f>IF(4670.20963="","-",4670.20963/1374988.46402*100)</f>
        <v>0.33965445908876146</v>
      </c>
      <c r="G23" s="19">
        <f>IF(OR(1290763.45346="",4723.1888="",4879.55851=""),"-",(4879.55851-4723.1888)/1290763.45346*100)</f>
        <v>1.2114513281332671E-2</v>
      </c>
      <c r="H23" s="19">
        <f>IF(OR(1485800.76581="",4670.20963="",4879.55851=""),"-",(4670.20963-4879.55851)/1485800.76581*100)</f>
        <v>-1.4089969854462337E-2</v>
      </c>
    </row>
    <row r="24" spans="1:8" s="2" customFormat="1" x14ac:dyDescent="0.25">
      <c r="A24" s="57" t="s">
        <v>38</v>
      </c>
      <c r="B24" s="41">
        <v>3458.5788699999998</v>
      </c>
      <c r="C24" s="19">
        <v>3617.2995299999998</v>
      </c>
      <c r="D24" s="19">
        <f>IF(OR(3458.57887="",3617.29953=""),"-",3617.29953/3458.57887*100)</f>
        <v>104.58918723458228</v>
      </c>
      <c r="E24" s="19">
        <f>IF(3458.57887="","-",3458.57887/1485800.76581*100)</f>
        <v>0.2327754130692293</v>
      </c>
      <c r="F24" s="19">
        <f>IF(3617.29953="","-",3617.29953/1374988.46402*100)</f>
        <v>0.26307853663180869</v>
      </c>
      <c r="G24" s="19">
        <f>IF(OR(1290763.45346="",2406.85085="",3458.57887=""),"-",(3458.57887-2406.85085)/1290763.45346*100)</f>
        <v>8.1481081384877654E-2</v>
      </c>
      <c r="H24" s="19">
        <f>IF(OR(1485800.76581="",3617.29953="",3458.57887=""),"-",(3617.29953-3458.57887)/1485800.76581*100)</f>
        <v>1.0682499541819237E-2</v>
      </c>
    </row>
    <row r="25" spans="1:8" s="2" customFormat="1" x14ac:dyDescent="0.25">
      <c r="A25" s="57" t="s">
        <v>41</v>
      </c>
      <c r="B25" s="41">
        <v>2473.25279</v>
      </c>
      <c r="C25" s="19">
        <v>3278.0509900000002</v>
      </c>
      <c r="D25" s="19">
        <f>IF(OR(2473.25279="",3278.05099=""),"-",3278.05099/2473.25279*100)</f>
        <v>132.54007043897846</v>
      </c>
      <c r="E25" s="19">
        <f>IF(2473.25279="","-",2473.25279/1485800.76581*100)</f>
        <v>0.16645924856901526</v>
      </c>
      <c r="F25" s="19">
        <f>IF(3278.05099="","-",3278.05099/1374988.46402*100)</f>
        <v>0.2384057085407168</v>
      </c>
      <c r="G25" s="19">
        <f>IF(OR(1290763.45346="",2667.28598="",2473.25279=""),"-",(2473.25279-2667.28598)/1290763.45346*100)</f>
        <v>-1.5032435995912172E-2</v>
      </c>
      <c r="H25" s="19">
        <f>IF(OR(1485800.76581="",3278.05099="",2473.25279=""),"-",(3278.05099-2473.25279)/1485800.76581*100)</f>
        <v>5.4165956736551821E-2</v>
      </c>
    </row>
    <row r="26" spans="1:8" s="2" customFormat="1" x14ac:dyDescent="0.25">
      <c r="A26" s="57" t="s">
        <v>44</v>
      </c>
      <c r="B26" s="41">
        <v>4904.7321599999996</v>
      </c>
      <c r="C26" s="19">
        <v>3095.7506400000002</v>
      </c>
      <c r="D26" s="19">
        <f>IF(OR(4904.73216="",3095.75064=""),"-",3095.75064/4904.73216*100)</f>
        <v>63.117628832967718</v>
      </c>
      <c r="E26" s="19">
        <f>IF(4904.73216="","-",4904.73216/1485800.76581*100)</f>
        <v>0.33010698828965357</v>
      </c>
      <c r="F26" s="19">
        <f>IF(3095.75064="","-",3095.75064/1374988.46402*100)</f>
        <v>0.22514739003330073</v>
      </c>
      <c r="G26" s="19">
        <f>IF(OR(1290763.45346="",3608.43309="",4904.73216=""),"-",(4904.73216-3608.43309)/1290763.45346*100)</f>
        <v>0.10042886374921453</v>
      </c>
      <c r="H26" s="19">
        <f>IF(OR(1485800.76581="",3095.75064="",4904.73216=""),"-",(3095.75064-4904.73216)/1485800.76581*100)</f>
        <v>-0.1217512846693018</v>
      </c>
    </row>
    <row r="27" spans="1:8" s="2" customFormat="1" x14ac:dyDescent="0.25">
      <c r="A27" s="57" t="s">
        <v>42</v>
      </c>
      <c r="B27" s="41">
        <v>2113.5410299999999</v>
      </c>
      <c r="C27" s="19">
        <v>2768.67805</v>
      </c>
      <c r="D27" s="19">
        <f>IF(OR(2113.54103="",2768.67805=""),"-",2768.67805/2113.54103*100)</f>
        <v>130.99712807562577</v>
      </c>
      <c r="E27" s="19">
        <f>IF(2113.54103="","-",2113.54103/1485800.76581*100)</f>
        <v>0.1422492893148955</v>
      </c>
      <c r="F27" s="19">
        <f>IF(2768.67805="","-",2768.67805/1374988.46402*100)</f>
        <v>0.20136009300800417</v>
      </c>
      <c r="G27" s="19">
        <f>IF(OR(1290763.45346="",1748.49787="",2113.54103=""),"-",(2113.54103-1748.49787)/1290763.45346*100)</f>
        <v>2.8281181886694349E-2</v>
      </c>
      <c r="H27" s="19">
        <f>IF(OR(1485800.76581="",2768.67805="",2113.54103=""),"-",(2768.67805-2113.54103)/1485800.76581*100)</f>
        <v>4.4093194395605613E-2</v>
      </c>
    </row>
    <row r="28" spans="1:8" s="2" customFormat="1" x14ac:dyDescent="0.25">
      <c r="A28" s="57" t="s">
        <v>36</v>
      </c>
      <c r="B28" s="41">
        <v>1920.4591800000001</v>
      </c>
      <c r="C28" s="19">
        <v>2664.9036299999998</v>
      </c>
      <c r="D28" s="19">
        <f>IF(OR(1920.45918="",2664.90363=""),"-",2664.90363/1920.45918*100)</f>
        <v>138.76387781384656</v>
      </c>
      <c r="E28" s="19">
        <f>IF(1920.45918="","-",1920.45918/1485800.76581*100)</f>
        <v>0.12925415198268803</v>
      </c>
      <c r="F28" s="19">
        <f>IF(2664.90363="","-",2664.90363/1374988.46402*100)</f>
        <v>0.19381279914223609</v>
      </c>
      <c r="G28" s="19">
        <f>IF(OR(1290763.45346="",3002.33936="",1920.45918=""),"-",(1920.45918-3002.33936)/1290763.45346*100)</f>
        <v>-8.3817075630699719E-2</v>
      </c>
      <c r="H28" s="19">
        <f>IF(OR(1485800.76581="",2664.90363="",1920.45918=""),"-",(2664.90363-1920.45918)/1485800.76581*100)</f>
        <v>5.0103921543892732E-2</v>
      </c>
    </row>
    <row r="29" spans="1:8" s="2" customFormat="1" x14ac:dyDescent="0.25">
      <c r="A29" s="57" t="s">
        <v>46</v>
      </c>
      <c r="B29" s="41">
        <v>1244.3677299999999</v>
      </c>
      <c r="C29" s="19">
        <v>2365.2307000000001</v>
      </c>
      <c r="D29" s="19" t="s">
        <v>294</v>
      </c>
      <c r="E29" s="19">
        <f>IF(1244.36773="","-",1244.36773/1485800.76581*100)</f>
        <v>8.3750645351270886E-2</v>
      </c>
      <c r="F29" s="19">
        <f>IF(2365.2307="","-",2365.2307/1374988.46402*100)</f>
        <v>0.17201822138091744</v>
      </c>
      <c r="G29" s="19">
        <f>IF(OR(1290763.45346="",1374.63428="",1244.36773=""),"-",(1244.36773-1374.63428)/1290763.45346*100)</f>
        <v>-1.0092209354921665E-2</v>
      </c>
      <c r="H29" s="19">
        <f>IF(OR(1485800.76581="",2365.2307="",1244.36773=""),"-",(2365.2307-1244.36773)/1485800.76581*100)</f>
        <v>7.5438308809118823E-2</v>
      </c>
    </row>
    <row r="30" spans="1:8" s="2" customFormat="1" x14ac:dyDescent="0.25">
      <c r="A30" s="57" t="s">
        <v>251</v>
      </c>
      <c r="B30" s="41">
        <v>944.84159999999997</v>
      </c>
      <c r="C30" s="19">
        <v>791.84126000000003</v>
      </c>
      <c r="D30" s="19">
        <f>IF(OR(944.8416="",791.84126=""),"-",791.84126/944.8416*100)</f>
        <v>83.806773537490315</v>
      </c>
      <c r="E30" s="19">
        <f>IF(944.8416="","-",944.8416/1485800.76581*100)</f>
        <v>6.3591406179206653E-2</v>
      </c>
      <c r="F30" s="19">
        <f>IF(791.84126="","-",791.84126/1374988.46402*100)</f>
        <v>5.7588938432612341E-2</v>
      </c>
      <c r="G30" s="19">
        <f>IF(OR(1290763.45346="",879.42584="",944.8416=""),"-",(944.8416-879.42584)/1290763.45346*100)</f>
        <v>5.067989787334584E-3</v>
      </c>
      <c r="H30" s="19">
        <f>IF(OR(1485800.76581="",791.84126="",944.8416=""),"-",(791.84126-944.8416)/1485800.76581*100)</f>
        <v>-1.0297500413293312E-2</v>
      </c>
    </row>
    <row r="31" spans="1:8" s="2" customFormat="1" x14ac:dyDescent="0.25">
      <c r="A31" s="57" t="s">
        <v>39</v>
      </c>
      <c r="B31" s="41">
        <v>842.12923000000001</v>
      </c>
      <c r="C31" s="19">
        <v>635.00527999999997</v>
      </c>
      <c r="D31" s="19">
        <f>IF(OR(842.12923="",635.00528=""),"-",635.00528/842.12923*100)</f>
        <v>75.404730934229647</v>
      </c>
      <c r="E31" s="19">
        <f>IF(842.12923="","-",842.12923/1485800.76581*100)</f>
        <v>5.6678475969212765E-2</v>
      </c>
      <c r="F31" s="19">
        <f>IF(635.00528="","-",635.00528/1374988.46402*100)</f>
        <v>4.6182589644676718E-2</v>
      </c>
      <c r="G31" s="19">
        <f>IF(OR(1290763.45346="",520.6776="",842.12923=""),"-",(842.12923-520.6776)/1290763.45346*100)</f>
        <v>2.4903992217808917E-2</v>
      </c>
      <c r="H31" s="19">
        <f>IF(OR(1485800.76581="",635.00528="",842.12923=""),"-",(635.00528-842.12923)/1485800.76581*100)</f>
        <v>-1.3940223667005867E-2</v>
      </c>
    </row>
    <row r="32" spans="1:8" s="2" customFormat="1" x14ac:dyDescent="0.25">
      <c r="A32" s="57" t="s">
        <v>47</v>
      </c>
      <c r="B32" s="41">
        <v>241.29434000000001</v>
      </c>
      <c r="C32" s="19">
        <v>285.89080999999999</v>
      </c>
      <c r="D32" s="19">
        <f>IF(OR(241.29434="",285.89081=""),"-",285.89081/241.29434*100)</f>
        <v>118.48218652787297</v>
      </c>
      <c r="E32" s="19">
        <f>IF(241.29434="","-",241.29434/1485800.76581*100)</f>
        <v>1.6240019897180217E-2</v>
      </c>
      <c r="F32" s="19">
        <f>IF(285.89081="","-",285.89081/1374988.46402*100)</f>
        <v>2.0792233351845889E-2</v>
      </c>
      <c r="G32" s="19">
        <f>IF(OR(1290763.45346="",403.68769="",241.29434=""),"-",(241.29434-403.68769)/1290763.45346*100)</f>
        <v>-1.25811859302873E-2</v>
      </c>
      <c r="H32" s="19">
        <f>IF(OR(1485800.76581="",285.89081="",241.29434=""),"-",(285.89081-241.29434)/1485800.76581*100)</f>
        <v>3.0015107695605301E-3</v>
      </c>
    </row>
    <row r="33" spans="1:8" s="2" customFormat="1" x14ac:dyDescent="0.25">
      <c r="A33" s="57" t="s">
        <v>40</v>
      </c>
      <c r="B33" s="41">
        <v>179.33806000000001</v>
      </c>
      <c r="C33" s="19">
        <v>77.335409999999996</v>
      </c>
      <c r="D33" s="19">
        <f>IF(OR(179.33806="",77.33541=""),"-",77.33541/179.33806*100)</f>
        <v>43.122697992829849</v>
      </c>
      <c r="E33" s="19">
        <f>IF(179.33806="","-",179.33806/1485800.76581*100)</f>
        <v>1.2070128386441635E-2</v>
      </c>
      <c r="F33" s="19">
        <f>IF(77.33541="","-",77.33541/1374988.46402*100)</f>
        <v>5.6244406424980084E-3</v>
      </c>
      <c r="G33" s="19">
        <f>IF(OR(1290763.45346="",155.64969="",179.33806=""),"-",(179.33806-155.64969)/1290763.45346*100)</f>
        <v>1.8352216230248346E-3</v>
      </c>
      <c r="H33" s="19">
        <f>IF(OR(1485800.76581="",77.33541="",179.33806=""),"-",(77.33541-179.33806)/1485800.76581*100)</f>
        <v>-6.8651633750095821E-3</v>
      </c>
    </row>
    <row r="34" spans="1:8" s="2" customFormat="1" x14ac:dyDescent="0.25">
      <c r="A34" s="57" t="s">
        <v>48</v>
      </c>
      <c r="B34" s="41">
        <v>4.6884199999999998</v>
      </c>
      <c r="C34" s="19">
        <v>11.48761</v>
      </c>
      <c r="D34" s="19" t="s">
        <v>320</v>
      </c>
      <c r="E34" s="19">
        <f>IF(4.68842="","-",4.68842/1485800.76581*100)</f>
        <v>3.1554836340685677E-4</v>
      </c>
      <c r="F34" s="19">
        <f>IF(11.48761="","-",11.48761/1374988.46402*100)</f>
        <v>8.3546955488005502E-4</v>
      </c>
      <c r="G34" s="19">
        <f>IF(OR(1290763.45346="",11.86406="",4.68842=""),"-",(4.68842-11.86406)/1290763.45346*100)</f>
        <v>-5.5592215450205799E-4</v>
      </c>
      <c r="H34" s="19">
        <f>IF(OR(1485800.76581="",11.48761="",4.68842=""),"-",(11.48761-4.68842)/1485800.76581*100)</f>
        <v>4.5761115194292891E-4</v>
      </c>
    </row>
    <row r="35" spans="1:8" s="2" customFormat="1" x14ac:dyDescent="0.25">
      <c r="A35" s="56" t="s">
        <v>377</v>
      </c>
      <c r="B35" s="42">
        <v>163217.96448</v>
      </c>
      <c r="C35" s="18">
        <v>52029.707289999998</v>
      </c>
      <c r="D35" s="18">
        <f>IF(163217.96448="","-",52029.70729/163217.96448*100)</f>
        <v>31.877439138370999</v>
      </c>
      <c r="E35" s="18">
        <f>IF(163217.96448="","-",163217.96448/1485800.76581*100)</f>
        <v>10.985185109325206</v>
      </c>
      <c r="F35" s="18">
        <f>IF(52029.70729="","-",52029.70729/1374988.46402*100)</f>
        <v>3.7840104591047092</v>
      </c>
      <c r="G35" s="18">
        <f>IF(1290763.45346="","-",(163217.96448-350950.65332)/1290763.45346*100)</f>
        <v>-14.544313935815795</v>
      </c>
      <c r="H35" s="18">
        <f>IF(1485800.76581="","-",(52029.70729-163217.96448)/1485800.76581*100)</f>
        <v>-7.48338941186267</v>
      </c>
    </row>
    <row r="36" spans="1:8" s="2" customFormat="1" x14ac:dyDescent="0.25">
      <c r="A36" s="57" t="s">
        <v>252</v>
      </c>
      <c r="B36" s="41">
        <v>110355.8558</v>
      </c>
      <c r="C36" s="19">
        <v>32726.867200000001</v>
      </c>
      <c r="D36" s="19">
        <f>IF(OR(110355.8558="",32726.8672=""),"-",32726.8672/110355.8558*100)</f>
        <v>29.655759508866954</v>
      </c>
      <c r="E36" s="19">
        <f>IF(110355.8558="","-",110355.8558/1485800.76581*100)</f>
        <v>7.4273656562451924</v>
      </c>
      <c r="F36" s="19">
        <f>IF(32726.8672="","-",32726.8672/1374988.46402*100)</f>
        <v>2.3801557654031318</v>
      </c>
      <c r="G36" s="19">
        <f>IF(OR(1290763.45346="",314274.95871="",110355.8558=""),"-",(110355.8558-314274.95871)/1290763.45346*100)</f>
        <v>-15.798332557633055</v>
      </c>
      <c r="H36" s="19">
        <f>IF(OR(1485800.76581="",32726.8672="",110355.8558=""),"-",(32726.8672-110355.8558)/1485800.76581*100)</f>
        <v>-5.2247239593849413</v>
      </c>
    </row>
    <row r="37" spans="1:8" s="2" customFormat="1" x14ac:dyDescent="0.25">
      <c r="A37" s="57" t="s">
        <v>7</v>
      </c>
      <c r="B37" s="41">
        <v>14742.765079999999</v>
      </c>
      <c r="C37" s="19">
        <v>14685.880880000001</v>
      </c>
      <c r="D37" s="19">
        <f>IF(OR(14742.76508="",14685.88088=""),"-",14685.88088/14742.76508*100)</f>
        <v>99.614155148702949</v>
      </c>
      <c r="E37" s="19">
        <f>IF(14742.76508="","-",14742.76508/1485800.76581*100)</f>
        <v>0.99224373948702504</v>
      </c>
      <c r="F37" s="19">
        <f>IF(14685.88088="","-",14685.88088/1374988.46402*100)</f>
        <v>1.0680730249229484</v>
      </c>
      <c r="G37" s="19">
        <f>IF(OR(1290763.45346="",23441.63366="",14742.76508=""),"-",(14742.76508-23441.63366)/1290763.45346*100)</f>
        <v>-0.67393204825267949</v>
      </c>
      <c r="H37" s="19">
        <f>IF(OR(1485800.76581="",14685.88088="",14742.76508=""),"-",(14685.88088-14742.76508)/1485800.76581*100)</f>
        <v>-3.8285213811279457E-3</v>
      </c>
    </row>
    <row r="38" spans="1:8" s="2" customFormat="1" x14ac:dyDescent="0.25">
      <c r="A38" s="57" t="s">
        <v>11</v>
      </c>
      <c r="B38" s="41">
        <v>1190.91462</v>
      </c>
      <c r="C38" s="19">
        <v>1865.2494999999999</v>
      </c>
      <c r="D38" s="19">
        <f>IF(OR(1190.91462="",1865.2495=""),"-",1865.2495/1190.91462*100)</f>
        <v>156.6232766543751</v>
      </c>
      <c r="E38" s="19">
        <f>IF(1190.91462="","-",1190.91462/1485800.76581*100)</f>
        <v>8.0153049278498673E-2</v>
      </c>
      <c r="F38" s="19">
        <f>IF(1865.2495="","-",1865.2495/1374988.46402*100)</f>
        <v>0.13565564721515136</v>
      </c>
      <c r="G38" s="19">
        <f>IF(OR(1290763.45346="",5303.03618="",1190.91462=""),"-",(1190.91462-5303.03618)/1290763.45346*100)</f>
        <v>-0.31858056942789259</v>
      </c>
      <c r="H38" s="19">
        <f>IF(OR(1485800.76581="",1865.2495="",1190.91462=""),"-",(1865.2495-1190.91462)/1485800.76581*100)</f>
        <v>4.5385282839881906E-2</v>
      </c>
    </row>
    <row r="39" spans="1:8" s="2" customFormat="1" x14ac:dyDescent="0.25">
      <c r="A39" s="57" t="s">
        <v>9</v>
      </c>
      <c r="B39" s="41">
        <v>25333.655719999999</v>
      </c>
      <c r="C39" s="19">
        <v>1318.5102099999999</v>
      </c>
      <c r="D39" s="19">
        <f>IF(OR(25333.65572="",1318.51021=""),"-",1318.51021/25333.65572*100)</f>
        <v>5.204579333408577</v>
      </c>
      <c r="E39" s="19">
        <f>IF(25333.65572="","-",25333.65572/1485800.76581*100)</f>
        <v>1.7050506570569095</v>
      </c>
      <c r="F39" s="19">
        <f>IF(1318.51021="","-",1318.51021/1374988.46402*100)</f>
        <v>9.5892456155240974E-2</v>
      </c>
      <c r="G39" s="19">
        <f>IF(OR(1290763.45346="",2713.74738="",25333.65572=""),"-",(25333.65572-2713.74738)/1290763.45346*100)</f>
        <v>1.7524441274941145</v>
      </c>
      <c r="H39" s="19">
        <f>IF(OR(1485800.76581="",1318.51021="",25333.65572=""),"-",(1318.51021-25333.65572)/1485800.76581*100)</f>
        <v>-1.6163099429355783</v>
      </c>
    </row>
    <row r="40" spans="1:8" s="2" customFormat="1" x14ac:dyDescent="0.25">
      <c r="A40" s="57" t="s">
        <v>10</v>
      </c>
      <c r="B40" s="41">
        <v>8458.64156</v>
      </c>
      <c r="C40" s="19">
        <v>692.98433</v>
      </c>
      <c r="D40" s="19">
        <f>IF(OR(8458.64156="",692.98433=""),"-",692.98433/8458.64156*100)</f>
        <v>8.1926196432893903</v>
      </c>
      <c r="E40" s="19">
        <f>IF(8458.64156="","-",8458.64156/1485800.76581*100)</f>
        <v>0.56929850587260145</v>
      </c>
      <c r="F40" s="19">
        <f>IF(692.98433="","-",692.98433/1374988.46402*100)</f>
        <v>5.0399283203725852E-2</v>
      </c>
      <c r="G40" s="19">
        <f>IF(OR(1290763.45346="",1199.168="",8458.64156=""),"-",(8458.64156-1199.168)/1290763.45346*100)</f>
        <v>0.56241703625403794</v>
      </c>
      <c r="H40" s="19">
        <f>IF(OR(1485800.76581="",692.98433="",8458.64156=""),"-",(692.98433-8458.64156)/1485800.76581*100)</f>
        <v>-0.52265804465152965</v>
      </c>
    </row>
    <row r="41" spans="1:8" s="2" customFormat="1" x14ac:dyDescent="0.25">
      <c r="A41" s="57" t="s">
        <v>254</v>
      </c>
      <c r="B41" s="41">
        <v>994.82509000000005</v>
      </c>
      <c r="C41" s="19">
        <v>329.51177000000001</v>
      </c>
      <c r="D41" s="19">
        <f>IF(OR(994.82509="",329.51177=""),"-",329.51177/994.82509*100)</f>
        <v>33.1225833880004</v>
      </c>
      <c r="E41" s="19">
        <f>IF(994.82509="","-",994.82509/1485800.76581*100)</f>
        <v>6.6955483729183612E-2</v>
      </c>
      <c r="F41" s="19">
        <f>IF(329.51177="","-",329.51177/1374988.46402*100)</f>
        <v>2.3964693422708388E-2</v>
      </c>
      <c r="G41" s="19">
        <f>IF(OR(1290763.45346="",1809.65469="",994.82509=""),"-",(994.82509-1809.65469)/1290763.45346*100)</f>
        <v>-6.3127724744280661E-2</v>
      </c>
      <c r="H41" s="19">
        <f>IF(OR(1485800.76581="",329.51177="",994.82509=""),"-",(329.51177-994.82509)/1485800.76581*100)</f>
        <v>-4.4778097798145726E-2</v>
      </c>
    </row>
    <row r="42" spans="1:8" s="2" customFormat="1" x14ac:dyDescent="0.25">
      <c r="A42" s="57" t="s">
        <v>13</v>
      </c>
      <c r="B42" s="41">
        <v>243.05318</v>
      </c>
      <c r="C42" s="19">
        <v>273.40742999999998</v>
      </c>
      <c r="D42" s="19">
        <f>IF(OR(243.05318="",273.40743=""),"-",273.40743/243.05318*100)</f>
        <v>112.48872777554277</v>
      </c>
      <c r="E42" s="19">
        <f>IF(243.05318="","-",243.05318/1485800.76581*100)</f>
        <v>1.6358396468284023E-2</v>
      </c>
      <c r="F42" s="19">
        <f>IF(273.40743="","-",273.40743/1374988.46402*100)</f>
        <v>1.9884343553010574E-2</v>
      </c>
      <c r="G42" s="19">
        <f>IF(OR(1290763.45346="",190.35593="",243.05318=""),"-",(243.05318-190.35593)/1290763.45346*100)</f>
        <v>4.0826419324734202E-3</v>
      </c>
      <c r="H42" s="19">
        <f>IF(OR(1485800.76581="",273.40743="",243.05318=""),"-",(273.40743-243.05318)/1485800.76581*100)</f>
        <v>2.0429556033679953E-3</v>
      </c>
    </row>
    <row r="43" spans="1:8" s="2" customFormat="1" x14ac:dyDescent="0.25">
      <c r="A43" s="57" t="s">
        <v>12</v>
      </c>
      <c r="B43" s="41">
        <v>1898.25343</v>
      </c>
      <c r="C43" s="19">
        <v>137.08288999999999</v>
      </c>
      <c r="D43" s="19">
        <f>IF(OR(1898.25343="",137.08289=""),"-",137.08289/1898.25343*100)</f>
        <v>7.2215273173508763</v>
      </c>
      <c r="E43" s="19">
        <f>IF(1898.25343="","-",1898.25343/1485800.76581*100)</f>
        <v>0.12775962118751144</v>
      </c>
      <c r="F43" s="19">
        <f>IF(137.08289="","-",137.08289/1374988.46402*100)</f>
        <v>9.9697483715038664E-3</v>
      </c>
      <c r="G43" s="19">
        <f>IF(OR(1290763.45346="",2016.48602="",1898.25343=""),"-",(1898.25343-2016.48602)/1290763.45346*100)</f>
        <v>-9.1598960044203051E-3</v>
      </c>
      <c r="H43" s="19">
        <f>IF(OR(1485800.76581="",137.08289="",1898.25343=""),"-",(137.08289-1898.25343)/1485800.76581*100)</f>
        <v>-0.11853342524291131</v>
      </c>
    </row>
    <row r="44" spans="1:8" s="2" customFormat="1" x14ac:dyDescent="0.25">
      <c r="A44" s="57" t="s">
        <v>14</v>
      </c>
      <c r="B44" s="41" t="s">
        <v>261</v>
      </c>
      <c r="C44" s="19">
        <v>0.21307999999999999</v>
      </c>
      <c r="D44" s="67" t="s">
        <v>261</v>
      </c>
      <c r="E44" s="67" t="s">
        <v>261</v>
      </c>
      <c r="F44" s="19">
        <f>IF(0.21308="","-",0.21308/1374988.46402*100)</f>
        <v>1.5496857288316903E-5</v>
      </c>
      <c r="G44" s="67" t="s">
        <v>261</v>
      </c>
      <c r="H44" s="19" t="str">
        <f>IF(OR(1485800.76581="",0.21308="",""=""),"-",(0.21308-"")/1485800.76581*100)</f>
        <v>-</v>
      </c>
    </row>
    <row r="45" spans="1:8" s="2" customFormat="1" x14ac:dyDescent="0.25">
      <c r="A45" s="56" t="s">
        <v>106</v>
      </c>
      <c r="B45" s="42">
        <v>606473.33984999999</v>
      </c>
      <c r="C45" s="18">
        <v>672886.84702999995</v>
      </c>
      <c r="D45" s="18">
        <f>IF(606473.33985="","-",672886.84703/606473.33985*100)</f>
        <v>110.95077109183829</v>
      </c>
      <c r="E45" s="18">
        <f>IF(606473.33985="","-",606473.33985/1485800.76581*100)</f>
        <v>40.81794503042773</v>
      </c>
      <c r="F45" s="18">
        <f>IF(672886.84703="","-",672886.84703/1374988.46402*100)</f>
        <v>48.937635815700368</v>
      </c>
      <c r="G45" s="18">
        <f>IF(1290763.45346="","-",(606473.33985-401158.53884)/1290763.45346*100)</f>
        <v>15.906462215027581</v>
      </c>
      <c r="H45" s="18">
        <f>IF(1485800.76581="","-",(672886.84703-606473.33985)/1485800.76581*100)</f>
        <v>4.469879724674521</v>
      </c>
    </row>
    <row r="46" spans="1:8" s="2" customFormat="1" x14ac:dyDescent="0.25">
      <c r="A46" s="65" t="s">
        <v>8</v>
      </c>
      <c r="B46" s="41">
        <v>188528.86572999999</v>
      </c>
      <c r="C46" s="43">
        <v>265226.40107000002</v>
      </c>
      <c r="D46" s="19">
        <f>IF(OR(188528.86573="",265226.40107=""),"-",265226.40107/188528.86573*100)</f>
        <v>140.68211785130123</v>
      </c>
      <c r="E46" s="19">
        <f>IF(188528.86573="","-",188528.86573/1485800.76581*100)</f>
        <v>12.688704304659682</v>
      </c>
      <c r="F46" s="19">
        <f>IF(265226.40107="","-",265226.40107/1374988.46402*100)</f>
        <v>19.289354638988605</v>
      </c>
      <c r="G46" s="19">
        <f>IF(OR(1290763.45346="",84783.80603="",188528.86573=""),"-",(188528.86573-84783.80603)/1290763.45346*100)</f>
        <v>8.0374959038313811</v>
      </c>
      <c r="H46" s="19">
        <f>IF(OR(1485800.76581="",265226.40107="",188528.86573=""),"-",(265226.40107-188528.86573)/1485800.76581*100)</f>
        <v>5.1620336390247825</v>
      </c>
    </row>
    <row r="47" spans="1:8" s="2" customFormat="1" x14ac:dyDescent="0.25">
      <c r="A47" s="57" t="s">
        <v>52</v>
      </c>
      <c r="B47" s="41">
        <v>148048.64519000001</v>
      </c>
      <c r="C47" s="19">
        <v>153895.91537</v>
      </c>
      <c r="D47" s="19">
        <f>IF(OR(148048.64519="",153895.91537=""),"-",153895.91537/148048.64519*100)</f>
        <v>103.94956007364731</v>
      </c>
      <c r="E47" s="19">
        <f>IF(148048.64519="","-",148048.64519/1485800.76581*100)</f>
        <v>9.9642326613884684</v>
      </c>
      <c r="F47" s="19">
        <f>IF(153895.91537="","-",153895.91537/1374988.46402*100)</f>
        <v>11.192524111806765</v>
      </c>
      <c r="G47" s="19">
        <f>IF(OR(1290763.45346="",127400.45406="",148048.64519=""),"-",(148048.64519-127400.45406)/1290763.45346*100)</f>
        <v>1.5996882368067358</v>
      </c>
      <c r="H47" s="19">
        <f>IF(OR(1485800.76581="",153895.91537="",148048.64519=""),"-",(153895.91537-148048.64519)/1485800.76581*100)</f>
        <v>0.39354335483952252</v>
      </c>
    </row>
    <row r="48" spans="1:8" s="2" customFormat="1" x14ac:dyDescent="0.25">
      <c r="A48" s="65" t="s">
        <v>49</v>
      </c>
      <c r="B48" s="43">
        <v>112572.79715</v>
      </c>
      <c r="C48" s="43">
        <v>95922.047940000004</v>
      </c>
      <c r="D48" s="19">
        <f>IF(OR(112572.79715="",95922.04794=""),"-",95922.04794/112572.79715*100)</f>
        <v>85.208905142675491</v>
      </c>
      <c r="E48" s="19">
        <f>IF(112572.79715="","-",112572.79715/1485800.76581*100)</f>
        <v>7.5765741774018904</v>
      </c>
      <c r="F48" s="19">
        <f>IF(95922.04794="","-",95922.04794/1374988.46402*100)</f>
        <v>6.9762074701017101</v>
      </c>
      <c r="G48" s="19">
        <f>IF(OR(1290763.45346="",78940.65351="",112572.79715=""),"-",(112572.79715-78940.65351)/1290763.45346*100)</f>
        <v>2.6056008596963451</v>
      </c>
      <c r="H48" s="19">
        <f>IF(OR(1485800.76581="",95922.04794="",112572.79715=""),"-",(95922.04794-112572.79715)/1485800.76581*100)</f>
        <v>-1.1206582735150672</v>
      </c>
    </row>
    <row r="49" spans="1:8" s="2" customFormat="1" x14ac:dyDescent="0.25">
      <c r="A49" s="65" t="s">
        <v>15</v>
      </c>
      <c r="B49" s="43">
        <v>19414.66732</v>
      </c>
      <c r="C49" s="43">
        <v>19560.297600000002</v>
      </c>
      <c r="D49" s="19">
        <f>IF(OR(19414.66732="",19560.2976=""),"-",19560.2976/19414.66732*100)</f>
        <v>100.75010443186932</v>
      </c>
      <c r="E49" s="19">
        <f>IF(19414.66732="","-",19414.66732/1485800.76581*100)</f>
        <v>1.306680395296195</v>
      </c>
      <c r="F49" s="19">
        <f>IF(19560.2976="","-",19560.2976/1374988.46402*100)</f>
        <v>1.4225790333405652</v>
      </c>
      <c r="G49" s="19">
        <f>IF(OR(1290763.45346="",16520.80571="",19414.66732=""),"-",(19414.66732-16520.80571)/1290763.45346*100)</f>
        <v>0.22419767171457794</v>
      </c>
      <c r="H49" s="19">
        <f>IF(OR(1485800.76581="",19560.2976="",19414.66732=""),"-",(19560.2976-19414.66732)/1485800.76581*100)</f>
        <v>9.8014675554840853E-3</v>
      </c>
    </row>
    <row r="50" spans="1:8" s="2" customFormat="1" x14ac:dyDescent="0.25">
      <c r="A50" s="57" t="s">
        <v>66</v>
      </c>
      <c r="B50" s="41">
        <v>12443.148219999999</v>
      </c>
      <c r="C50" s="43">
        <v>14147.14731</v>
      </c>
      <c r="D50" s="19">
        <f>IF(OR(12443.14822="",14147.14731=""),"-",14147.14731/12443.14822*100)</f>
        <v>113.69427623839718</v>
      </c>
      <c r="E50" s="19">
        <f>IF(12443.14822="","-",12443.14822/1485800.76581*100)</f>
        <v>0.83747084443158737</v>
      </c>
      <c r="F50" s="19">
        <f>IF(14147.14731="","-",14147.14731/1374988.46402*100)</f>
        <v>1.0288920729297275</v>
      </c>
      <c r="G50" s="19">
        <f>IF(OR(1290763.45346="",8595.30172="",12443.14822=""),"-",(12443.14822-8595.30172)/1290763.45346*100)</f>
        <v>0.29810624787101958</v>
      </c>
      <c r="H50" s="19">
        <f>IF(OR(1485800.76581="",14147.14731="",12443.14822=""),"-",(14147.14731-12443.14822)/1485800.76581*100)</f>
        <v>0.11468557085249906</v>
      </c>
    </row>
    <row r="51" spans="1:8" s="2" customFormat="1" x14ac:dyDescent="0.25">
      <c r="A51" s="65" t="s">
        <v>286</v>
      </c>
      <c r="B51" s="43">
        <v>9606.4036799999994</v>
      </c>
      <c r="C51" s="43">
        <v>12870.79912</v>
      </c>
      <c r="D51" s="19">
        <f>IF(OR(9606.40368="",12870.79912=""),"-",12870.79912/9606.40368*100)</f>
        <v>133.98145183921733</v>
      </c>
      <c r="E51" s="19">
        <f>IF(9606.40368="","-",9606.40368/1485800.76581*100)</f>
        <v>0.64654722901310169</v>
      </c>
      <c r="F51" s="19">
        <f>IF(12870.79912="","-",12870.79912/1374988.46402*100)</f>
        <v>0.93606597122787105</v>
      </c>
      <c r="G51" s="19">
        <f>IF(OR(1290763.45346="",8111.57764="",9606.40368=""),"-",(9606.40368-8111.57764)/1290763.45346*100)</f>
        <v>0.11580944874082018</v>
      </c>
      <c r="H51" s="19">
        <f>IF(OR(1485800.76581="",12870.79912="",9606.40368=""),"-",(12870.79912-9606.40368)/1485800.76581*100)</f>
        <v>0.21970613524488125</v>
      </c>
    </row>
    <row r="52" spans="1:8" s="2" customFormat="1" x14ac:dyDescent="0.25">
      <c r="A52" s="65" t="s">
        <v>62</v>
      </c>
      <c r="B52" s="43">
        <v>7294.0016999999998</v>
      </c>
      <c r="C52" s="43">
        <v>12017.36239</v>
      </c>
      <c r="D52" s="19" t="s">
        <v>302</v>
      </c>
      <c r="E52" s="19">
        <f>IF(7294.0017="","-",7294.0017/1485800.76581*100)</f>
        <v>0.49091384712159558</v>
      </c>
      <c r="F52" s="19">
        <f>IF(12017.36239="","-",12017.36239/1374988.46402*100)</f>
        <v>0.87399732466593261</v>
      </c>
      <c r="G52" s="19">
        <f>IF(OR(1290763.45346="",6385.06555="",7294.0017=""),"-",(7294.0017-6385.06555)/1290763.45346*100)</f>
        <v>7.0418491286185686E-2</v>
      </c>
      <c r="H52" s="19">
        <f>IF(OR(1485800.76581="",12017.36239="",7294.0017=""),"-",(12017.36239-7294.0017)/1485800.76581*100)</f>
        <v>0.31790000373468719</v>
      </c>
    </row>
    <row r="53" spans="1:8" s="2" customFormat="1" x14ac:dyDescent="0.25">
      <c r="A53" s="57" t="s">
        <v>55</v>
      </c>
      <c r="B53" s="41">
        <v>1842.77098</v>
      </c>
      <c r="C53" s="19">
        <v>9264.4040600000008</v>
      </c>
      <c r="D53" s="19" t="s">
        <v>311</v>
      </c>
      <c r="E53" s="19">
        <f>IF(1842.77098="","-",1842.77098/1485800.76581*100)</f>
        <v>0.12402544287257745</v>
      </c>
      <c r="F53" s="19">
        <f>IF(9264.40406="","-",9264.40406/1374988.46402*100)</f>
        <v>0.67378049361330816</v>
      </c>
      <c r="G53" s="19">
        <f>IF(OR(1290763.45346="",657.83041="",1842.77098=""),"-",(1842.77098-657.83041)/1290763.45346*100)</f>
        <v>9.1801527756589882E-2</v>
      </c>
      <c r="H53" s="19">
        <f>IF(OR(1485800.76581="",9264.40406="",1842.77098=""),"-",(9264.40406-1842.77098)/1485800.76581*100)</f>
        <v>0.49950392076652478</v>
      </c>
    </row>
    <row r="54" spans="1:8" s="2" customFormat="1" x14ac:dyDescent="0.25">
      <c r="A54" s="57" t="s">
        <v>29</v>
      </c>
      <c r="B54" s="41">
        <v>6904.4472299999998</v>
      </c>
      <c r="C54" s="19">
        <v>8367.5651699999999</v>
      </c>
      <c r="D54" s="19">
        <f>IF(OR(6904.44723="",8367.56517=""),"-",8367.56517/6904.44723*100)</f>
        <v>121.19094970619393</v>
      </c>
      <c r="E54" s="19">
        <f>IF(6904.44723="","-",6904.44723/1485800.76581*100)</f>
        <v>0.4646953608370209</v>
      </c>
      <c r="F54" s="19">
        <f>IF(8367.56517="","-",8367.56517/1374988.46402*100)</f>
        <v>0.60855529984128565</v>
      </c>
      <c r="G54" s="19">
        <f>IF(OR(1290763.45346="",10560.4171="",6904.44723=""),"-",(6904.44723-10560.4171)/1290763.45346*100)</f>
        <v>-0.28324088818906873</v>
      </c>
      <c r="H54" s="19">
        <f>IF(OR(1485800.76581="",8367.56517="",6904.44723=""),"-",(8367.56517-6904.44723)/1485800.76581*100)</f>
        <v>9.8473360201989532E-2</v>
      </c>
    </row>
    <row r="55" spans="1:8" s="2" customFormat="1" x14ac:dyDescent="0.25">
      <c r="A55" s="57" t="s">
        <v>60</v>
      </c>
      <c r="B55" s="41">
        <v>32783.291720000001</v>
      </c>
      <c r="C55" s="43">
        <v>7206.6891999999998</v>
      </c>
      <c r="D55" s="19">
        <f>IF(OR(32783.29172="",7206.6892=""),"-",7206.6892/32783.29172*100)</f>
        <v>21.982811431969285</v>
      </c>
      <c r="E55" s="19">
        <f>IF(32783.29172="","-",32783.29172/1485800.76581*100)</f>
        <v>2.2064392800422232</v>
      </c>
      <c r="F55" s="19">
        <f>IF(7206.6892="","-",7206.6892/1374988.46402*100)</f>
        <v>0.52412724823378398</v>
      </c>
      <c r="G55" s="19">
        <f>IF(OR(1290763.45346="",10623.37811="",32783.29172=""),"-",(32783.29172-10623.37811)/1290763.45346*100)</f>
        <v>1.7168067123839379</v>
      </c>
      <c r="H55" s="19">
        <f>IF(OR(1485800.76581="",7206.6892="",32783.29172=""),"-",(7206.6892-32783.29172)/1485800.76581*100)</f>
        <v>-1.7214018937496405</v>
      </c>
    </row>
    <row r="56" spans="1:8" s="2" customFormat="1" x14ac:dyDescent="0.25">
      <c r="A56" s="57" t="s">
        <v>65</v>
      </c>
      <c r="B56" s="41">
        <v>655.37647000000004</v>
      </c>
      <c r="C56" s="43">
        <v>6801.6622200000002</v>
      </c>
      <c r="D56" s="19" t="s">
        <v>351</v>
      </c>
      <c r="E56" s="19">
        <f>IF(655.37647="","-",655.37647/1485800.76581*100)</f>
        <v>4.4109310284458941E-2</v>
      </c>
      <c r="F56" s="19">
        <f>IF(6801.66222="","-",6801.66222/1374988.46402*100)</f>
        <v>0.49467049346103209</v>
      </c>
      <c r="G56" s="19">
        <f>IF(OR(1290763.45346="",1647.79695="",655.37647=""),"-",(655.37647-1647.79695)/1290763.45346*100)</f>
        <v>-7.6886316957590739E-2</v>
      </c>
      <c r="H56" s="19">
        <f>IF(OR(1485800.76581="",6801.66222="",655.37647=""),"-",(6801.66222-655.37647)/1485800.76581*100)</f>
        <v>0.41366823139637343</v>
      </c>
    </row>
    <row r="57" spans="1:8" s="2" customFormat="1" x14ac:dyDescent="0.25">
      <c r="A57" s="57" t="s">
        <v>287</v>
      </c>
      <c r="B57" s="41">
        <v>5574.5031600000002</v>
      </c>
      <c r="C57" s="43">
        <v>6754.8624799999998</v>
      </c>
      <c r="D57" s="19">
        <f>IF(OR(5574.50316="",6754.86248=""),"-",6754.86248/5574.50316*100)</f>
        <v>121.17425151840794</v>
      </c>
      <c r="E57" s="19">
        <f>IF(5574.50316="","-",5574.50316/1485800.76581*100)</f>
        <v>0.37518510477823053</v>
      </c>
      <c r="F57" s="19">
        <f>IF(6754.86248="","-",6754.86248/1374988.46402*100)</f>
        <v>0.49126684745056493</v>
      </c>
      <c r="G57" s="19">
        <f>IF(OR(1290763.45346="",5103.21552="",5574.50316=""),"-",(5574.50316-5103.21552)/1290763.45346*100)</f>
        <v>3.6512316701923529E-2</v>
      </c>
      <c r="H57" s="19">
        <f>IF(OR(1485800.76581="",6754.86248="",5574.50316=""),"-",(6754.86248-5574.50316)/1485800.76581*100)</f>
        <v>7.9442637745344963E-2</v>
      </c>
    </row>
    <row r="58" spans="1:8" s="2" customFormat="1" x14ac:dyDescent="0.25">
      <c r="A58" s="57" t="s">
        <v>69</v>
      </c>
      <c r="B58" s="41">
        <v>5814.8098399999999</v>
      </c>
      <c r="C58" s="19">
        <v>6533.0759200000002</v>
      </c>
      <c r="D58" s="19">
        <f>IF(OR(5814.80984="",6533.07592=""),"-",6533.07592/5814.80984*100)</f>
        <v>112.35235716667908</v>
      </c>
      <c r="E58" s="19">
        <f>IF(5814.80984="","-",5814.80984/1485800.76581*100)</f>
        <v>0.39135865142928461</v>
      </c>
      <c r="F58" s="19">
        <f>IF(6533.07592="","-",6533.07592/1374988.46402*100)</f>
        <v>0.47513678048610686</v>
      </c>
      <c r="G58" s="19">
        <f>IF(OR(1290763.45346="",4079.45396="",5814.80984=""),"-",(5814.80984-4079.45396)/1290763.45346*100)</f>
        <v>0.13444414430453794</v>
      </c>
      <c r="H58" s="19">
        <f>IF(OR(1485800.76581="",6533.07592="",5814.80984=""),"-",(6533.07592-5814.80984)/1485800.76581*100)</f>
        <v>4.8342018427243845E-2</v>
      </c>
    </row>
    <row r="59" spans="1:8" s="2" customFormat="1" x14ac:dyDescent="0.25">
      <c r="A59" s="65" t="s">
        <v>57</v>
      </c>
      <c r="B59" s="43">
        <v>4973.9955900000004</v>
      </c>
      <c r="C59" s="43">
        <v>5981.1719700000003</v>
      </c>
      <c r="D59" s="19">
        <f>IF(OR(4973.99559="",5981.17197=""),"-",5981.17197/4973.99559*100)</f>
        <v>120.24883942448368</v>
      </c>
      <c r="E59" s="19">
        <f>IF(4973.99559="","-",4973.99559/1485800.76581*100)</f>
        <v>0.33476867857773474</v>
      </c>
      <c r="F59" s="19">
        <f>IF(5981.17197="","-",5981.17197/1374988.46402*100)</f>
        <v>0.43499797463849854</v>
      </c>
      <c r="G59" s="19">
        <f>IF(OR(1290763.45346="",4433.89257="",4973.99559=""),"-",(4973.99559-4433.89257)/1290763.45346*100)</f>
        <v>4.1843687048328561E-2</v>
      </c>
      <c r="H59" s="19">
        <f>IF(OR(1485800.76581="",5981.17197="",4973.99559=""),"-",(5981.17197-4973.99559)/1485800.76581*100)</f>
        <v>6.7786772168671419E-2</v>
      </c>
    </row>
    <row r="60" spans="1:8" s="2" customFormat="1" x14ac:dyDescent="0.25">
      <c r="A60" s="57" t="s">
        <v>54</v>
      </c>
      <c r="B60" s="41">
        <v>9764.2845699999998</v>
      </c>
      <c r="C60" s="43">
        <v>4458.1566000000003</v>
      </c>
      <c r="D60" s="19">
        <f>IF(OR(9764.28457="",4458.1566=""),"-",4458.1566/9764.28457*100)</f>
        <v>45.657790573795211</v>
      </c>
      <c r="E60" s="19">
        <f>IF(9764.28457="","-",9764.28457/1485800.76581*100)</f>
        <v>0.65717320886403607</v>
      </c>
      <c r="F60" s="19">
        <f>IF(4458.1566="","-",4458.1566/1374988.46402*100)</f>
        <v>0.32423229115434626</v>
      </c>
      <c r="G60" s="19">
        <f>IF(OR(1290763.45346="",2438.31458="",9764.28457=""),"-",(9764.28457-2438.31458)/1290763.45346*100)</f>
        <v>0.56756874936008772</v>
      </c>
      <c r="H60" s="19">
        <f>IF(OR(1485800.76581="",4458.1566="",9764.28457=""),"-",(4458.1566-9764.28457)/1485800.76581*100)</f>
        <v>-0.35712244145380473</v>
      </c>
    </row>
    <row r="61" spans="1:8" s="2" customFormat="1" x14ac:dyDescent="0.25">
      <c r="A61" s="65" t="s">
        <v>255</v>
      </c>
      <c r="B61" s="43">
        <v>3818.2197900000001</v>
      </c>
      <c r="C61" s="43">
        <v>4230.2796799999996</v>
      </c>
      <c r="D61" s="19">
        <f>IF(OR(3818.21979="",4230.27968=""),"-",4230.27968/3818.21979*100)</f>
        <v>110.79193741227766</v>
      </c>
      <c r="E61" s="19">
        <f>IF(3818.21979="","-",3818.21979/1485800.76581*100)</f>
        <v>0.25698060452394889</v>
      </c>
      <c r="F61" s="19">
        <f>IF(4230.27968="","-",4230.27968/1374988.46402*100)</f>
        <v>0.30765928520098973</v>
      </c>
      <c r="G61" s="19">
        <f>IF(OR(1290763.45346="",2989.16897="",3818.21979=""),"-",(3818.21979-2989.16897)/1290763.45346*100)</f>
        <v>6.4229492846087297E-2</v>
      </c>
      <c r="H61" s="19">
        <f>IF(OR(1485800.76581="",4230.27968="",3818.21979=""),"-",(4230.27968-3818.21979)/1485800.76581*100)</f>
        <v>2.7733186001917341E-2</v>
      </c>
    </row>
    <row r="62" spans="1:8" s="2" customFormat="1" x14ac:dyDescent="0.25">
      <c r="A62" s="57" t="s">
        <v>61</v>
      </c>
      <c r="B62" s="41">
        <v>2160.4652599999999</v>
      </c>
      <c r="C62" s="19">
        <v>3845.56666</v>
      </c>
      <c r="D62" s="19" t="s">
        <v>295</v>
      </c>
      <c r="E62" s="19">
        <f>IF(2160.46526="","-",2160.46526/1485800.76581*100)</f>
        <v>0.14540746711906555</v>
      </c>
      <c r="F62" s="19">
        <f>IF(3845.56666="","-",3845.56666/1374988.46402*100)</f>
        <v>0.27967992173235162</v>
      </c>
      <c r="G62" s="19">
        <f>IF(OR(1290763.45346="",1722.65282="",2160.46526=""),"-",(2160.46526-1722.65282)/1290763.45346*100)</f>
        <v>3.3918874819891039E-2</v>
      </c>
      <c r="H62" s="19">
        <f>IF(OR(1485800.76581="",3845.56666="",2160.46526=""),"-",(3845.56666-2160.46526)/1485800.76581*100)</f>
        <v>0.11341368498227614</v>
      </c>
    </row>
    <row r="63" spans="1:8" s="2" customFormat="1" x14ac:dyDescent="0.25">
      <c r="A63" s="65" t="s">
        <v>68</v>
      </c>
      <c r="B63" s="43">
        <v>2201.15753</v>
      </c>
      <c r="C63" s="43">
        <v>3222.4608499999999</v>
      </c>
      <c r="D63" s="19">
        <f>IF(OR(2201.15753="",3222.46085=""),"-",3222.46085/2201.15753*100)</f>
        <v>146.39846562912743</v>
      </c>
      <c r="E63" s="19">
        <f>IF(2201.15753="","-",2201.15753/1485800.76581*100)</f>
        <v>0.14814621049141913</v>
      </c>
      <c r="F63" s="19">
        <f>IF(3222.46085="","-",3222.46085/1374988.46402*100)</f>
        <v>0.23436275534840612</v>
      </c>
      <c r="G63" s="19">
        <f>IF(OR(1290763.45346="",1633.72194="",2201.15753=""),"-",(2201.15753-1633.72194)/1290763.45346*100)</f>
        <v>4.3961237706176236E-2</v>
      </c>
      <c r="H63" s="19">
        <f>IF(OR(1485800.76581="",3222.46085="",2201.15753=""),"-",(3222.46085-2201.15753)/1485800.76581*100)</f>
        <v>6.8737568555715861E-2</v>
      </c>
    </row>
    <row r="64" spans="1:8" s="2" customFormat="1" x14ac:dyDescent="0.25">
      <c r="A64" s="65" t="s">
        <v>313</v>
      </c>
      <c r="B64" s="43">
        <v>1529.8583699999999</v>
      </c>
      <c r="C64" s="43">
        <v>2217.8339099999998</v>
      </c>
      <c r="D64" s="19">
        <f>IF(OR(1529.85837="",2217.83391=""),"-",2217.83391/1529.85837*100)</f>
        <v>144.96988436910013</v>
      </c>
      <c r="E64" s="19">
        <f>IF(1529.85837="","-",1529.85837/1485800.76581*100)</f>
        <v>0.10296524306648755</v>
      </c>
      <c r="F64" s="19">
        <f>IF(2217.83391="","-",2217.83391/1374988.46402*100)</f>
        <v>0.16129836489797197</v>
      </c>
      <c r="G64" s="19">
        <f>IF(OR(1290763.45346="",1302.30848="",1529.85837=""),"-",(1529.85837-1302.30848)/1290763.45346*100)</f>
        <v>1.7629093029403131E-2</v>
      </c>
      <c r="H64" s="19">
        <f>IF(OR(1485800.76581="",2217.83391="",1529.85837=""),"-",(2217.83391-1529.85837)/1485800.76581*100)</f>
        <v>4.6303350747362339E-2</v>
      </c>
    </row>
    <row r="65" spans="1:8" s="2" customFormat="1" x14ac:dyDescent="0.25">
      <c r="A65" s="65" t="s">
        <v>64</v>
      </c>
      <c r="B65" s="43">
        <v>2244.19839</v>
      </c>
      <c r="C65" s="43">
        <v>2126.67643</v>
      </c>
      <c r="D65" s="19">
        <f>IF(OR(2244.19839="",2126.67643=""),"-",2126.67643/2244.19839*100)</f>
        <v>94.76329897910675</v>
      </c>
      <c r="E65" s="19">
        <f>IF(2244.19839="","-",2244.19839/1485800.76581*100)</f>
        <v>0.15104302283600934</v>
      </c>
      <c r="F65" s="19">
        <f>IF(2126.67643="","-",2126.67643/1374988.46402*100)</f>
        <v>0.15466867436707937</v>
      </c>
      <c r="G65" s="19">
        <f>IF(OR(1290763.45346="",2177.53102="",2244.19839=""),"-",(2244.19839-2177.53102)/1290763.45346*100)</f>
        <v>5.1649564311177718E-3</v>
      </c>
      <c r="H65" s="19">
        <f>IF(OR(1485800.76581="",2126.67643="",2244.19839=""),"-",(2126.67643-2244.19839)/1485800.76581*100)</f>
        <v>-7.9096715188413363E-3</v>
      </c>
    </row>
    <row r="66" spans="1:8" s="2" customFormat="1" x14ac:dyDescent="0.25">
      <c r="A66" s="57" t="s">
        <v>73</v>
      </c>
      <c r="B66" s="41">
        <v>2130.5751799999998</v>
      </c>
      <c r="C66" s="19">
        <v>1971.7773199999999</v>
      </c>
      <c r="D66" s="19">
        <f>IF(OR(2130.57518="",1971.77732=""),"-",1971.77732/2130.57518*100)</f>
        <v>92.546714075585925</v>
      </c>
      <c r="E66" s="19">
        <f>IF(2130.57518="","-",2130.57518/1485800.76581*100)</f>
        <v>0.1433957519088028</v>
      </c>
      <c r="F66" s="19">
        <f>IF(1971.77732="","-",1971.77732/1374988.46402*100)</f>
        <v>0.14340319003369612</v>
      </c>
      <c r="G66" s="19">
        <f>IF(OR(1290763.45346="",1383.35564="",2130.57518=""),"-",(2130.57518-1383.35564)/1290763.45346*100)</f>
        <v>5.788973479199578E-2</v>
      </c>
      <c r="H66" s="19">
        <f>IF(OR(1485800.76581="",1971.77732="",2130.57518=""),"-",(1971.77732-2130.57518)/1485800.76581*100)</f>
        <v>-1.0687695393226532E-2</v>
      </c>
    </row>
    <row r="67" spans="1:8" s="2" customFormat="1" x14ac:dyDescent="0.25">
      <c r="A67" s="65" t="s">
        <v>74</v>
      </c>
      <c r="B67" s="43">
        <v>1250.4112</v>
      </c>
      <c r="C67" s="43">
        <v>1725.8866700000001</v>
      </c>
      <c r="D67" s="19">
        <f>IF(OR(1250.4112="",1725.88667=""),"-",1725.88667/1250.4112*100)</f>
        <v>138.02552872207158</v>
      </c>
      <c r="E67" s="19">
        <f>IF(1250.4112="","-",1250.4112/1485800.76581*100)</f>
        <v>8.4157393694593033E-2</v>
      </c>
      <c r="F67" s="19">
        <f>IF(1725.88667="","-",1725.88667/1374988.46402*100)</f>
        <v>0.12552008363430867</v>
      </c>
      <c r="G67" s="19">
        <f>IF(OR(1290763.45346="",733.93011="",1250.4112=""),"-",(1250.4112-733.93011)/1290763.45346*100)</f>
        <v>4.0013612766578492E-2</v>
      </c>
      <c r="H67" s="19">
        <f>IF(OR(1485800.76581="",1725.88667="",1250.4112=""),"-",(1725.88667-1250.4112)/1485800.76581*100)</f>
        <v>3.2001293911084347E-2</v>
      </c>
    </row>
    <row r="68" spans="1:8" s="2" customFormat="1" x14ac:dyDescent="0.25">
      <c r="A68" s="65" t="s">
        <v>72</v>
      </c>
      <c r="B68" s="43">
        <v>2250.41005</v>
      </c>
      <c r="C68" s="43">
        <v>1695.6742999999999</v>
      </c>
      <c r="D68" s="19">
        <f>IF(OR(2250.41005="",1695.6743=""),"-",1695.6743/2250.41005*100)</f>
        <v>75.349570181665342</v>
      </c>
      <c r="E68" s="19">
        <f>IF(2250.41005="","-",2250.41005/1485800.76581*100)</f>
        <v>0.15146109100119928</v>
      </c>
      <c r="F68" s="19">
        <f>IF(1695.6743="","-",1695.6743/1374988.46402*100)</f>
        <v>0.12332280192681933</v>
      </c>
      <c r="G68" s="19">
        <f>IF(OR(1290763.45346="",2182.76469="",2250.41005=""),"-",(2250.41005-2182.76469)/1290763.45346*100)</f>
        <v>5.2407247678628414E-3</v>
      </c>
      <c r="H68" s="19">
        <f>IF(OR(1485800.76581="",1695.6743="",2250.41005=""),"-",(1695.6743-2250.41005)/1485800.76581*100)</f>
        <v>-3.7335809939334635E-2</v>
      </c>
    </row>
    <row r="69" spans="1:8" s="2" customFormat="1" x14ac:dyDescent="0.25">
      <c r="A69" s="57" t="s">
        <v>70</v>
      </c>
      <c r="B69" s="41">
        <v>803.88094000000001</v>
      </c>
      <c r="C69" s="43">
        <v>1551.6569</v>
      </c>
      <c r="D69" s="19" t="s">
        <v>294</v>
      </c>
      <c r="E69" s="19">
        <f>IF(803.88094="","-",803.88094/1485800.76581*100)</f>
        <v>5.4104221676165021E-2</v>
      </c>
      <c r="F69" s="19">
        <f>IF(1551.6569="","-",1551.6569/1374988.46402*100)</f>
        <v>0.11284872132406706</v>
      </c>
      <c r="G69" s="19">
        <f>IF(OR(1290763.45346="",619.84112="",803.88094=""),"-",(803.88094-619.84112)/1290763.45346*100)</f>
        <v>1.4258214354199892E-2</v>
      </c>
      <c r="H69" s="19">
        <f>IF(OR(1485800.76581="",1551.6569="",803.88094=""),"-",(1551.6569-803.88094)/1485800.76581*100)</f>
        <v>5.032814474236335E-2</v>
      </c>
    </row>
    <row r="70" spans="1:8" s="2" customFormat="1" x14ac:dyDescent="0.25">
      <c r="A70" s="57" t="s">
        <v>322</v>
      </c>
      <c r="B70" s="41">
        <v>1710.18028</v>
      </c>
      <c r="C70" s="43">
        <v>1391.28935</v>
      </c>
      <c r="D70" s="19">
        <f>IF(OR(1710.18028="",1391.28935=""),"-",1391.28935/1710.18028*100)</f>
        <v>81.353373458381824</v>
      </c>
      <c r="E70" s="19">
        <f>IF(1710.18028="","-",1710.18028/1485800.76581*100)</f>
        <v>0.11510158827167363</v>
      </c>
      <c r="F70" s="19">
        <f>IF(1391.28935="","-",1391.28935/1374988.46402*100)</f>
        <v>0.10118552892671853</v>
      </c>
      <c r="G70" s="19">
        <f>IF(OR(1290763.45346="",1319.89513="",1710.18028=""),"-",(1710.18028-1319.89513)/1290763.45346*100)</f>
        <v>3.02367679340322E-2</v>
      </c>
      <c r="H70" s="19">
        <f>IF(OR(1485800.76581="",1391.28935="",1710.18028=""),"-",(1391.28935-1710.18028)/1485800.76581*100)</f>
        <v>-2.146256330848997E-2</v>
      </c>
    </row>
    <row r="71" spans="1:8" s="2" customFormat="1" x14ac:dyDescent="0.25">
      <c r="A71" s="65" t="s">
        <v>373</v>
      </c>
      <c r="B71" s="43">
        <v>1514.53305</v>
      </c>
      <c r="C71" s="43">
        <v>1324.0968</v>
      </c>
      <c r="D71" s="19">
        <f>IF(OR(1514.53305="",1324.0968=""),"-",1324.0968/1514.53305*100)</f>
        <v>87.426074987270823</v>
      </c>
      <c r="E71" s="19">
        <f>IF(1514.53305="","-",1514.53305/1485800.76581*100)</f>
        <v>0.10193379118191101</v>
      </c>
      <c r="F71" s="19">
        <f>IF(1324.0968="","-",1324.0968/1374988.46402*100)</f>
        <v>9.6298757018570894E-2</v>
      </c>
      <c r="G71" s="19">
        <f>IF(OR(1290763.45346="",1853.75276="",1514.53305=""),"-",(1514.53305-1853.75276)/1290763.45346*100)</f>
        <v>-2.6280548081113787E-2</v>
      </c>
      <c r="H71" s="19">
        <f>IF(OR(1485800.76581="",1324.0968="",1514.53305=""),"-",(1324.0968-1514.53305)/1485800.76581*100)</f>
        <v>-1.2817078465845427E-2</v>
      </c>
    </row>
    <row r="72" spans="1:8" s="2" customFormat="1" x14ac:dyDescent="0.25">
      <c r="A72" s="65" t="s">
        <v>79</v>
      </c>
      <c r="B72" s="41">
        <v>971.57406000000003</v>
      </c>
      <c r="C72" s="43">
        <v>1101.5630799999999</v>
      </c>
      <c r="D72" s="19">
        <f>IF(OR(971.57406="",1101.56308=""),"-",1101.56308/971.57406*100)</f>
        <v>113.37921887292872</v>
      </c>
      <c r="E72" s="19">
        <f>IF(971.57406="","-",971.57406/1485800.76581*100)</f>
        <v>6.5390601644382401E-2</v>
      </c>
      <c r="F72" s="19">
        <f>IF(1101.56308="","-",1101.56308/1374988.46402*100)</f>
        <v>8.0114350689125272E-2</v>
      </c>
      <c r="G72" s="19">
        <f>IF(OR(1290763.45346="",717.66165="",971.57406=""),"-",(971.57406-717.66165)/1290763.45346*100)</f>
        <v>1.967149049032698E-2</v>
      </c>
      <c r="H72" s="19">
        <f>IF(OR(1485800.76581="",1101.56308="",971.57406=""),"-",(1101.56308-971.57406)/1485800.76581*100)</f>
        <v>8.7487517163268511E-3</v>
      </c>
    </row>
    <row r="73" spans="1:8" s="2" customFormat="1" x14ac:dyDescent="0.25">
      <c r="A73" s="57" t="s">
        <v>59</v>
      </c>
      <c r="B73" s="41">
        <v>608.54943000000003</v>
      </c>
      <c r="C73" s="19">
        <v>1003.7875299999999</v>
      </c>
      <c r="D73" s="19" t="s">
        <v>302</v>
      </c>
      <c r="E73" s="19">
        <f>IF(608.54943="","-",608.54943/1485800.76581*100)</f>
        <v>4.0957673734152565E-2</v>
      </c>
      <c r="F73" s="19">
        <f>IF(1003.78753="","-",1003.78753/1374988.46402*100)</f>
        <v>7.3003341938249103E-2</v>
      </c>
      <c r="G73" s="19">
        <f>IF(OR(1290763.45346="",1227.47056="",608.54943=""),"-",(608.54943-1227.47056)/1290763.45346*100)</f>
        <v>-4.7950004188678397E-2</v>
      </c>
      <c r="H73" s="19">
        <f>IF(OR(1485800.76581="",1003.78753="",608.54943=""),"-",(1003.78753-608.54943)/1485800.76581*100)</f>
        <v>2.660101603760661E-2</v>
      </c>
    </row>
    <row r="74" spans="1:8" s="2" customFormat="1" x14ac:dyDescent="0.25">
      <c r="A74" s="57" t="s">
        <v>32</v>
      </c>
      <c r="B74" s="41">
        <v>972.08798999999999</v>
      </c>
      <c r="C74" s="19">
        <v>895.40893000000005</v>
      </c>
      <c r="D74" s="19">
        <f>IF(OR(972.08799="",895.40893=""),"-",895.40893/972.08799*100)</f>
        <v>92.111921884766829</v>
      </c>
      <c r="E74" s="19">
        <f>IF(972.08799="","-",972.08799/1485800.76581*100)</f>
        <v>6.5425191073317027E-2</v>
      </c>
      <c r="F74" s="19">
        <f>IF(895.40893="","-",895.40893/1374988.46402*100)</f>
        <v>6.5121195808590854E-2</v>
      </c>
      <c r="G74" s="19">
        <f>IF(OR(1290763.45346="",498.26026="",972.08799=""),"-",(972.08799-498.26026)/1290763.45346*100)</f>
        <v>3.670910643850854E-2</v>
      </c>
      <c r="H74" s="19">
        <f>IF(OR(1485800.76581="",895.40893="",972.08799=""),"-",(895.40893-972.08799)/1485800.76581*100)</f>
        <v>-5.1607901789038008E-3</v>
      </c>
    </row>
    <row r="75" spans="1:8" s="2" customFormat="1" x14ac:dyDescent="0.25">
      <c r="A75" s="57" t="s">
        <v>76</v>
      </c>
      <c r="B75" s="41">
        <v>425.34498000000002</v>
      </c>
      <c r="C75" s="43">
        <v>878.26153999999997</v>
      </c>
      <c r="D75" s="19" t="s">
        <v>296</v>
      </c>
      <c r="E75" s="19">
        <f>IF(425.34498="","-",425.34498/1485800.76581*100)</f>
        <v>2.8627322706225602E-2</v>
      </c>
      <c r="F75" s="19">
        <f>IF(878.26154="","-",878.26154/1374988.46402*100)</f>
        <v>6.3874102436631441E-2</v>
      </c>
      <c r="G75" s="19">
        <f>IF(OR(1290763.45346="",309.47857="",425.34498=""),"-",(425.34498-309.47857)/1290763.45346*100)</f>
        <v>8.976579689284692E-3</v>
      </c>
      <c r="H75" s="19">
        <f>IF(OR(1485800.76581="",878.26154="",425.34498=""),"-",(878.26154-425.34498)/1485800.76581*100)</f>
        <v>3.0482994114832594E-2</v>
      </c>
    </row>
    <row r="76" spans="1:8" s="2" customFormat="1" x14ac:dyDescent="0.25">
      <c r="A76" s="57" t="s">
        <v>77</v>
      </c>
      <c r="B76" s="41">
        <v>751.52513999999996</v>
      </c>
      <c r="C76" s="19">
        <v>829.73308999999995</v>
      </c>
      <c r="D76" s="19">
        <f>IF(OR(751.52514="",829.73309=""),"-",829.73309/751.52514*100)</f>
        <v>110.4065647091992</v>
      </c>
      <c r="E76" s="19">
        <f>IF(751.52514="","-",751.52514/1485800.76581*100)</f>
        <v>5.0580478708415394E-2</v>
      </c>
      <c r="F76" s="19">
        <f>IF(829.73309="","-",829.73309/1374988.46402*100)</f>
        <v>6.0344731007716361E-2</v>
      </c>
      <c r="G76" s="19">
        <f>IF(OR(1290763.45346="",589.55379="",751.52514=""),"-",(751.52514-589.55379)/1290763.45346*100)</f>
        <v>1.2548492100998218E-2</v>
      </c>
      <c r="H76" s="19">
        <f>IF(OR(1485800.76581="",829.73309="",751.52514=""),"-",(829.73309-751.52514)/1485800.76581*100)</f>
        <v>5.2636902470139793E-3</v>
      </c>
    </row>
    <row r="77" spans="1:8" s="2" customFormat="1" x14ac:dyDescent="0.25">
      <c r="A77" s="57" t="s">
        <v>71</v>
      </c>
      <c r="B77" s="41">
        <v>717.10789</v>
      </c>
      <c r="C77" s="19">
        <v>820.68395999999996</v>
      </c>
      <c r="D77" s="19">
        <f>IF(OR(717.10789="",820.68396=""),"-",820.68396/717.10789*100)</f>
        <v>114.4435825409758</v>
      </c>
      <c r="E77" s="19">
        <f>IF(717.10789="","-",717.10789/1485800.76581*100)</f>
        <v>4.8264067868417138E-2</v>
      </c>
      <c r="F77" s="19">
        <f>IF(820.68396="","-",820.68396/1374988.46402*100)</f>
        <v>5.9686606940730122E-2</v>
      </c>
      <c r="G77" s="19">
        <f>IF(OR(1290763.45346="",489.29669="",717.10789=""),"-",(717.10789-489.29669)/1290763.45346*100)</f>
        <v>1.764933763729775E-2</v>
      </c>
      <c r="H77" s="19">
        <f>IF(OR(1485800.76581="",820.68396="",717.10789=""),"-",(820.68396-717.10789)/1485800.76581*100)</f>
        <v>6.9710604802074097E-3</v>
      </c>
    </row>
    <row r="78" spans="1:8" x14ac:dyDescent="0.25">
      <c r="A78" s="65" t="s">
        <v>56</v>
      </c>
      <c r="B78" s="43">
        <v>353.87277</v>
      </c>
      <c r="C78" s="43">
        <v>695.53345000000002</v>
      </c>
      <c r="D78" s="19" t="s">
        <v>300</v>
      </c>
      <c r="E78" s="19">
        <f>IF(353.87277="","-",353.87277/1485800.76581*100)</f>
        <v>2.3816973186649455E-2</v>
      </c>
      <c r="F78" s="19">
        <f>IF(695.53345="","-",695.53345/1374988.46402*100)</f>
        <v>5.0584675304583715E-2</v>
      </c>
      <c r="G78" s="19">
        <f>IF(OR(1290763.45346="",181.03229="",353.87277=""),"-",(353.87277-181.03229)/1290763.45346*100)</f>
        <v>1.3390561960573531E-2</v>
      </c>
      <c r="H78" s="19">
        <f>IF(OR(1485800.76581="",695.53345="",353.87277=""),"-",(695.53345-353.87277)/1485800.76581*100)</f>
        <v>2.2995053432600707E-2</v>
      </c>
    </row>
    <row r="79" spans="1:8" x14ac:dyDescent="0.25">
      <c r="A79" s="57" t="s">
        <v>63</v>
      </c>
      <c r="B79" s="41">
        <v>678.74397999999997</v>
      </c>
      <c r="C79" s="43">
        <v>678.19149000000004</v>
      </c>
      <c r="D79" s="19">
        <f>IF(OR(678.74398="",678.19149=""),"-",678.19149/678.74398*100)</f>
        <v>99.918601119674037</v>
      </c>
      <c r="E79" s="19">
        <f>IF(678.74398="","-",678.74398/1485800.76581*100)</f>
        <v>4.5682031912937904E-2</v>
      </c>
      <c r="F79" s="19">
        <f>IF(678.19149="","-",678.19149/1374988.46402*100)</f>
        <v>4.9323431268448473E-2</v>
      </c>
      <c r="G79" s="19">
        <f>IF(OR(1290763.45346="",1897.59378="",678.74398=""),"-",(678.74398-1897.59378)/1290763.45346*100)</f>
        <v>-9.442859547446672E-2</v>
      </c>
      <c r="H79" s="19">
        <f>IF(OR(1485800.76581="",678.19149="",678.74398=""),"-",(678.19149-678.74398)/1485800.76581*100)</f>
        <v>-3.7184662487283404E-5</v>
      </c>
    </row>
    <row r="80" spans="1:8" x14ac:dyDescent="0.25">
      <c r="A80" s="57" t="s">
        <v>349</v>
      </c>
      <c r="B80" s="41">
        <v>502.17935999999997</v>
      </c>
      <c r="C80" s="43">
        <v>652.58348999999998</v>
      </c>
      <c r="D80" s="19">
        <f>IF(OR(502.17936="",652.58349=""),"-",652.58349/502.17936*100)</f>
        <v>129.9502811107171</v>
      </c>
      <c r="E80" s="19">
        <f>IF(502.17936="","-",502.17936/1485800.76581*100)</f>
        <v>3.3798566507416729E-2</v>
      </c>
      <c r="F80" s="19">
        <f>IF(652.58349="","-",652.58349/1374988.46402*100)</f>
        <v>4.7461015643147079E-2</v>
      </c>
      <c r="G80" s="19">
        <f>IF(OR(1290763.45346="",204.65792="",502.17936=""),"-",(502.17936-204.65792)/1290763.45346*100)</f>
        <v>2.3050035945972033E-2</v>
      </c>
      <c r="H80" s="19">
        <f>IF(OR(1485800.76581="",652.58349="",502.17936=""),"-",(652.58349-502.17936)/1485800.76581*100)</f>
        <v>1.012276568036399E-2</v>
      </c>
    </row>
    <row r="81" spans="1:8" x14ac:dyDescent="0.25">
      <c r="A81" s="57" t="s">
        <v>78</v>
      </c>
      <c r="B81" s="41">
        <v>435.8972</v>
      </c>
      <c r="C81" s="19">
        <v>651.37482</v>
      </c>
      <c r="D81" s="19">
        <f>IF(OR(435.8972="",651.37482=""),"-",651.37482/435.8972*100)</f>
        <v>149.43312781086917</v>
      </c>
      <c r="E81" s="19">
        <f>IF(435.8972="","-",435.8972/1485800.76581*100)</f>
        <v>2.9337526943753193E-2</v>
      </c>
      <c r="F81" s="19">
        <f>IF(651.37482="","-",651.37482/1374988.46402*100)</f>
        <v>4.7373111632922418E-2</v>
      </c>
      <c r="G81" s="19">
        <f>IF(OR(1290763.45346="",457.87525="",435.8972=""),"-",(435.8972-457.87525)/1290763.45346*100)</f>
        <v>-1.7027170966985457E-3</v>
      </c>
      <c r="H81" s="19">
        <f>IF(OR(1485800.76581="",651.37482="",435.8972=""),"-",(651.37482-435.8972)/1485800.76581*100)</f>
        <v>1.4502457190653694E-2</v>
      </c>
    </row>
    <row r="82" spans="1:8" x14ac:dyDescent="0.25">
      <c r="A82" s="65" t="s">
        <v>84</v>
      </c>
      <c r="B82" s="43">
        <v>353.18034</v>
      </c>
      <c r="C82" s="43">
        <v>623.39008999999999</v>
      </c>
      <c r="D82" s="19" t="s">
        <v>295</v>
      </c>
      <c r="E82" s="19">
        <f>IF(353.18034="","-",353.18034/1485800.76581*100)</f>
        <v>2.377037003392982E-2</v>
      </c>
      <c r="F82" s="19">
        <f>IF(623.39009="","-",623.39009/1374988.46402*100)</f>
        <v>4.533784146649629E-2</v>
      </c>
      <c r="G82" s="19">
        <f>IF(OR(1290763.45346="",303.88784="",353.18034=""),"-",(353.18034-303.88784)/1290763.45346*100)</f>
        <v>3.8188639341985809E-3</v>
      </c>
      <c r="H82" s="19">
        <f>IF(OR(1485800.76581="",623.39009="",353.18034=""),"-",(623.39009-353.18034)/1485800.76581*100)</f>
        <v>1.8186136137350303E-2</v>
      </c>
    </row>
    <row r="83" spans="1:8" x14ac:dyDescent="0.25">
      <c r="A83" s="57" t="s">
        <v>51</v>
      </c>
      <c r="B83" s="41">
        <v>3701.7867900000001</v>
      </c>
      <c r="C83" s="43">
        <v>576.23420999999996</v>
      </c>
      <c r="D83" s="19">
        <f>IF(OR(3701.78679="",576.23421=""),"-",576.23421/3701.78679*100)</f>
        <v>15.566380310088036</v>
      </c>
      <c r="E83" s="19">
        <f>IF(3701.78679="","-",3701.78679/1485800.76581*100)</f>
        <v>0.24914422412361134</v>
      </c>
      <c r="F83" s="19">
        <f>IF(576.23421="","-",576.23421/1374988.46402*100)</f>
        <v>4.1908294147813177E-2</v>
      </c>
      <c r="G83" s="19">
        <f>IF(OR(1290763.45346="",154.80971="",3701.78679=""),"-",(3701.78679-154.80971)/1290763.45346*100)</f>
        <v>0.27479683209902089</v>
      </c>
      <c r="H83" s="19">
        <f>IF(OR(1485800.76581="",576.23421="",3701.78679=""),"-",(576.23421-3701.78679)/1485800.76581*100)</f>
        <v>-0.2103614866759119</v>
      </c>
    </row>
    <row r="84" spans="1:8" x14ac:dyDescent="0.25">
      <c r="A84" s="57" t="s">
        <v>80</v>
      </c>
      <c r="B84" s="41">
        <v>346.72154</v>
      </c>
      <c r="C84" s="19">
        <v>548.69667000000004</v>
      </c>
      <c r="D84" s="19">
        <f>IF(OR(346.72154="",548.69667=""),"-",548.69667/346.72154*100)</f>
        <v>158.25283597898186</v>
      </c>
      <c r="E84" s="19">
        <f>IF(346.72154="","-",346.72154/1485800.76581*100)</f>
        <v>2.3335668413859048E-2</v>
      </c>
      <c r="F84" s="19">
        <f>IF(548.69667="","-",548.69667/1374988.46402*100)</f>
        <v>3.9905547163341062E-2</v>
      </c>
      <c r="G84" s="19">
        <f>IF(OR(1290763.45346="",181.09875="",346.72154=""),"-",(346.72154-181.09875)/1290763.45346*100)</f>
        <v>1.2831382044171936E-2</v>
      </c>
      <c r="H84" s="19">
        <f>IF(OR(1485800.76581="",548.69667="",346.72154=""),"-",(548.69667-346.72154)/1485800.76581*100)</f>
        <v>1.3593688645724392E-2</v>
      </c>
    </row>
    <row r="85" spans="1:8" x14ac:dyDescent="0.25">
      <c r="A85" s="65" t="s">
        <v>291</v>
      </c>
      <c r="B85" s="43">
        <v>0.30342000000000002</v>
      </c>
      <c r="C85" s="43">
        <v>521.70086000000003</v>
      </c>
      <c r="D85" s="19" t="s">
        <v>352</v>
      </c>
      <c r="E85" s="19">
        <f>IF(0.30342="","-",0.30342/1485800.76581*100)</f>
        <v>2.042131132127849E-5</v>
      </c>
      <c r="F85" s="19">
        <f>IF(521.70086="","-",521.70086/1374988.46402*100)</f>
        <v>3.7942199054872332E-2</v>
      </c>
      <c r="G85" s="19">
        <f>IF(OR(1290763.45346="",5.08312="",0.30342=""),"-",(0.30342-5.08312)/1290763.45346*100)</f>
        <v>-3.7030022713980724E-4</v>
      </c>
      <c r="H85" s="19">
        <f>IF(OR(1485800.76581="",521.70086="",0.30342=""),"-",(521.70086-0.30342)/1485800.76581*100)</f>
        <v>3.5092015834017602E-2</v>
      </c>
    </row>
    <row r="86" spans="1:8" x14ac:dyDescent="0.25">
      <c r="A86" s="57" t="s">
        <v>88</v>
      </c>
      <c r="B86" s="41">
        <v>389.82497000000001</v>
      </c>
      <c r="C86" s="19">
        <v>505.84777000000003</v>
      </c>
      <c r="D86" s="19">
        <f>IF(OR(389.82497="",505.84777=""),"-",505.84777/389.82497*100)</f>
        <v>129.76279328643315</v>
      </c>
      <c r="E86" s="19">
        <f>IF(389.82497="","-",389.82497/1485800.76581*100)</f>
        <v>2.6236691955632611E-2</v>
      </c>
      <c r="F86" s="19">
        <f>IF(505.84777="","-",505.84777/1374988.46402*100)</f>
        <v>3.6789237381750294E-2</v>
      </c>
      <c r="G86" s="19">
        <f>IF(OR(1290763.45346="",249.01111="",389.82497=""),"-",(389.82497-249.01111)/1290763.45346*100)</f>
        <v>1.0909346683355236E-2</v>
      </c>
      <c r="H86" s="19">
        <f>IF(OR(1485800.76581="",505.84777="",389.82497=""),"-",(505.84777-389.82497)/1485800.76581*100)</f>
        <v>7.8087723919531673E-3</v>
      </c>
    </row>
    <row r="87" spans="1:8" x14ac:dyDescent="0.25">
      <c r="A87" s="57" t="s">
        <v>101</v>
      </c>
      <c r="B87" s="41">
        <v>368.51965000000001</v>
      </c>
      <c r="C87" s="43">
        <v>480.88108</v>
      </c>
      <c r="D87" s="19">
        <f>IF(OR(368.51965="",480.88108=""),"-",480.88108/368.51965*100)</f>
        <v>130.48994266655794</v>
      </c>
      <c r="E87" s="19">
        <f>IF(368.51965="","-",368.51965/1485800.76581*100)</f>
        <v>2.4802763498314499E-2</v>
      </c>
      <c r="F87" s="19">
        <f>IF(480.88108="","-",480.88108/1374988.46402*100)</f>
        <v>3.4973462875031461E-2</v>
      </c>
      <c r="G87" s="19">
        <f>IF(OR(1290763.45346="",241.95475="",368.51965=""),"-",(368.51965-241.95475)/1290763.45346*100)</f>
        <v>9.8054294658507842E-3</v>
      </c>
      <c r="H87" s="19">
        <f>IF(OR(1485800.76581="",480.88108="",368.51965=""),"-",(480.88108-368.51965)/1485800.76581*100)</f>
        <v>7.5623483703580515E-3</v>
      </c>
    </row>
    <row r="88" spans="1:8" x14ac:dyDescent="0.25">
      <c r="A88" s="57" t="s">
        <v>58</v>
      </c>
      <c r="B88" s="41">
        <v>648.68757000000005</v>
      </c>
      <c r="C88" s="43">
        <v>472.32751999999999</v>
      </c>
      <c r="D88" s="19">
        <f>IF(OR(648.68757="",472.32752=""),"-",472.32752/648.68757*100)</f>
        <v>72.812790292867788</v>
      </c>
      <c r="E88" s="19">
        <f>IF(648.68757="","-",648.68757/1485800.76581*100)</f>
        <v>4.365912206582833E-2</v>
      </c>
      <c r="F88" s="19">
        <f>IF(472.32752="","-",472.32752/1374988.46402*100)</f>
        <v>3.4351380564973943E-2</v>
      </c>
      <c r="G88" s="19">
        <f>IF(OR(1290763.45346="",181.71246="",648.68757=""),"-",(648.68757-181.71246)/1290763.45346*100)</f>
        <v>3.6178209783383167E-2</v>
      </c>
      <c r="H88" s="19">
        <f>IF(OR(1485800.76581="",472.32752="",648.68757=""),"-",(472.32752-648.68757)/1485800.76581*100)</f>
        <v>-1.186969707232958E-2</v>
      </c>
    </row>
    <row r="89" spans="1:8" x14ac:dyDescent="0.25">
      <c r="A89" s="57" t="s">
        <v>108</v>
      </c>
      <c r="B89" s="41">
        <v>371.94873000000001</v>
      </c>
      <c r="C89" s="19">
        <v>465.88441999999998</v>
      </c>
      <c r="D89" s="19">
        <f>IF(OR(371.94873="",465.88442=""),"-",465.88442/371.94873*100)</f>
        <v>125.25501028058355</v>
      </c>
      <c r="E89" s="19">
        <f>IF(371.94873="","-",371.94873/1485800.76581*100)</f>
        <v>2.503355352608317E-2</v>
      </c>
      <c r="F89" s="19">
        <f>IF(465.88442="","-",465.88442/1374988.46402*100)</f>
        <v>3.3882787542661406E-2</v>
      </c>
      <c r="G89" s="19">
        <f>IF(OR(1290763.45346="",261.60083="",371.94873=""),"-",(371.94873-261.60083)/1290763.45346*100)</f>
        <v>8.5490412440949737E-3</v>
      </c>
      <c r="H89" s="19">
        <f>IF(OR(1485800.76581="",465.88442="",371.94873=""),"-",(465.88442-371.94873)/1485800.76581*100)</f>
        <v>6.3222265166076909E-3</v>
      </c>
    </row>
    <row r="90" spans="1:8" x14ac:dyDescent="0.25">
      <c r="A90" s="57" t="s">
        <v>30</v>
      </c>
      <c r="B90" s="41">
        <v>479.26348999999999</v>
      </c>
      <c r="C90" s="19">
        <v>460.51334000000003</v>
      </c>
      <c r="D90" s="19">
        <f>IF(OR(479.26349="",460.51334=""),"-",460.51334/479.26349*100)</f>
        <v>96.087715757359277</v>
      </c>
      <c r="E90" s="19">
        <f>IF(479.26349="","-",479.26349/1485800.76581*100)</f>
        <v>3.225624195574596E-2</v>
      </c>
      <c r="F90" s="19">
        <f>IF(460.51334="","-",460.51334/1374988.46402*100)</f>
        <v>3.3492160265375256E-2</v>
      </c>
      <c r="G90" s="19">
        <f>IF(OR(1290763.45346="",157.03521="",479.26349=""),"-",(479.26349-157.03521)/1290763.45346*100)</f>
        <v>2.4964162034200769E-2</v>
      </c>
      <c r="H90" s="19">
        <f>IF(OR(1485800.76581="",460.51334="",479.26349=""),"-",(460.51334-479.26349)/1485800.76581*100)</f>
        <v>-1.2619558713027126E-3</v>
      </c>
    </row>
    <row r="91" spans="1:8" x14ac:dyDescent="0.25">
      <c r="A91" s="57" t="s">
        <v>288</v>
      </c>
      <c r="B91" s="41">
        <v>363.40812</v>
      </c>
      <c r="C91" s="19">
        <v>396.69920999999999</v>
      </c>
      <c r="D91" s="19">
        <f>IF(OR(363.40812="",396.69921=""),"-",396.69921/363.40812*100)</f>
        <v>109.16079970915345</v>
      </c>
      <c r="E91" s="19">
        <f>IF(363.40812="","-",363.40812/1485800.76581*100)</f>
        <v>2.4458738234791808E-2</v>
      </c>
      <c r="F91" s="19">
        <f>IF(396.69921="","-",396.69921/1374988.46402*100)</f>
        <v>2.8851093691374396E-2</v>
      </c>
      <c r="G91" s="19">
        <f>IF(OR(1290763.45346="",330.98001="",363.40812=""),"-",(363.40812-330.98001)/1290763.45346*100)</f>
        <v>2.512320124425101E-3</v>
      </c>
      <c r="H91" s="19">
        <f>IF(OR(1485800.76581="",396.69921="",363.40812=""),"-",(396.69921-363.40812)/1485800.76581*100)</f>
        <v>2.2406160210754105E-3</v>
      </c>
    </row>
    <row r="92" spans="1:8" x14ac:dyDescent="0.25">
      <c r="A92" s="57" t="s">
        <v>31</v>
      </c>
      <c r="B92" s="41">
        <v>882.95829000000003</v>
      </c>
      <c r="C92" s="43">
        <v>383.84771999999998</v>
      </c>
      <c r="D92" s="19">
        <f>IF(OR(882.95829="",383.84772=""),"-",383.84772/882.95829*100)</f>
        <v>43.472916483971169</v>
      </c>
      <c r="E92" s="19">
        <f>IF(882.95829="","-",882.95829/1485800.76581*100)</f>
        <v>5.9426425824908362E-2</v>
      </c>
      <c r="F92" s="19">
        <f>IF(383.84772="","-",383.84772/1374988.46402*100)</f>
        <v>2.791643203156479E-2</v>
      </c>
      <c r="G92" s="19">
        <f>IF(OR(1290763.45346="",95.9208="",882.95829=""),"-",(882.95829-95.9208)/1290763.45346*100)</f>
        <v>6.0974571900860676E-2</v>
      </c>
      <c r="H92" s="19">
        <f>IF(OR(1485800.76581="",383.84772="",882.95829=""),"-",(383.84772-882.95829)/1485800.76581*100)</f>
        <v>-3.359202535663687E-2</v>
      </c>
    </row>
    <row r="93" spans="1:8" x14ac:dyDescent="0.25">
      <c r="A93" s="65" t="s">
        <v>75</v>
      </c>
      <c r="B93" s="43">
        <v>278.59294</v>
      </c>
      <c r="C93" s="43">
        <v>347.57999000000001</v>
      </c>
      <c r="D93" s="19">
        <f>IF(OR(278.59294="",347.57999=""),"-",347.57999/278.59294*100)</f>
        <v>124.76266986521627</v>
      </c>
      <c r="E93" s="19">
        <f>IF(278.59294="","-",278.59294/1485800.76581*100)</f>
        <v>1.8750356468427456E-2</v>
      </c>
      <c r="F93" s="19">
        <f>IF(347.57999="","-",347.57999/1374988.46402*100)</f>
        <v>2.5278756811078544E-2</v>
      </c>
      <c r="G93" s="19">
        <f>IF(OR(1290763.45346="",216.49104="",278.59294=""),"-",(278.59294-216.49104)/1290763.45346*100)</f>
        <v>4.8112533581215547E-3</v>
      </c>
      <c r="H93" s="19">
        <f>IF(OR(1485800.76581="",347.57999="",278.59294=""),"-",(347.57999-278.59294)/1485800.76581*100)</f>
        <v>4.6430888708279125E-3</v>
      </c>
    </row>
    <row r="94" spans="1:8" x14ac:dyDescent="0.25">
      <c r="A94" s="57" t="s">
        <v>81</v>
      </c>
      <c r="B94" s="41">
        <v>280.43502000000001</v>
      </c>
      <c r="C94" s="19">
        <v>330.65201999999999</v>
      </c>
      <c r="D94" s="19">
        <f>IF(OR(280.43502="",330.65202=""),"-",330.65202/280.43502*100)</f>
        <v>117.90682205096923</v>
      </c>
      <c r="E94" s="19">
        <f>IF(280.43502="","-",280.43502/1485800.76581*100)</f>
        <v>1.8874335405737786E-2</v>
      </c>
      <c r="F94" s="19">
        <f>IF(330.65202="","-",330.65202/1374988.46402*100)</f>
        <v>2.4047621391185027E-2</v>
      </c>
      <c r="G94" s="19">
        <f>IF(OR(1290763.45346="",163.5464="",280.43502=""),"-",(280.43502-163.5464)/1290763.45346*100)</f>
        <v>9.055773905487504E-3</v>
      </c>
      <c r="H94" s="19">
        <f>IF(OR(1485800.76581="",330.65202="",280.43502=""),"-",(330.65202-280.43502)/1485800.76581*100)</f>
        <v>3.3797936544085476E-3</v>
      </c>
    </row>
    <row r="95" spans="1:8" x14ac:dyDescent="0.25">
      <c r="A95" s="65" t="s">
        <v>314</v>
      </c>
      <c r="B95" s="43">
        <v>137.4237</v>
      </c>
      <c r="C95" s="43">
        <v>282.74993999999998</v>
      </c>
      <c r="D95" s="19" t="s">
        <v>296</v>
      </c>
      <c r="E95" s="19">
        <f>IF(137.4237="","-",137.4237/1485800.76581*100)</f>
        <v>9.249133744057671E-3</v>
      </c>
      <c r="F95" s="19">
        <f>IF(282.74994="","-",282.74994/1374988.46402*100)</f>
        <v>2.0563804526281988E-2</v>
      </c>
      <c r="G95" s="19">
        <f>IF(OR(1290763.45346="",356.26058="",137.4237=""),"-",(137.4237-356.26058)/1290763.45346*100)</f>
        <v>-1.6954065395436271E-2</v>
      </c>
      <c r="H95" s="19">
        <f>IF(OR(1485800.76581="",282.74994="",137.4237=""),"-",(282.74994-137.4237)/1485800.76581*100)</f>
        <v>9.781004515822405E-3</v>
      </c>
    </row>
    <row r="96" spans="1:8" x14ac:dyDescent="0.25">
      <c r="A96" s="57" t="s">
        <v>264</v>
      </c>
      <c r="B96" s="41">
        <v>83.300160000000005</v>
      </c>
      <c r="C96" s="19">
        <v>243.56053</v>
      </c>
      <c r="D96" s="19" t="s">
        <v>297</v>
      </c>
      <c r="E96" s="19">
        <f>IF(83.30016="","-",83.30016/1485800.76581*100)</f>
        <v>5.6064152016093516E-3</v>
      </c>
      <c r="F96" s="19">
        <f>IF(243.56053="","-",243.56053/1374988.46402*100)</f>
        <v>1.7713641704884677E-2</v>
      </c>
      <c r="G96" s="19">
        <f>IF(OR(1290763.45346="",0.04097="",83.30016=""),"-",(83.30016-0.04097)/1290763.45346*100)</f>
        <v>6.4503832810587202E-3</v>
      </c>
      <c r="H96" s="19">
        <f>IF(OR(1485800.76581="",243.56053="",83.30016=""),"-",(243.56053-83.30016)/1485800.76581*100)</f>
        <v>1.0786127836771733E-2</v>
      </c>
    </row>
    <row r="97" spans="1:8" x14ac:dyDescent="0.25">
      <c r="A97" s="65" t="s">
        <v>82</v>
      </c>
      <c r="B97" s="41">
        <v>143.51319000000001</v>
      </c>
      <c r="C97" s="43">
        <v>227.61497</v>
      </c>
      <c r="D97" s="19">
        <f>IF(OR(143.51319="",227.61497=""),"-",227.61497/143.51319*100)</f>
        <v>158.60212570008372</v>
      </c>
      <c r="E97" s="19">
        <f>IF(143.51319="","-",143.51319/1485800.76581*100)</f>
        <v>9.6589794070917907E-3</v>
      </c>
      <c r="F97" s="19">
        <f>IF(227.61497="","-",227.61497/1374988.46402*100)</f>
        <v>1.6553954884430885E-2</v>
      </c>
      <c r="G97" s="19">
        <f>IF(OR(1290763.45346="",411.48322="",143.51319=""),"-",(143.51319-411.48322)/1290763.45346*100)</f>
        <v>-2.0760583922769412E-2</v>
      </c>
      <c r="H97" s="19">
        <f>IF(OR(1485800.76581="",227.61497="",143.51319=""),"-",(227.61497-143.51319)/1485800.76581*100)</f>
        <v>5.6603672534891319E-3</v>
      </c>
    </row>
    <row r="98" spans="1:8" x14ac:dyDescent="0.25">
      <c r="A98" s="57" t="s">
        <v>85</v>
      </c>
      <c r="B98" s="41">
        <v>195.34522999999999</v>
      </c>
      <c r="C98" s="43">
        <v>200.54186999999999</v>
      </c>
      <c r="D98" s="19">
        <f>IF(OR(195.34523="",200.54187=""),"-",200.54187/195.34523*100)</f>
        <v>102.66023388439021</v>
      </c>
      <c r="E98" s="19">
        <f>IF(195.34523="","-",195.34523/1485800.76581*100)</f>
        <v>1.314747134980143E-2</v>
      </c>
      <c r="F98" s="19">
        <f>IF(200.54187="","-",200.54187/1374988.46402*100)</f>
        <v>1.4584985637892811E-2</v>
      </c>
      <c r="G98" s="19">
        <f>IF(OR(1290763.45346="",133.81987="",195.34523=""),"-",(195.34523-133.81987)/1290763.45346*100)</f>
        <v>4.7665867696421119E-3</v>
      </c>
      <c r="H98" s="19">
        <f>IF(OR(1485800.76581="",200.54187="",195.34523=""),"-",(200.54187-195.34523)/1485800.76581*100)</f>
        <v>3.4975348778791342E-4</v>
      </c>
    </row>
    <row r="99" spans="1:8" x14ac:dyDescent="0.25">
      <c r="A99" s="57" t="s">
        <v>102</v>
      </c>
      <c r="B99" s="41">
        <v>45.150370000000002</v>
      </c>
      <c r="C99" s="19">
        <v>165.67083</v>
      </c>
      <c r="D99" s="19" t="s">
        <v>353</v>
      </c>
      <c r="E99" s="19">
        <f>IF(45.15037="","-",45.15037/1485800.76581*100)</f>
        <v>3.0387903303701557E-3</v>
      </c>
      <c r="F99" s="19">
        <f>IF(165.67083="","-",165.67083/1374988.46402*100)</f>
        <v>1.2048888724174069E-2</v>
      </c>
      <c r="G99" s="19">
        <f>IF(OR(1290763.45346="",18.32099="",45.15037=""),"-",(45.15037-18.32099)/1290763.45346*100)</f>
        <v>2.0785667527292934E-3</v>
      </c>
      <c r="H99" s="19">
        <f>IF(OR(1485800.76581="",165.67083="",45.15037=""),"-",(165.67083-45.15037)/1485800.76581*100)</f>
        <v>8.1114818872971145E-3</v>
      </c>
    </row>
    <row r="100" spans="1:8" x14ac:dyDescent="0.25">
      <c r="A100" s="57" t="s">
        <v>169</v>
      </c>
      <c r="B100" s="41" t="s">
        <v>261</v>
      </c>
      <c r="C100" s="19">
        <v>157.18494000000001</v>
      </c>
      <c r="D100" s="19" t="str">
        <f>IF(OR(""="",157.18494=""),"-",157.18494/""*100)</f>
        <v>-</v>
      </c>
      <c r="E100" s="19" t="str">
        <f>IF(""="","-",""/1485800.76581*100)</f>
        <v>-</v>
      </c>
      <c r="F100" s="19">
        <f>IF(157.18494="","-",157.18494/1374988.46402*100)</f>
        <v>1.1431727909952389E-2</v>
      </c>
      <c r="G100" s="19" t="str">
        <f>IF(OR(1290763.45346="",101.88999="",""=""),"-",(""-101.88999)/1290763.45346*100)</f>
        <v>-</v>
      </c>
      <c r="H100" s="19" t="str">
        <f>IF(OR(1485800.76581="",157.18494="",""=""),"-",(157.18494-"")/1485800.76581*100)</f>
        <v>-</v>
      </c>
    </row>
    <row r="101" spans="1:8" x14ac:dyDescent="0.25">
      <c r="A101" s="65" t="s">
        <v>89</v>
      </c>
      <c r="B101" s="43">
        <v>2.5346500000000001</v>
      </c>
      <c r="C101" s="43">
        <v>148.05114</v>
      </c>
      <c r="D101" s="19" t="s">
        <v>354</v>
      </c>
      <c r="E101" s="19">
        <f>IF(2.53465="","-",2.53465/1485800.76581*100)</f>
        <v>1.7059151255842899E-4</v>
      </c>
      <c r="F101" s="19">
        <f>IF(148.05114="","-",148.05114/1374988.46402*100)</f>
        <v>1.0767445973121017E-2</v>
      </c>
      <c r="G101" s="19">
        <f>IF(OR(1290763.45346="",132.03472="",2.53465=""),"-",(2.53465-132.03472)/1290763.45346*100)</f>
        <v>-1.0032827444320968E-2</v>
      </c>
      <c r="H101" s="19">
        <f>IF(OR(1485800.76581="",148.05114="",2.53465=""),"-",(148.05114-2.53465)/1485800.76581*100)</f>
        <v>9.7938090589602123E-3</v>
      </c>
    </row>
    <row r="102" spans="1:8" x14ac:dyDescent="0.25">
      <c r="A102" s="65" t="s">
        <v>268</v>
      </c>
      <c r="B102" s="43">
        <v>19.371210000000001</v>
      </c>
      <c r="C102" s="43">
        <v>131.52959000000001</v>
      </c>
      <c r="D102" s="19" t="s">
        <v>355</v>
      </c>
      <c r="E102" s="19">
        <f>IF(19.37121="","-",19.37121/1485800.76581*100)</f>
        <v>1.3037555536215908E-3</v>
      </c>
      <c r="F102" s="19">
        <f>IF(131.52959="","-",131.52959/1374988.46402*100)</f>
        <v>9.5658686193956927E-3</v>
      </c>
      <c r="G102" s="19">
        <f>IF(OR(1290763.45346="",0.10952="",19.37121=""),"-",(19.37121-0.10952)/1290763.45346*100)</f>
        <v>1.4922711011353337E-3</v>
      </c>
      <c r="H102" s="19">
        <f>IF(OR(1485800.76581="",131.52959="",19.37121=""),"-",(131.52959-19.37121)/1485800.76581*100)</f>
        <v>7.54868233890401E-3</v>
      </c>
    </row>
    <row r="103" spans="1:8" x14ac:dyDescent="0.25">
      <c r="A103" s="57" t="s">
        <v>99</v>
      </c>
      <c r="B103" s="41">
        <v>130.21610999999999</v>
      </c>
      <c r="C103" s="43">
        <v>122.91033</v>
      </c>
      <c r="D103" s="19">
        <f>IF(OR(130.21611="",122.91033=""),"-",122.91033/130.21611*100)</f>
        <v>94.389496046226554</v>
      </c>
      <c r="E103" s="19">
        <f>IF(130.21611="","-",130.21611/1485800.76581*100)</f>
        <v>8.7640357305248315E-3</v>
      </c>
      <c r="F103" s="19">
        <f>IF(122.91033="","-",122.91033/1374988.46402*100)</f>
        <v>8.939008087431647E-3</v>
      </c>
      <c r="G103" s="19">
        <f>IF(OR(1290763.45346="",85.46838="",130.21611=""),"-",(130.21611-85.46838)/1290763.45346*100)</f>
        <v>3.4667645632551754E-3</v>
      </c>
      <c r="H103" s="19">
        <f>IF(OR(1485800.76581="",122.91033="",130.21611=""),"-",(122.91033-130.21611)/1485800.76581*100)</f>
        <v>-4.9170657117121358E-4</v>
      </c>
    </row>
    <row r="104" spans="1:8" x14ac:dyDescent="0.25">
      <c r="A104" s="57" t="s">
        <v>318</v>
      </c>
      <c r="B104" s="41">
        <v>6.7740900000000002</v>
      </c>
      <c r="C104" s="43">
        <v>118.72847</v>
      </c>
      <c r="D104" s="19" t="s">
        <v>356</v>
      </c>
      <c r="E104" s="19">
        <f>IF(6.77409="","-",6.77409/1485800.76581*100)</f>
        <v>4.5592182719780963E-4</v>
      </c>
      <c r="F104" s="19">
        <f>IF(118.72847="","-",118.72847/1374988.46402*100)</f>
        <v>8.6348702630477496E-3</v>
      </c>
      <c r="G104" s="19">
        <f>IF(OR(1290763.45346="",52.076="",6.77409=""),"-",(6.77409-52.076)/1290763.45346*100)</f>
        <v>-3.5096988436234709E-3</v>
      </c>
      <c r="H104" s="19">
        <f>IF(OR(1485800.76581="",118.72847="",6.77409=""),"-",(118.72847-6.77409)/1485800.76581*100)</f>
        <v>7.5349523688639968E-3</v>
      </c>
    </row>
    <row r="105" spans="1:8" x14ac:dyDescent="0.25">
      <c r="A105" s="57" t="s">
        <v>53</v>
      </c>
      <c r="B105" s="41">
        <v>0.82564000000000004</v>
      </c>
      <c r="C105" s="43">
        <v>113.34474</v>
      </c>
      <c r="D105" s="19" t="s">
        <v>357</v>
      </c>
      <c r="E105" s="19">
        <f>IF(0.82564="","-",0.82564/1485800.76581*100)</f>
        <v>5.5568688548218219E-5</v>
      </c>
      <c r="F105" s="19">
        <f>IF(113.34474="","-",113.34474/1374988.46402*100)</f>
        <v>8.2433229780429149E-3</v>
      </c>
      <c r="G105" s="19">
        <f>IF(OR(1290763.45346="",2.16142="",0.82564=""),"-",(0.82564-2.16142)/1290763.45346*100)</f>
        <v>-1.034875907292951E-4</v>
      </c>
      <c r="H105" s="19">
        <f>IF(OR(1485800.76581="",113.34474="",0.82564=""),"-",(113.34474-0.82564)/1485800.76581*100)</f>
        <v>7.5729601565159383E-3</v>
      </c>
    </row>
    <row r="106" spans="1:8" x14ac:dyDescent="0.25">
      <c r="A106" s="57" t="s">
        <v>273</v>
      </c>
      <c r="B106" s="41">
        <v>17.11271</v>
      </c>
      <c r="C106" s="19">
        <v>109.03676</v>
      </c>
      <c r="D106" s="19" t="s">
        <v>358</v>
      </c>
      <c r="E106" s="19">
        <f>IF(17.11271="","-",17.11271/1485800.76581*100)</f>
        <v>1.151749978448209E-3</v>
      </c>
      <c r="F106" s="19">
        <f>IF(109.03676="","-",109.03676/1374988.46402*100)</f>
        <v>7.930012713067678E-3</v>
      </c>
      <c r="G106" s="19">
        <f>IF(OR(1290763.45346="",0.73712="",17.11271=""),"-",(17.11271-0.73712)/1290763.45346*100)</f>
        <v>1.2686747487391165E-3</v>
      </c>
      <c r="H106" s="19">
        <f>IF(OR(1485800.76581="",109.03676="",17.11271=""),"-",(109.03676-17.11271)/1485800.76581*100)</f>
        <v>6.1868355512582221E-3</v>
      </c>
    </row>
    <row r="107" spans="1:8" x14ac:dyDescent="0.25">
      <c r="A107" s="65" t="s">
        <v>309</v>
      </c>
      <c r="B107" s="43">
        <v>1.25451</v>
      </c>
      <c r="C107" s="43">
        <v>96.408270000000002</v>
      </c>
      <c r="D107" s="19" t="s">
        <v>359</v>
      </c>
      <c r="E107" s="19">
        <f>IF(1.25451="","-",1.25451/1485800.76581*100)</f>
        <v>8.4433258406357777E-5</v>
      </c>
      <c r="F107" s="19">
        <f>IF(96.40827="","-",96.40827/1374988.46402*100)</f>
        <v>7.0115693711447517E-3</v>
      </c>
      <c r="G107" s="19">
        <f>IF(OR(1290763.45346="",1.28342="",1.25451=""),"-",(1.25451-1.28342)/1290763.45346*100)</f>
        <v>-2.2397597268890982E-6</v>
      </c>
      <c r="H107" s="19">
        <f>IF(OR(1485800.76581="",96.40827="",1.25451=""),"-",(96.40827-1.25451)/1485800.76581*100)</f>
        <v>6.4042072254637669E-3</v>
      </c>
    </row>
    <row r="108" spans="1:8" x14ac:dyDescent="0.25">
      <c r="A108" s="57" t="s">
        <v>266</v>
      </c>
      <c r="B108" s="41">
        <v>71.393119999999996</v>
      </c>
      <c r="C108" s="19">
        <v>85.899209999999997</v>
      </c>
      <c r="D108" s="19">
        <f>IF(OR(71.39312="",85.89921=""),"-",85.89921/71.39312*100)</f>
        <v>120.31861053277963</v>
      </c>
      <c r="E108" s="19">
        <f>IF(71.39312="","-",71.39312/1485800.76581*100)</f>
        <v>4.8050264640346506E-3</v>
      </c>
      <c r="F108" s="19">
        <f>IF(85.89921="","-",85.89921/1374988.46402*100)</f>
        <v>6.2472676860764222E-3</v>
      </c>
      <c r="G108" s="19">
        <f>IF(OR(1290763.45346="",160.40159="",71.39312=""),"-",(71.39312-160.40159)/1290763.45346*100)</f>
        <v>-6.8958002925637004E-3</v>
      </c>
      <c r="H108" s="19">
        <f>IF(OR(1485800.76581="",85.89921="",71.39312=""),"-",(85.89921-71.39312)/1485800.76581*100)</f>
        <v>9.7631461322419304E-4</v>
      </c>
    </row>
    <row r="109" spans="1:8" x14ac:dyDescent="0.25">
      <c r="A109" s="65" t="s">
        <v>350</v>
      </c>
      <c r="B109" s="43" t="s">
        <v>261</v>
      </c>
      <c r="C109" s="43">
        <v>83.520200000000003</v>
      </c>
      <c r="D109" s="19" t="str">
        <f>IF(OR(""="",83.5202=""),"-",83.5202/""*100)</f>
        <v>-</v>
      </c>
      <c r="E109" s="19" t="str">
        <f>IF(""="","-",""/1485800.76581*100)</f>
        <v>-</v>
      </c>
      <c r="F109" s="19">
        <f>IF(83.5202="","-",83.5202/1374988.46402*100)</f>
        <v>6.074247325378662E-3</v>
      </c>
      <c r="G109" s="19" t="str">
        <f>IF(OR(1290763.45346="",""="",""=""),"-",(""-"")/1290763.45346*100)</f>
        <v>-</v>
      </c>
      <c r="H109" s="19" t="str">
        <f>IF(OR(1485800.76581="",83.5202="",""=""),"-",(83.5202-"")/1485800.76581*100)</f>
        <v>-</v>
      </c>
    </row>
    <row r="110" spans="1:8" x14ac:dyDescent="0.25">
      <c r="A110" s="65" t="s">
        <v>310</v>
      </c>
      <c r="B110" s="43">
        <v>5.1197900000000001</v>
      </c>
      <c r="C110" s="43">
        <v>72.601579999999998</v>
      </c>
      <c r="D110" s="19" t="s">
        <v>360</v>
      </c>
      <c r="E110" s="19">
        <f>IF(5.11979="","-",5.11979/1485800.76581*100)</f>
        <v>3.4458119270176123E-4</v>
      </c>
      <c r="F110" s="19">
        <f>IF(72.60158="","-",72.60158/1374988.46402*100)</f>
        <v>5.2801592085898377E-3</v>
      </c>
      <c r="G110" s="19">
        <f>IF(OR(1290763.45346="",86.18886="",5.11979=""),"-",(5.11979-86.18886)/1290763.45346*100)</f>
        <v>-6.280706955460162E-3</v>
      </c>
      <c r="H110" s="19">
        <f>IF(OR(1485800.76581="",72.60158="",5.11979=""),"-",(72.60158-5.11979)/1485800.76581*100)</f>
        <v>4.5417791909140382E-3</v>
      </c>
    </row>
    <row r="111" spans="1:8" x14ac:dyDescent="0.25">
      <c r="A111" s="65" t="s">
        <v>269</v>
      </c>
      <c r="B111" s="43">
        <v>15.327209999999999</v>
      </c>
      <c r="C111" s="43">
        <v>70.744739999999993</v>
      </c>
      <c r="D111" s="19" t="s">
        <v>312</v>
      </c>
      <c r="E111" s="19">
        <f>IF(15.32721="","-",15.32721/1485800.76581*100)</f>
        <v>1.0315790887107405E-3</v>
      </c>
      <c r="F111" s="19">
        <f>IF(70.74474="","-",70.74474/1374988.46402*100)</f>
        <v>5.1451151665059328E-3</v>
      </c>
      <c r="G111" s="19">
        <f>IF(OR(1290763.45346="",5.45815="",15.32721=""),"-",(15.32721-5.45815)/1290763.45346*100)</f>
        <v>7.6459090730723379E-4</v>
      </c>
      <c r="H111" s="19">
        <f>IF(OR(1485800.76581="",70.74474="",15.32721=""),"-",(70.74474-15.32721)/1485800.76581*100)</f>
        <v>3.7298089538800676E-3</v>
      </c>
    </row>
    <row r="112" spans="1:8" x14ac:dyDescent="0.25">
      <c r="A112" s="57" t="s">
        <v>270</v>
      </c>
      <c r="B112" s="41">
        <v>24.138919999999999</v>
      </c>
      <c r="C112" s="43">
        <v>61.269559999999998</v>
      </c>
      <c r="D112" s="19" t="s">
        <v>320</v>
      </c>
      <c r="E112" s="19">
        <f>IF(24.13892="","-",24.13892/1485800.76581*100)</f>
        <v>1.6246404333248817E-3</v>
      </c>
      <c r="F112" s="19">
        <f>IF(61.26956="","-",61.26956/1374988.46402*100)</f>
        <v>4.4560053850101825E-3</v>
      </c>
      <c r="G112" s="19">
        <f>IF(OR(1290763.45346="",11.67836="",24.13892=""),"-",(24.13892-11.67836)/1290763.45346*100)</f>
        <v>9.6536355802439395E-4</v>
      </c>
      <c r="H112" s="19">
        <f>IF(OR(1485800.76581="",61.26956="",24.13892=""),"-",(61.26956-24.13892)/1485800.76581*100)</f>
        <v>2.49903222924763E-3</v>
      </c>
    </row>
    <row r="113" spans="1:8" x14ac:dyDescent="0.25">
      <c r="A113" s="57" t="s">
        <v>265</v>
      </c>
      <c r="B113" s="41" t="s">
        <v>261</v>
      </c>
      <c r="C113" s="43">
        <v>60.6096</v>
      </c>
      <c r="D113" s="19" t="str">
        <f>IF(OR(""="",60.6096=""),"-",60.6096/""*100)</f>
        <v>-</v>
      </c>
      <c r="E113" s="19" t="str">
        <f>IF(""="","-",""/1485800.76581*100)</f>
        <v>-</v>
      </c>
      <c r="F113" s="19">
        <f>IF(60.6096="","-",60.6096/1374988.46402*100)</f>
        <v>4.4080078914115455E-3</v>
      </c>
      <c r="G113" s="19" t="str">
        <f>IF(OR(1290763.45346="",10.4175="",""=""),"-",(""-10.4175)/1290763.45346*100)</f>
        <v>-</v>
      </c>
      <c r="H113" s="19" t="str">
        <f>IF(OR(1485800.76581="",60.6096="",""=""),"-",(60.6096-"")/1485800.76581*100)</f>
        <v>-</v>
      </c>
    </row>
    <row r="114" spans="1:8" x14ac:dyDescent="0.25">
      <c r="A114" s="69" t="s">
        <v>274</v>
      </c>
      <c r="B114" s="59">
        <v>4.1813799999999999</v>
      </c>
      <c r="C114" s="59">
        <v>52.267539999999997</v>
      </c>
      <c r="D114" s="44" t="s">
        <v>346</v>
      </c>
      <c r="E114" s="44">
        <f>IF(4.18138="","-",4.18138/1485800.76581*100)</f>
        <v>2.8142265747995332E-4</v>
      </c>
      <c r="F114" s="44">
        <f>IF(52.26754="","-",52.26754/1374988.46402*100)</f>
        <v>3.8013075285873621E-3</v>
      </c>
      <c r="G114" s="44">
        <f>IF(OR(1290763.45346="",0.68009="",4.18138=""),"-",(4.18138-0.68009)/1290763.45346*100)</f>
        <v>2.712572927761859E-4</v>
      </c>
      <c r="H114" s="44">
        <f>IF(OR(1485800.76581="",52.26754="",4.18138=""),"-",(52.26754-4.18138)/1485800.76581*100)</f>
        <v>3.2363800791141276E-3</v>
      </c>
    </row>
    <row r="115" spans="1:8" s="17" customFormat="1" ht="12.75" customHeight="1" x14ac:dyDescent="0.2">
      <c r="A115" s="8" t="s">
        <v>245</v>
      </c>
      <c r="B115" s="8"/>
      <c r="C115" s="8"/>
      <c r="D115" s="10"/>
      <c r="E115" s="9"/>
      <c r="F115" s="9"/>
      <c r="G115" s="16"/>
      <c r="H115" s="16"/>
    </row>
    <row r="116" spans="1:8" s="17" customFormat="1" ht="13.5" customHeight="1" x14ac:dyDescent="0.2">
      <c r="A116" s="9" t="s">
        <v>271</v>
      </c>
      <c r="B116" s="9"/>
      <c r="C116" s="9"/>
      <c r="D116" s="40"/>
      <c r="E116" s="40"/>
      <c r="F116" s="40"/>
      <c r="G116" s="16"/>
      <c r="H116" s="16"/>
    </row>
    <row r="117" spans="1:8" s="17" customFormat="1" ht="13.5" customHeight="1" x14ac:dyDescent="0.2">
      <c r="A117" s="78" t="s">
        <v>385</v>
      </c>
      <c r="B117" s="77"/>
      <c r="C117" s="77"/>
    </row>
    <row r="118" spans="1:8" s="26" customFormat="1" ht="11.25" x14ac:dyDescent="0.2">
      <c r="A118" s="40" t="s">
        <v>380</v>
      </c>
      <c r="B118" s="16"/>
      <c r="C118" s="16"/>
      <c r="D118" s="16"/>
      <c r="E118" s="16"/>
      <c r="F118" s="16"/>
      <c r="G118" s="16"/>
      <c r="H118" s="16"/>
    </row>
  </sheetData>
  <mergeCells count="7">
    <mergeCell ref="A1:H1"/>
    <mergeCell ref="A2:H2"/>
    <mergeCell ref="G3:H3"/>
    <mergeCell ref="B3:C3"/>
    <mergeCell ref="A3:A4"/>
    <mergeCell ref="D3:D4"/>
    <mergeCell ref="E3:F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21"/>
  <sheetViews>
    <sheetView workbookViewId="0">
      <selection sqref="A1:D1"/>
    </sheetView>
  </sheetViews>
  <sheetFormatPr defaultRowHeight="15.75" x14ac:dyDescent="0.25"/>
  <cols>
    <col min="1" max="1" width="41.625" style="21" customWidth="1"/>
    <col min="2" max="2" width="15.25" style="21" customWidth="1"/>
    <col min="3" max="3" width="15.125" style="21" customWidth="1"/>
    <col min="4" max="4" width="15.875" style="21" customWidth="1"/>
  </cols>
  <sheetData>
    <row r="1" spans="1:4" x14ac:dyDescent="0.25">
      <c r="A1" s="90" t="s">
        <v>276</v>
      </c>
      <c r="B1" s="90"/>
      <c r="C1" s="90"/>
      <c r="D1" s="90"/>
    </row>
    <row r="2" spans="1:4" x14ac:dyDescent="0.25">
      <c r="A2" s="91"/>
      <c r="B2" s="91"/>
      <c r="C2" s="91"/>
      <c r="D2" s="91"/>
    </row>
    <row r="3" spans="1:4" ht="38.25" customHeight="1" x14ac:dyDescent="0.25">
      <c r="A3" s="94"/>
      <c r="B3" s="82" t="s">
        <v>305</v>
      </c>
      <c r="C3" s="89"/>
      <c r="D3" s="92" t="s">
        <v>330</v>
      </c>
    </row>
    <row r="4" spans="1:4" ht="36" customHeight="1" x14ac:dyDescent="0.25">
      <c r="A4" s="95"/>
      <c r="B4" s="12" t="s">
        <v>323</v>
      </c>
      <c r="C4" s="12" t="s">
        <v>324</v>
      </c>
      <c r="D4" s="93"/>
    </row>
    <row r="5" spans="1:4" s="23" customFormat="1" ht="14.25" customHeight="1" x14ac:dyDescent="0.2">
      <c r="A5" s="63" t="s">
        <v>317</v>
      </c>
      <c r="B5" s="51">
        <v>-798659.21797999996</v>
      </c>
      <c r="C5" s="51">
        <v>-773688.20648000005</v>
      </c>
      <c r="D5" s="51">
        <f>IF(-798659.21798="","-",-773688.20648/-798659.21798*100)</f>
        <v>96.873383423388319</v>
      </c>
    </row>
    <row r="6" spans="1:4" s="21" customFormat="1" ht="12" x14ac:dyDescent="0.2">
      <c r="A6" s="60" t="s">
        <v>292</v>
      </c>
      <c r="B6" s="45"/>
      <c r="C6" s="45"/>
      <c r="D6" s="45"/>
    </row>
    <row r="7" spans="1:4" s="21" customFormat="1" ht="14.25" customHeight="1" x14ac:dyDescent="0.2">
      <c r="A7" s="56" t="s">
        <v>258</v>
      </c>
      <c r="B7" s="18">
        <v>-287095.18131000001</v>
      </c>
      <c r="C7" s="18">
        <v>-248059.82063999999</v>
      </c>
      <c r="D7" s="18">
        <f>IF(-287095.18131="","-",-248059.82064/-287095.18131*100)</f>
        <v>86.403338261588459</v>
      </c>
    </row>
    <row r="8" spans="1:4" s="21" customFormat="1" ht="14.25" customHeight="1" x14ac:dyDescent="0.2">
      <c r="A8" s="57" t="s">
        <v>2</v>
      </c>
      <c r="B8" s="19">
        <v>-45724.345170000001</v>
      </c>
      <c r="C8" s="19">
        <v>-49834.115380000003</v>
      </c>
      <c r="D8" s="19">
        <f>IF(OR(-45724.34517="",-49834.11538="",-45724.34517=0),"-",-49834.11538/-45724.34517*100)</f>
        <v>108.98814448784375</v>
      </c>
    </row>
    <row r="9" spans="1:4" s="21" customFormat="1" ht="14.25" customHeight="1" x14ac:dyDescent="0.2">
      <c r="A9" s="57" t="s">
        <v>250</v>
      </c>
      <c r="B9" s="19">
        <v>-25414.796849999999</v>
      </c>
      <c r="C9" s="19">
        <v>-30892.832129999999</v>
      </c>
      <c r="D9" s="19">
        <f>IF(OR(-25414.79685="",-30892.83213="",-25414.79685=0),"-",-30892.83213/-25414.79685*100)</f>
        <v>121.55451138300167</v>
      </c>
    </row>
    <row r="10" spans="1:4" s="21" customFormat="1" ht="14.25" customHeight="1" x14ac:dyDescent="0.2">
      <c r="A10" s="57" t="s">
        <v>0</v>
      </c>
      <c r="B10" s="19">
        <v>-15089.496950000001</v>
      </c>
      <c r="C10" s="19">
        <v>-29143.616750000001</v>
      </c>
      <c r="D10" s="19" t="s">
        <v>294</v>
      </c>
    </row>
    <row r="11" spans="1:4" s="21" customFormat="1" ht="14.25" customHeight="1" x14ac:dyDescent="0.2">
      <c r="A11" s="57" t="s">
        <v>1</v>
      </c>
      <c r="B11" s="19">
        <v>-23991.510969999999</v>
      </c>
      <c r="C11" s="19">
        <v>-28713.146229999998</v>
      </c>
      <c r="D11" s="19">
        <f>IF(OR(-23991.51097="",-28713.14623="",-23991.51097=0),"-",-28713.14623/-23991.51097*100)</f>
        <v>119.68044141073119</v>
      </c>
    </row>
    <row r="12" spans="1:4" s="21" customFormat="1" ht="14.25" customHeight="1" x14ac:dyDescent="0.2">
      <c r="A12" s="57" t="s">
        <v>3</v>
      </c>
      <c r="B12" s="19">
        <v>-27441.160070000002</v>
      </c>
      <c r="C12" s="19">
        <v>-24955.187839999999</v>
      </c>
      <c r="D12" s="19">
        <f>IF(OR(-27441.16007="",-24955.18784="",-27441.16007=0),"-",-24955.18784/-27441.16007*100)</f>
        <v>90.940717434472504</v>
      </c>
    </row>
    <row r="13" spans="1:4" s="21" customFormat="1" ht="14.25" customHeight="1" x14ac:dyDescent="0.2">
      <c r="A13" s="57" t="s">
        <v>35</v>
      </c>
      <c r="B13" s="19">
        <v>-27508.182479999999</v>
      </c>
      <c r="C13" s="19">
        <v>-23975.212630000002</v>
      </c>
      <c r="D13" s="19">
        <f>IF(OR(-27508.18248="",-23975.21263="",-27508.18248=0),"-",-23975.21263/-27508.18248*100)</f>
        <v>87.156658377671206</v>
      </c>
    </row>
    <row r="14" spans="1:4" s="21" customFormat="1" ht="14.25" customHeight="1" x14ac:dyDescent="0.2">
      <c r="A14" s="57" t="s">
        <v>33</v>
      </c>
      <c r="B14" s="19">
        <v>-4586.30663</v>
      </c>
      <c r="C14" s="19">
        <v>-17533.209320000002</v>
      </c>
      <c r="D14" s="19" t="s">
        <v>361</v>
      </c>
    </row>
    <row r="15" spans="1:4" s="21" customFormat="1" ht="14.25" customHeight="1" x14ac:dyDescent="0.2">
      <c r="A15" s="57" t="s">
        <v>37</v>
      </c>
      <c r="B15" s="19">
        <v>-10549.35491</v>
      </c>
      <c r="C15" s="19">
        <v>-10836.854520000001</v>
      </c>
      <c r="D15" s="19">
        <f>IF(OR(-10549.35491="",-10836.85452="",-10549.35491=0),"-",-10836.85452/-10549.35491*100)</f>
        <v>102.7252814267105</v>
      </c>
    </row>
    <row r="16" spans="1:4" s="21" customFormat="1" ht="14.25" customHeight="1" x14ac:dyDescent="0.2">
      <c r="A16" s="57" t="s">
        <v>5</v>
      </c>
      <c r="B16" s="19">
        <v>-13845.45009</v>
      </c>
      <c r="C16" s="19">
        <v>-10256.60613</v>
      </c>
      <c r="D16" s="19">
        <f>IF(OR(-13845.45009="",-10256.60613="",-13845.45009=0),"-",-10256.60613/-13845.45009*100)</f>
        <v>74.079253930559645</v>
      </c>
    </row>
    <row r="17" spans="1:4" s="21" customFormat="1" ht="14.25" customHeight="1" x14ac:dyDescent="0.2">
      <c r="A17" s="57" t="s">
        <v>34</v>
      </c>
      <c r="B17" s="19">
        <v>-6476.7552999999998</v>
      </c>
      <c r="C17" s="19">
        <v>-7436.8504800000001</v>
      </c>
      <c r="D17" s="19">
        <f>IF(OR(-6476.7553="",-7436.85048="",-6476.7553=0),"-",-7436.85048/-6476.7553*100)</f>
        <v>114.82370624686101</v>
      </c>
    </row>
    <row r="18" spans="1:4" s="21" customFormat="1" ht="14.25" customHeight="1" x14ac:dyDescent="0.2">
      <c r="A18" s="57" t="s">
        <v>257</v>
      </c>
      <c r="B18" s="19">
        <v>-7275.1198700000004</v>
      </c>
      <c r="C18" s="19">
        <v>-6899.4762300000002</v>
      </c>
      <c r="D18" s="19">
        <f>IF(OR(-7275.11987="",-6899.47623="",-7275.11987=0),"-",-6899.47623/-7275.11987*100)</f>
        <v>94.836598616759289</v>
      </c>
    </row>
    <row r="19" spans="1:4" s="21" customFormat="1" ht="14.25" customHeight="1" x14ac:dyDescent="0.2">
      <c r="A19" s="57" t="s">
        <v>43</v>
      </c>
      <c r="B19" s="19">
        <v>-4689.5744999999997</v>
      </c>
      <c r="C19" s="19">
        <v>-5590.4994100000004</v>
      </c>
      <c r="D19" s="19">
        <f>IF(OR(-4689.5745="",-5590.49941="",-4689.5745=0),"-",-5590.49941/-4689.5745*100)</f>
        <v>119.211229291698</v>
      </c>
    </row>
    <row r="20" spans="1:4" s="21" customFormat="1" ht="14.25" customHeight="1" x14ac:dyDescent="0.2">
      <c r="A20" s="57" t="s">
        <v>45</v>
      </c>
      <c r="B20" s="19">
        <v>-4844.3970300000001</v>
      </c>
      <c r="C20" s="19">
        <v>-4574.9215199999999</v>
      </c>
      <c r="D20" s="19">
        <f>IF(OR(-4844.39703="",-4574.92152="",-4844.39703=0),"-",-4574.92152/-4844.39703*100)</f>
        <v>94.43737768949957</v>
      </c>
    </row>
    <row r="21" spans="1:4" s="21" customFormat="1" ht="14.25" customHeight="1" x14ac:dyDescent="0.2">
      <c r="A21" s="57" t="s">
        <v>41</v>
      </c>
      <c r="B21" s="19">
        <v>-2150.1819</v>
      </c>
      <c r="C21" s="19">
        <v>-2782.1673900000001</v>
      </c>
      <c r="D21" s="19">
        <f>IF(OR(-2150.1819="",-2782.16739="",-2150.1819=0),"-",-2782.16739/-2150.1819*100)</f>
        <v>129.39218723774022</v>
      </c>
    </row>
    <row r="22" spans="1:4" s="21" customFormat="1" ht="14.25" customHeight="1" x14ac:dyDescent="0.2">
      <c r="A22" s="57" t="s">
        <v>42</v>
      </c>
      <c r="B22" s="19">
        <v>-2096.11825</v>
      </c>
      <c r="C22" s="19">
        <v>-2709.7845699999998</v>
      </c>
      <c r="D22" s="19">
        <f>IF(OR(-2096.11825="",-2709.78457="",-2096.11825=0),"-",-2709.78457/-2096.11825*100)</f>
        <v>129.27632160065397</v>
      </c>
    </row>
    <row r="23" spans="1:4" s="21" customFormat="1" ht="14.25" customHeight="1" x14ac:dyDescent="0.2">
      <c r="A23" s="57" t="s">
        <v>38</v>
      </c>
      <c r="B23" s="19">
        <v>-2236.54765</v>
      </c>
      <c r="C23" s="19">
        <v>-2422.0760500000001</v>
      </c>
      <c r="D23" s="19">
        <f>IF(OR(-2236.54765="",-2422.07605="",-2236.54765=0),"-",-2422.07605/-2236.54765*100)</f>
        <v>108.29530280743181</v>
      </c>
    </row>
    <row r="24" spans="1:4" s="21" customFormat="1" ht="14.25" customHeight="1" x14ac:dyDescent="0.2">
      <c r="A24" s="57" t="s">
        <v>46</v>
      </c>
      <c r="B24" s="19">
        <v>-1181.0861600000001</v>
      </c>
      <c r="C24" s="19">
        <v>-2141.7974100000001</v>
      </c>
      <c r="D24" s="19" t="s">
        <v>295</v>
      </c>
    </row>
    <row r="25" spans="1:4" s="21" customFormat="1" ht="14.25" customHeight="1" x14ac:dyDescent="0.2">
      <c r="A25" s="57" t="s">
        <v>4</v>
      </c>
      <c r="B25" s="19">
        <v>-20443.578799999999</v>
      </c>
      <c r="C25" s="19">
        <v>-430.07010000000002</v>
      </c>
      <c r="D25" s="19">
        <f>IF(OR(-20443.5788="",-430.0701="",-20443.5788=0),"-",-430.0701/-20443.5788*100)</f>
        <v>2.1036928230980774</v>
      </c>
    </row>
    <row r="26" spans="1:4" s="21" customFormat="1" ht="14.25" customHeight="1" x14ac:dyDescent="0.2">
      <c r="A26" s="57" t="s">
        <v>47</v>
      </c>
      <c r="B26" s="19">
        <v>-237.29222999999999</v>
      </c>
      <c r="C26" s="19">
        <v>-270.40181999999999</v>
      </c>
      <c r="D26" s="19">
        <f>IF(OR(-237.29223="",-270.40182="",-237.29223=0),"-",-270.40182/-237.29223*100)</f>
        <v>113.95308645377895</v>
      </c>
    </row>
    <row r="27" spans="1:4" s="21" customFormat="1" ht="14.25" customHeight="1" x14ac:dyDescent="0.2">
      <c r="A27" s="57" t="s">
        <v>251</v>
      </c>
      <c r="B27" s="19">
        <v>-620.18217000000004</v>
      </c>
      <c r="C27" s="19">
        <v>-45.590420000000002</v>
      </c>
      <c r="D27" s="19">
        <f>IF(OR(-620.18217="",-45.59042="",-620.18217=0),"-",-45.59042/-620.18217*100)</f>
        <v>7.3511336193363963</v>
      </c>
    </row>
    <row r="28" spans="1:4" s="21" customFormat="1" ht="14.25" customHeight="1" x14ac:dyDescent="0.2">
      <c r="A28" s="57" t="s">
        <v>39</v>
      </c>
      <c r="B28" s="19">
        <v>-176.56684999999999</v>
      </c>
      <c r="C28" s="19">
        <v>-43.095939999999999</v>
      </c>
      <c r="D28" s="19">
        <f>IF(OR(-176.56685="",-43.09594="",-176.56685=0),"-",-43.09594/-176.56685*100)</f>
        <v>24.407718662931348</v>
      </c>
    </row>
    <row r="29" spans="1:4" s="21" customFormat="1" ht="14.25" customHeight="1" x14ac:dyDescent="0.2">
      <c r="A29" s="57" t="s">
        <v>48</v>
      </c>
      <c r="B29" s="19">
        <v>-4.6884199999999998</v>
      </c>
      <c r="C29" s="19">
        <v>-11.48761</v>
      </c>
      <c r="D29" s="19" t="s">
        <v>320</v>
      </c>
    </row>
    <row r="30" spans="1:4" s="21" customFormat="1" ht="14.25" customHeight="1" x14ac:dyDescent="0.2">
      <c r="A30" s="57" t="s">
        <v>36</v>
      </c>
      <c r="B30" s="19">
        <v>2044.04935</v>
      </c>
      <c r="C30" s="19">
        <v>443.98336999999998</v>
      </c>
      <c r="D30" s="19">
        <f>IF(OR(2044.04935="",443.98337="",2044.04935=0),"-",443.98337/2044.04935*100)</f>
        <v>21.720775479320007</v>
      </c>
    </row>
    <row r="31" spans="1:4" s="21" customFormat="1" ht="14.25" customHeight="1" x14ac:dyDescent="0.2">
      <c r="A31" s="57" t="s">
        <v>44</v>
      </c>
      <c r="B31" s="19">
        <v>-4635.7660599999999</v>
      </c>
      <c r="C31" s="19">
        <v>1961.37183</v>
      </c>
      <c r="D31" s="19" t="s">
        <v>304</v>
      </c>
    </row>
    <row r="32" spans="1:4" s="21" customFormat="1" ht="14.25" customHeight="1" x14ac:dyDescent="0.2">
      <c r="A32" s="57" t="s">
        <v>6</v>
      </c>
      <c r="B32" s="19">
        <v>-50892.317499999997</v>
      </c>
      <c r="C32" s="19">
        <v>2739.9374699999998</v>
      </c>
      <c r="D32" s="19" t="s">
        <v>304</v>
      </c>
    </row>
    <row r="33" spans="1:4" s="21" customFormat="1" ht="14.25" customHeight="1" x14ac:dyDescent="0.2">
      <c r="A33" s="57" t="s">
        <v>40</v>
      </c>
      <c r="B33" s="19">
        <v>10850.91353</v>
      </c>
      <c r="C33" s="19">
        <v>3941.0798</v>
      </c>
      <c r="D33" s="19">
        <f>IF(OR(10850.91353="",3941.0798="",10850.91353=0),"-",3941.0798/10850.91353*100)</f>
        <v>36.320258097200039</v>
      </c>
    </row>
    <row r="34" spans="1:4" s="21" customFormat="1" ht="14.25" customHeight="1" x14ac:dyDescent="0.2">
      <c r="A34" s="57" t="s">
        <v>253</v>
      </c>
      <c r="B34" s="19">
        <v>2120.6326199999999</v>
      </c>
      <c r="C34" s="19">
        <v>4352.8067700000001</v>
      </c>
      <c r="D34" s="19" t="s">
        <v>296</v>
      </c>
    </row>
    <row r="35" spans="1:4" s="21" customFormat="1" ht="14.25" customHeight="1" x14ac:dyDescent="0.2">
      <c r="A35" s="56" t="s">
        <v>378</v>
      </c>
      <c r="B35" s="18">
        <v>-102509.95495</v>
      </c>
      <c r="C35" s="18">
        <v>-10412.43245</v>
      </c>
      <c r="D35" s="18">
        <f>IF(-102509.95495="","-",-10412.43245/-102509.95495*100)</f>
        <v>10.157484173199318</v>
      </c>
    </row>
    <row r="36" spans="1:4" s="21" customFormat="1" ht="14.25" customHeight="1" x14ac:dyDescent="0.2">
      <c r="A36" s="57" t="s">
        <v>252</v>
      </c>
      <c r="B36" s="19">
        <v>-82714.673989999996</v>
      </c>
      <c r="C36" s="19">
        <v>-14707.503860000001</v>
      </c>
      <c r="D36" s="19">
        <f>IF(OR(-82714.67399="",-14707.50386="",-82714.67399=0),"-",-14707.50386/-82714.67399*100)</f>
        <v>17.781009282316827</v>
      </c>
    </row>
    <row r="37" spans="1:4" s="21" customFormat="1" ht="14.25" customHeight="1" x14ac:dyDescent="0.2">
      <c r="A37" s="57" t="s">
        <v>11</v>
      </c>
      <c r="B37" s="19">
        <v>-88.462069999999997</v>
      </c>
      <c r="C37" s="19">
        <v>-1073.56906</v>
      </c>
      <c r="D37" s="19" t="s">
        <v>362</v>
      </c>
    </row>
    <row r="38" spans="1:4" s="21" customFormat="1" ht="14.25" customHeight="1" x14ac:dyDescent="0.2">
      <c r="A38" s="57" t="s">
        <v>10</v>
      </c>
      <c r="B38" s="19">
        <v>-7646.1925799999999</v>
      </c>
      <c r="C38" s="19">
        <v>29.84308</v>
      </c>
      <c r="D38" s="19" t="s">
        <v>304</v>
      </c>
    </row>
    <row r="39" spans="1:4" s="21" customFormat="1" ht="14.25" customHeight="1" x14ac:dyDescent="0.2">
      <c r="A39" s="57" t="s">
        <v>12</v>
      </c>
      <c r="B39" s="19">
        <v>-1628.5987399999999</v>
      </c>
      <c r="C39" s="19">
        <v>330.22433000000001</v>
      </c>
      <c r="D39" s="19" t="s">
        <v>304</v>
      </c>
    </row>
    <row r="40" spans="1:4" s="21" customFormat="1" ht="14.25" customHeight="1" x14ac:dyDescent="0.2">
      <c r="A40" s="57" t="s">
        <v>14</v>
      </c>
      <c r="B40" s="19">
        <v>42.13064</v>
      </c>
      <c r="C40" s="19">
        <v>518.85636</v>
      </c>
      <c r="D40" s="19" t="s">
        <v>341</v>
      </c>
    </row>
    <row r="41" spans="1:4" s="21" customFormat="1" ht="14.25" customHeight="1" x14ac:dyDescent="0.2">
      <c r="A41" s="57" t="s">
        <v>13</v>
      </c>
      <c r="B41" s="19">
        <v>124.16457</v>
      </c>
      <c r="C41" s="19">
        <v>535.10157000000004</v>
      </c>
      <c r="D41" s="19" t="s">
        <v>363</v>
      </c>
    </row>
    <row r="42" spans="1:4" s="21" customFormat="1" ht="14.25" customHeight="1" x14ac:dyDescent="0.2">
      <c r="A42" s="57" t="s">
        <v>7</v>
      </c>
      <c r="B42" s="19">
        <v>5157.5273800000004</v>
      </c>
      <c r="C42" s="19">
        <v>590.13813000000005</v>
      </c>
      <c r="D42" s="19">
        <f>IF(OR(5157.52738="",590.13813="",5157.52738=0),"-",590.13813/5157.52738*100)</f>
        <v>11.442268484864544</v>
      </c>
    </row>
    <row r="43" spans="1:4" s="21" customFormat="1" ht="14.25" customHeight="1" x14ac:dyDescent="0.2">
      <c r="A43" s="57" t="s">
        <v>254</v>
      </c>
      <c r="B43" s="19">
        <v>264.54705999999999</v>
      </c>
      <c r="C43" s="19">
        <v>1108.2584300000001</v>
      </c>
      <c r="D43" s="19" t="s">
        <v>364</v>
      </c>
    </row>
    <row r="44" spans="1:4" s="21" customFormat="1" ht="14.25" customHeight="1" x14ac:dyDescent="0.2">
      <c r="A44" s="57" t="s">
        <v>9</v>
      </c>
      <c r="B44" s="19">
        <v>-16020.397220000001</v>
      </c>
      <c r="C44" s="19">
        <v>2256.21857</v>
      </c>
      <c r="D44" s="19" t="s">
        <v>304</v>
      </c>
    </row>
    <row r="45" spans="1:4" s="21" customFormat="1" ht="14.25" customHeight="1" x14ac:dyDescent="0.2">
      <c r="A45" s="56" t="s">
        <v>106</v>
      </c>
      <c r="B45" s="18">
        <v>-409054.08172000002</v>
      </c>
      <c r="C45" s="18">
        <v>-515215.95338999998</v>
      </c>
      <c r="D45" s="18">
        <f>IF(-409054.08172="","-",-515215.95339/-409054.08172*100)</f>
        <v>125.9530160959666</v>
      </c>
    </row>
    <row r="46" spans="1:4" s="21" customFormat="1" ht="14.25" customHeight="1" x14ac:dyDescent="0.2">
      <c r="A46" s="72" t="s">
        <v>8</v>
      </c>
      <c r="B46" s="43">
        <v>-78819.697969999994</v>
      </c>
      <c r="C46" s="43">
        <v>-220176.51868000001</v>
      </c>
      <c r="D46" s="19" t="s">
        <v>365</v>
      </c>
    </row>
    <row r="47" spans="1:4" s="21" customFormat="1" ht="14.25" customHeight="1" x14ac:dyDescent="0.2">
      <c r="A47" s="57" t="s">
        <v>52</v>
      </c>
      <c r="B47" s="19">
        <v>-147373.20939</v>
      </c>
      <c r="C47" s="19">
        <v>-152113.26157999999</v>
      </c>
      <c r="D47" s="19">
        <f>IF(OR(-147373.20939="",-152113.26158="",-147373.20939=0),"-",-152113.26158/-147373.20939*100)</f>
        <v>103.21635947918877</v>
      </c>
    </row>
    <row r="48" spans="1:4" s="21" customFormat="1" ht="14.25" customHeight="1" x14ac:dyDescent="0.2">
      <c r="A48" s="72" t="s">
        <v>49</v>
      </c>
      <c r="B48" s="43">
        <v>-84979.807390000002</v>
      </c>
      <c r="C48" s="43">
        <v>-56999.513079999997</v>
      </c>
      <c r="D48" s="19">
        <f>IF(OR(-84979.80739="",-56999.51308="",-84979.80739=0),"-",-56999.51308/-84979.80739*100)</f>
        <v>67.07418483359308</v>
      </c>
    </row>
    <row r="49" spans="1:4" s="21" customFormat="1" ht="14.25" customHeight="1" x14ac:dyDescent="0.2">
      <c r="A49" s="57" t="s">
        <v>66</v>
      </c>
      <c r="B49" s="43">
        <v>-11913.11694</v>
      </c>
      <c r="C49" s="19">
        <v>-13326.626319999999</v>
      </c>
      <c r="D49" s="19">
        <f>IF(OR(-11913.11694="",-13326.62632="",-11913.11694=0),"-",-13326.62632/-11913.11694*100)</f>
        <v>111.86515155621397</v>
      </c>
    </row>
    <row r="50" spans="1:4" s="21" customFormat="1" ht="14.25" customHeight="1" x14ac:dyDescent="0.2">
      <c r="A50" s="72" t="s">
        <v>62</v>
      </c>
      <c r="B50" s="43">
        <v>-7068.7204599999995</v>
      </c>
      <c r="C50" s="43">
        <v>-10946.144329999999</v>
      </c>
      <c r="D50" s="19">
        <f>IF(OR(-7068.72046="",-10946.14433="",-7068.72046=0),"-",-10946.14433/-7068.72046*100)</f>
        <v>154.85326364143702</v>
      </c>
    </row>
    <row r="51" spans="1:4" s="21" customFormat="1" ht="14.25" customHeight="1" x14ac:dyDescent="0.2">
      <c r="A51" s="57" t="s">
        <v>29</v>
      </c>
      <c r="B51" s="19">
        <v>-6837.7679600000001</v>
      </c>
      <c r="C51" s="19">
        <v>-8221.2383599999994</v>
      </c>
      <c r="D51" s="19">
        <f>IF(OR(-6837.76796="",-8221.23836="",-6837.76796=0),"-",-8221.23836/-6837.76796*100)</f>
        <v>120.23277783178825</v>
      </c>
    </row>
    <row r="52" spans="1:4" s="21" customFormat="1" ht="14.25" customHeight="1" x14ac:dyDescent="0.2">
      <c r="A52" s="72" t="s">
        <v>286</v>
      </c>
      <c r="B52" s="43">
        <v>-2064.9184700000001</v>
      </c>
      <c r="C52" s="43">
        <v>-7281.5521600000002</v>
      </c>
      <c r="D52" s="19" t="s">
        <v>301</v>
      </c>
    </row>
    <row r="53" spans="1:4" s="21" customFormat="1" ht="14.25" customHeight="1" x14ac:dyDescent="0.2">
      <c r="A53" s="57" t="s">
        <v>60</v>
      </c>
      <c r="B53" s="19">
        <v>-32681.456050000001</v>
      </c>
      <c r="C53" s="19">
        <v>-7003.6900800000003</v>
      </c>
      <c r="D53" s="19">
        <f>IF(OR(-32681.45605="",-7003.69008="",-32681.45605=0),"-",-7003.69008/-32681.45605*100)</f>
        <v>21.430165379672552</v>
      </c>
    </row>
    <row r="54" spans="1:4" s="21" customFormat="1" ht="14.25" customHeight="1" x14ac:dyDescent="0.2">
      <c r="A54" s="57" t="s">
        <v>69</v>
      </c>
      <c r="B54" s="19">
        <v>-5812.2098400000004</v>
      </c>
      <c r="C54" s="19">
        <v>-6490.27592</v>
      </c>
      <c r="D54" s="19">
        <f>IF(OR(-5812.20984="",-6490.27592="",-5812.20984=0),"-",-6490.27592/-5812.20984*100)</f>
        <v>111.66623536771687</v>
      </c>
    </row>
    <row r="55" spans="1:4" s="21" customFormat="1" ht="14.25" customHeight="1" x14ac:dyDescent="0.2">
      <c r="A55" s="57" t="s">
        <v>65</v>
      </c>
      <c r="B55" s="19">
        <v>4672.3901999999998</v>
      </c>
      <c r="C55" s="19">
        <v>-5596.4665599999998</v>
      </c>
      <c r="D55" s="19" t="s">
        <v>304</v>
      </c>
    </row>
    <row r="56" spans="1:4" s="21" customFormat="1" ht="14.25" customHeight="1" x14ac:dyDescent="0.2">
      <c r="A56" s="72" t="s">
        <v>255</v>
      </c>
      <c r="B56" s="43">
        <v>-3811.1619900000001</v>
      </c>
      <c r="C56" s="43">
        <v>-3849.5503600000002</v>
      </c>
      <c r="D56" s="19">
        <f>IF(OR(-3811.16199="",-3849.55036="",-3811.16199=0),"-",-3849.55036/-3811.16199*100)</f>
        <v>101.00726156748851</v>
      </c>
    </row>
    <row r="57" spans="1:4" s="21" customFormat="1" ht="14.25" customHeight="1" x14ac:dyDescent="0.2">
      <c r="A57" s="57" t="s">
        <v>61</v>
      </c>
      <c r="B57" s="19">
        <v>-1889.06333</v>
      </c>
      <c r="C57" s="19">
        <v>-3845.56666</v>
      </c>
      <c r="D57" s="19" t="s">
        <v>300</v>
      </c>
    </row>
    <row r="58" spans="1:4" s="21" customFormat="1" ht="14.25" customHeight="1" x14ac:dyDescent="0.2">
      <c r="A58" s="72" t="s">
        <v>68</v>
      </c>
      <c r="B58" s="43">
        <v>-1856.3562899999999</v>
      </c>
      <c r="C58" s="43">
        <v>-3101.7408700000001</v>
      </c>
      <c r="D58" s="19" t="s">
        <v>293</v>
      </c>
    </row>
    <row r="59" spans="1:4" s="21" customFormat="1" ht="14.25" customHeight="1" x14ac:dyDescent="0.2">
      <c r="A59" s="72" t="s">
        <v>57</v>
      </c>
      <c r="B59" s="43">
        <v>-2429.0446900000002</v>
      </c>
      <c r="C59" s="43">
        <v>-3059.59933</v>
      </c>
      <c r="D59" s="19">
        <f>IF(OR(-2429.04469="",-3059.59933="",-2429.04469=0),"-",-3059.59933/-2429.04469*100)</f>
        <v>125.95895590541811</v>
      </c>
    </row>
    <row r="60" spans="1:4" s="21" customFormat="1" ht="14.25" customHeight="1" x14ac:dyDescent="0.2">
      <c r="A60" s="57" t="s">
        <v>54</v>
      </c>
      <c r="B60" s="19">
        <v>-7878.9081299999998</v>
      </c>
      <c r="C60" s="19">
        <v>-3027.2611900000002</v>
      </c>
      <c r="D60" s="19">
        <f>IF(OR(-7878.90813="",-3027.26119="",-7878.90813=0),"-",-3027.26119/-7878.90813*100)</f>
        <v>38.422344061524171</v>
      </c>
    </row>
    <row r="61" spans="1:4" s="21" customFormat="1" ht="14.25" customHeight="1" x14ac:dyDescent="0.2">
      <c r="A61" s="72" t="s">
        <v>313</v>
      </c>
      <c r="B61" s="43">
        <v>-1509.02862</v>
      </c>
      <c r="C61" s="43">
        <v>-2210.89221</v>
      </c>
      <c r="D61" s="19">
        <f>IF(OR(-1509.02862="",-2210.89221="",-1509.02862=0),"-",-2210.89221/-1509.02862*100)</f>
        <v>146.51095285389616</v>
      </c>
    </row>
    <row r="62" spans="1:4" s="21" customFormat="1" ht="14.25" customHeight="1" x14ac:dyDescent="0.2">
      <c r="A62" s="72" t="s">
        <v>64</v>
      </c>
      <c r="B62" s="43">
        <v>-2244.19839</v>
      </c>
      <c r="C62" s="43">
        <v>-2126.67643</v>
      </c>
      <c r="D62" s="19">
        <f>IF(OR(-2244.19839="",-2126.67643="",-2244.19839=0),"-",-2126.67643/-2244.19839*100)</f>
        <v>94.76329897910675</v>
      </c>
    </row>
    <row r="63" spans="1:4" s="21" customFormat="1" ht="14.25" customHeight="1" x14ac:dyDescent="0.2">
      <c r="A63" s="57" t="s">
        <v>73</v>
      </c>
      <c r="B63" s="19">
        <v>-2072.4018099999998</v>
      </c>
      <c r="C63" s="19">
        <v>-1879.2509700000001</v>
      </c>
      <c r="D63" s="19">
        <f>IF(OR(-2072.40181="",-1879.25097="",-2072.40181=0),"-",-1879.25097/-2072.40181*100)</f>
        <v>90.679855659844279</v>
      </c>
    </row>
    <row r="64" spans="1:4" s="21" customFormat="1" ht="14.25" customHeight="1" x14ac:dyDescent="0.2">
      <c r="A64" s="57" t="s">
        <v>55</v>
      </c>
      <c r="B64" s="19">
        <v>-1842.57098</v>
      </c>
      <c r="C64" s="19">
        <v>-1806.40209</v>
      </c>
      <c r="D64" s="19">
        <f>IF(OR(-1842.57098="",-1806.40209="",-1842.57098=0),"-",-1806.40209/-1842.57098*100)</f>
        <v>98.037042241922208</v>
      </c>
    </row>
    <row r="65" spans="1:4" s="21" customFormat="1" ht="14.25" customHeight="1" x14ac:dyDescent="0.2">
      <c r="A65" s="72" t="s">
        <v>72</v>
      </c>
      <c r="B65" s="43">
        <v>-2250.1873900000001</v>
      </c>
      <c r="C65" s="43">
        <v>-1689.5507399999999</v>
      </c>
      <c r="D65" s="19">
        <f>IF(OR(-2250.18739="",-1689.55074="",-2250.18739=0),"-",-1689.55074/-2250.18739*100)</f>
        <v>75.084890596600488</v>
      </c>
    </row>
    <row r="66" spans="1:4" s="21" customFormat="1" ht="14.25" customHeight="1" x14ac:dyDescent="0.2">
      <c r="A66" s="57" t="s">
        <v>70</v>
      </c>
      <c r="B66" s="19">
        <v>-801.06187</v>
      </c>
      <c r="C66" s="19">
        <v>-1549.5163299999999</v>
      </c>
      <c r="D66" s="19" t="s">
        <v>294</v>
      </c>
    </row>
    <row r="67" spans="1:4" s="21" customFormat="1" ht="14.25" customHeight="1" x14ac:dyDescent="0.2">
      <c r="A67" s="72" t="s">
        <v>74</v>
      </c>
      <c r="B67" s="43">
        <v>494.75564000000003</v>
      </c>
      <c r="C67" s="43">
        <v>-1095.36013</v>
      </c>
      <c r="D67" s="19" t="s">
        <v>304</v>
      </c>
    </row>
    <row r="68" spans="1:4" s="21" customFormat="1" ht="14.25" customHeight="1" x14ac:dyDescent="0.2">
      <c r="A68" s="72" t="s">
        <v>79</v>
      </c>
      <c r="B68" s="43">
        <v>-971.57406000000003</v>
      </c>
      <c r="C68" s="43">
        <v>-1078.5586599999999</v>
      </c>
      <c r="D68" s="19">
        <f>IF(OR(-971.57406="",-1078.55866="",-971.57406=0),"-",-1078.55866/-971.57406*100)</f>
        <v>111.01147142606915</v>
      </c>
    </row>
    <row r="69" spans="1:4" s="21" customFormat="1" ht="14.25" customHeight="1" x14ac:dyDescent="0.2">
      <c r="A69" s="57" t="s">
        <v>32</v>
      </c>
      <c r="B69" s="19">
        <v>-920.50609999999995</v>
      </c>
      <c r="C69" s="19">
        <v>-848.65039000000002</v>
      </c>
      <c r="D69" s="19">
        <f>IF(OR(-920.5061="",-848.65039="",-920.5061=0),"-",-848.65039/-920.5061*100)</f>
        <v>92.193890947599371</v>
      </c>
    </row>
    <row r="70" spans="1:4" s="21" customFormat="1" ht="14.25" customHeight="1" x14ac:dyDescent="0.2">
      <c r="A70" s="57" t="s">
        <v>77</v>
      </c>
      <c r="B70" s="19">
        <v>-751.52513999999996</v>
      </c>
      <c r="C70" s="19">
        <v>-829.73308999999995</v>
      </c>
      <c r="D70" s="19">
        <f>IF(OR(-751.52514="",-829.73309="",-751.52514=0),"-",-829.73309/-751.52514*100)</f>
        <v>110.4065647091992</v>
      </c>
    </row>
    <row r="71" spans="1:4" s="21" customFormat="1" ht="14.25" customHeight="1" x14ac:dyDescent="0.2">
      <c r="A71" s="57" t="s">
        <v>71</v>
      </c>
      <c r="B71" s="19">
        <v>-670.33518000000004</v>
      </c>
      <c r="C71" s="19">
        <v>-820.68395999999996</v>
      </c>
      <c r="D71" s="19">
        <f>IF(OR(-670.33518="",-820.68396="",-670.33518=0),"-",-820.68396/-670.33518*100)</f>
        <v>122.42889594426475</v>
      </c>
    </row>
    <row r="72" spans="1:4" s="21" customFormat="1" ht="14.25" customHeight="1" x14ac:dyDescent="0.2">
      <c r="A72" s="57" t="s">
        <v>76</v>
      </c>
      <c r="B72" s="19">
        <v>-232.55146999999999</v>
      </c>
      <c r="C72" s="19">
        <v>-802.10482999999999</v>
      </c>
      <c r="D72" s="19" t="s">
        <v>303</v>
      </c>
    </row>
    <row r="73" spans="1:4" s="21" customFormat="1" ht="14.25" customHeight="1" x14ac:dyDescent="0.2">
      <c r="A73" s="72" t="s">
        <v>56</v>
      </c>
      <c r="B73" s="43">
        <v>-353.87277</v>
      </c>
      <c r="C73" s="43">
        <v>-695.53345000000002</v>
      </c>
      <c r="D73" s="19" t="s">
        <v>300</v>
      </c>
    </row>
    <row r="74" spans="1:4" s="21" customFormat="1" ht="14.25" customHeight="1" x14ac:dyDescent="0.2">
      <c r="A74" s="57" t="s">
        <v>63</v>
      </c>
      <c r="B74" s="19">
        <v>-678.74397999999997</v>
      </c>
      <c r="C74" s="19">
        <v>-678.19149000000004</v>
      </c>
      <c r="D74" s="19">
        <f>IF(OR(-678.74398="",-678.19149="",-678.74398=0),"-",-678.19149/-678.74398*100)</f>
        <v>99.918601119674037</v>
      </c>
    </row>
    <row r="75" spans="1:4" s="21" customFormat="1" ht="14.25" customHeight="1" x14ac:dyDescent="0.2">
      <c r="A75" s="57" t="s">
        <v>349</v>
      </c>
      <c r="B75" s="19">
        <v>-502.17935999999997</v>
      </c>
      <c r="C75" s="19">
        <v>-652.58348999999998</v>
      </c>
      <c r="D75" s="19">
        <f>IF(OR(-502.17936="",-652.58349="",-502.17936=0),"-",-652.58349/-502.17936*100)</f>
        <v>129.9502811107171</v>
      </c>
    </row>
    <row r="76" spans="1:4" s="21" customFormat="1" ht="14.25" customHeight="1" x14ac:dyDescent="0.2">
      <c r="A76" s="57" t="s">
        <v>78</v>
      </c>
      <c r="B76" s="19">
        <v>-435.8972</v>
      </c>
      <c r="C76" s="19">
        <v>-651.37482</v>
      </c>
      <c r="D76" s="19">
        <f>IF(OR(-435.8972="",-651.37482="",-435.8972=0),"-",-651.37482/-435.8972*100)</f>
        <v>149.43312781086917</v>
      </c>
    </row>
    <row r="77" spans="1:4" s="21" customFormat="1" ht="14.25" customHeight="1" x14ac:dyDescent="0.2">
      <c r="A77" s="72" t="s">
        <v>84</v>
      </c>
      <c r="B77" s="43">
        <v>-353.18034</v>
      </c>
      <c r="C77" s="43">
        <v>-621.99009000000001</v>
      </c>
      <c r="D77" s="19" t="s">
        <v>295</v>
      </c>
    </row>
    <row r="78" spans="1:4" s="21" customFormat="1" ht="14.25" customHeight="1" x14ac:dyDescent="0.2">
      <c r="A78" s="57" t="s">
        <v>80</v>
      </c>
      <c r="B78" s="19">
        <v>-280.36935</v>
      </c>
      <c r="C78" s="19">
        <v>-548.69667000000004</v>
      </c>
      <c r="D78" s="19" t="s">
        <v>300</v>
      </c>
    </row>
    <row r="79" spans="1:4" s="21" customFormat="1" ht="14.25" customHeight="1" x14ac:dyDescent="0.2">
      <c r="A79" s="72" t="s">
        <v>291</v>
      </c>
      <c r="B79" s="43">
        <v>-0.30342000000000002</v>
      </c>
      <c r="C79" s="43">
        <v>-517.52594999999997</v>
      </c>
      <c r="D79" s="19" t="s">
        <v>366</v>
      </c>
    </row>
    <row r="80" spans="1:4" s="21" customFormat="1" ht="14.25" customHeight="1" x14ac:dyDescent="0.2">
      <c r="A80" s="57" t="s">
        <v>108</v>
      </c>
      <c r="B80" s="19">
        <v>-371.94873000000001</v>
      </c>
      <c r="C80" s="19">
        <v>-465.88441999999998</v>
      </c>
      <c r="D80" s="19">
        <f>IF(OR(-371.94873="",-465.88442="",-371.94873=0),"-",-465.88442/-371.94873*100)</f>
        <v>125.25501028058355</v>
      </c>
    </row>
    <row r="81" spans="1:4" s="21" customFormat="1" ht="14.25" customHeight="1" x14ac:dyDescent="0.2">
      <c r="A81" s="72" t="s">
        <v>373</v>
      </c>
      <c r="B81" s="43">
        <v>-1447.38824</v>
      </c>
      <c r="C81" s="43">
        <v>-258.51227</v>
      </c>
      <c r="D81" s="19">
        <f>IF(OR(-1447.38824="",-258.51227="",-1447.38824=0),"-",-258.51227/-1447.38824*100)</f>
        <v>17.860603178591532</v>
      </c>
    </row>
    <row r="82" spans="1:4" s="21" customFormat="1" ht="14.25" customHeight="1" x14ac:dyDescent="0.2">
      <c r="A82" s="72" t="s">
        <v>314</v>
      </c>
      <c r="B82" s="43">
        <v>-137.4237</v>
      </c>
      <c r="C82" s="43">
        <v>-253.31646000000001</v>
      </c>
      <c r="D82" s="19" t="s">
        <v>295</v>
      </c>
    </row>
    <row r="83" spans="1:4" s="21" customFormat="1" ht="14.25" customHeight="1" x14ac:dyDescent="0.2">
      <c r="A83" s="57" t="s">
        <v>264</v>
      </c>
      <c r="B83" s="19">
        <v>-83.300160000000005</v>
      </c>
      <c r="C83" s="19">
        <v>-243.56053</v>
      </c>
      <c r="D83" s="19" t="s">
        <v>297</v>
      </c>
    </row>
    <row r="84" spans="1:4" s="21" customFormat="1" ht="14.25" customHeight="1" x14ac:dyDescent="0.2">
      <c r="A84" s="72" t="s">
        <v>82</v>
      </c>
      <c r="B84" s="43">
        <v>-143.51319000000001</v>
      </c>
      <c r="C84" s="43">
        <v>-227.61497</v>
      </c>
      <c r="D84" s="19">
        <f>IF(OR(-143.51319="",-227.61497="",-143.51319=0),"-",-227.61497/-143.51319*100)</f>
        <v>158.60212570008372</v>
      </c>
    </row>
    <row r="85" spans="1:4" s="21" customFormat="1" ht="14.25" customHeight="1" x14ac:dyDescent="0.2">
      <c r="A85" s="57" t="s">
        <v>169</v>
      </c>
      <c r="B85" s="19">
        <v>74.449600000000004</v>
      </c>
      <c r="C85" s="19">
        <v>-149.44949</v>
      </c>
      <c r="D85" s="19" t="s">
        <v>304</v>
      </c>
    </row>
    <row r="86" spans="1:4" s="21" customFormat="1" ht="14.25" customHeight="1" x14ac:dyDescent="0.2">
      <c r="A86" s="57" t="s">
        <v>85</v>
      </c>
      <c r="B86" s="19">
        <v>-122.89154000000001</v>
      </c>
      <c r="C86" s="19">
        <v>-123.30656999999999</v>
      </c>
      <c r="D86" s="19">
        <f>IF(OR(-122.89154="",-123.30657="",-122.89154=0),"-",-123.30657/-122.89154*100)</f>
        <v>100.33772056237555</v>
      </c>
    </row>
    <row r="87" spans="1:4" s="21" customFormat="1" ht="14.25" customHeight="1" x14ac:dyDescent="0.2">
      <c r="A87" s="57" t="s">
        <v>99</v>
      </c>
      <c r="B87" s="19">
        <v>-130.21610999999999</v>
      </c>
      <c r="C87" s="19">
        <v>-122.91033</v>
      </c>
      <c r="D87" s="19">
        <f>IF(OR(-130.21611="",-122.91033="",-130.21611=0),"-",-122.91033/-130.21611*100)</f>
        <v>94.389496046226554</v>
      </c>
    </row>
    <row r="88" spans="1:4" s="21" customFormat="1" ht="14.25" customHeight="1" x14ac:dyDescent="0.2">
      <c r="A88" s="57" t="s">
        <v>318</v>
      </c>
      <c r="B88" s="19">
        <v>-6.7740900000000002</v>
      </c>
      <c r="C88" s="19">
        <v>-118.72847</v>
      </c>
      <c r="D88" s="19" t="s">
        <v>356</v>
      </c>
    </row>
    <row r="89" spans="1:4" s="21" customFormat="1" ht="14.25" customHeight="1" x14ac:dyDescent="0.2">
      <c r="A89" s="57" t="s">
        <v>81</v>
      </c>
      <c r="B89" s="19">
        <v>-39.979120000000002</v>
      </c>
      <c r="C89" s="19">
        <v>-117.35035999999999</v>
      </c>
      <c r="D89" s="19" t="s">
        <v>297</v>
      </c>
    </row>
    <row r="90" spans="1:4" s="21" customFormat="1" ht="14.25" customHeight="1" x14ac:dyDescent="0.2">
      <c r="A90" s="72" t="s">
        <v>75</v>
      </c>
      <c r="B90" s="43">
        <v>-19.72925</v>
      </c>
      <c r="C90" s="43">
        <v>-113.5401</v>
      </c>
      <c r="D90" s="19" t="s">
        <v>306</v>
      </c>
    </row>
    <row r="91" spans="1:4" s="21" customFormat="1" ht="14.25" customHeight="1" x14ac:dyDescent="0.2">
      <c r="A91" s="57" t="s">
        <v>273</v>
      </c>
      <c r="B91" s="19">
        <v>-17.11271</v>
      </c>
      <c r="C91" s="19">
        <v>-109.03676</v>
      </c>
      <c r="D91" s="19" t="s">
        <v>358</v>
      </c>
    </row>
    <row r="92" spans="1:4" s="21" customFormat="1" ht="14.25" customHeight="1" x14ac:dyDescent="0.2">
      <c r="A92" s="72" t="s">
        <v>15</v>
      </c>
      <c r="B92" s="43">
        <v>-8520.2554</v>
      </c>
      <c r="C92" s="43">
        <v>-106.7277</v>
      </c>
      <c r="D92" s="19">
        <f>IF(OR(-8520.2554="",-106.7277="",-8520.2554=0),"-",-106.7277/-8520.2554*100)</f>
        <v>1.2526349855662777</v>
      </c>
    </row>
    <row r="93" spans="1:4" s="21" customFormat="1" ht="14.25" customHeight="1" x14ac:dyDescent="0.2">
      <c r="A93" s="72" t="s">
        <v>309</v>
      </c>
      <c r="B93" s="43">
        <v>-1.25451</v>
      </c>
      <c r="C93" s="43">
        <v>-96.408270000000002</v>
      </c>
      <c r="D93" s="19" t="s">
        <v>359</v>
      </c>
    </row>
    <row r="94" spans="1:4" s="21" customFormat="1" ht="14.25" customHeight="1" x14ac:dyDescent="0.2">
      <c r="A94" s="57" t="s">
        <v>266</v>
      </c>
      <c r="B94" s="19">
        <v>-71.393119999999996</v>
      </c>
      <c r="C94" s="19">
        <v>-85.899209999999997</v>
      </c>
      <c r="D94" s="19">
        <f>IF(OR(-71.39312="",-85.89921="",-71.39312=0),"-",-85.89921/-71.39312*100)</f>
        <v>120.31861053277963</v>
      </c>
    </row>
    <row r="95" spans="1:4" s="21" customFormat="1" ht="14.25" customHeight="1" x14ac:dyDescent="0.2">
      <c r="A95" s="72" t="s">
        <v>350</v>
      </c>
      <c r="B95" s="43" t="s">
        <v>261</v>
      </c>
      <c r="C95" s="43">
        <v>-83.520200000000003</v>
      </c>
      <c r="D95" s="19" t="str">
        <f>IF(OR(0="",-83.5202="",0=0),"-",-83.5202/0*100)</f>
        <v>-</v>
      </c>
    </row>
    <row r="96" spans="1:4" s="21" customFormat="1" ht="14.25" customHeight="1" x14ac:dyDescent="0.2">
      <c r="A96" s="72" t="s">
        <v>310</v>
      </c>
      <c r="B96" s="43">
        <v>-5.1197900000000001</v>
      </c>
      <c r="C96" s="43">
        <v>-72.601579999999998</v>
      </c>
      <c r="D96" s="19" t="s">
        <v>360</v>
      </c>
    </row>
    <row r="97" spans="1:4" s="21" customFormat="1" ht="14.25" customHeight="1" x14ac:dyDescent="0.2">
      <c r="A97" s="72" t="s">
        <v>269</v>
      </c>
      <c r="B97" s="43">
        <v>-15.327209999999999</v>
      </c>
      <c r="C97" s="43">
        <v>-70.744739999999993</v>
      </c>
      <c r="D97" s="19" t="s">
        <v>312</v>
      </c>
    </row>
    <row r="98" spans="1:4" s="21" customFormat="1" ht="14.25" customHeight="1" x14ac:dyDescent="0.2">
      <c r="A98" s="57" t="s">
        <v>270</v>
      </c>
      <c r="B98" s="19">
        <v>-24.138919999999999</v>
      </c>
      <c r="C98" s="19">
        <v>-61.269559999999998</v>
      </c>
      <c r="D98" s="19" t="s">
        <v>320</v>
      </c>
    </row>
    <row r="99" spans="1:4" s="21" customFormat="1" ht="14.25" customHeight="1" x14ac:dyDescent="0.2">
      <c r="A99" s="57" t="s">
        <v>265</v>
      </c>
      <c r="B99" s="19">
        <v>36.583399999999997</v>
      </c>
      <c r="C99" s="19">
        <v>-40.6496</v>
      </c>
      <c r="D99" s="19" t="s">
        <v>304</v>
      </c>
    </row>
    <row r="100" spans="1:4" s="21" customFormat="1" ht="14.25" customHeight="1" x14ac:dyDescent="0.2">
      <c r="A100" s="57" t="s">
        <v>53</v>
      </c>
      <c r="B100" s="43">
        <v>2825.2750700000001</v>
      </c>
      <c r="C100" s="19">
        <v>56.978990000000003</v>
      </c>
      <c r="D100" s="19">
        <f>IF(OR(2825.27507="",56.97899="",2825.27507=0),"-",56.97899/2825.27507*100)</f>
        <v>2.0167590265821445</v>
      </c>
    </row>
    <row r="101" spans="1:4" s="21" customFormat="1" ht="14.25" customHeight="1" x14ac:dyDescent="0.2">
      <c r="A101" s="72" t="s">
        <v>268</v>
      </c>
      <c r="B101" s="43">
        <v>13.70355</v>
      </c>
      <c r="C101" s="43">
        <v>63.935670000000002</v>
      </c>
      <c r="D101" s="19" t="s">
        <v>316</v>
      </c>
    </row>
    <row r="102" spans="1:4" s="21" customFormat="1" ht="14.25" customHeight="1" x14ac:dyDescent="0.2">
      <c r="A102" s="57" t="s">
        <v>322</v>
      </c>
      <c r="B102" s="19">
        <v>-1673.3985700000001</v>
      </c>
      <c r="C102" s="19">
        <v>68.531369999999995</v>
      </c>
      <c r="D102" s="19" t="s">
        <v>304</v>
      </c>
    </row>
    <row r="103" spans="1:4" s="21" customFormat="1" ht="14.25" customHeight="1" x14ac:dyDescent="0.2">
      <c r="A103" s="57" t="s">
        <v>256</v>
      </c>
      <c r="B103" s="19">
        <v>53.88579</v>
      </c>
      <c r="C103" s="19">
        <v>81.162509999999997</v>
      </c>
      <c r="D103" s="19">
        <f>IF(OR(53.88579="",81.16251="",53.88579=0),"-",81.16251/53.88579*100)</f>
        <v>150.61950469687835</v>
      </c>
    </row>
    <row r="104" spans="1:4" s="21" customFormat="1" ht="14.25" customHeight="1" x14ac:dyDescent="0.2">
      <c r="A104" s="72" t="s">
        <v>104</v>
      </c>
      <c r="B104" s="43">
        <v>62.479010000000002</v>
      </c>
      <c r="C104" s="43">
        <v>88.349819999999994</v>
      </c>
      <c r="D104" s="19">
        <f>IF(OR(62.47901="",88.34982="",62.47901=0),"-",88.34982/62.47901*100)</f>
        <v>141.4072021947851</v>
      </c>
    </row>
    <row r="105" spans="1:4" s="21" customFormat="1" ht="14.25" customHeight="1" x14ac:dyDescent="0.2">
      <c r="A105" s="57" t="s">
        <v>260</v>
      </c>
      <c r="B105" s="19">
        <v>57.250689999999999</v>
      </c>
      <c r="C105" s="19">
        <v>103.38472</v>
      </c>
      <c r="D105" s="19" t="s">
        <v>295</v>
      </c>
    </row>
    <row r="106" spans="1:4" s="21" customFormat="1" ht="14.25" customHeight="1" x14ac:dyDescent="0.2">
      <c r="A106" s="72" t="s">
        <v>87</v>
      </c>
      <c r="B106" s="43">
        <v>-21.098800000000001</v>
      </c>
      <c r="C106" s="43">
        <v>108.72839999999999</v>
      </c>
      <c r="D106" s="19" t="s">
        <v>304</v>
      </c>
    </row>
    <row r="107" spans="1:4" s="21" customFormat="1" ht="14.25" customHeight="1" x14ac:dyDescent="0.2">
      <c r="A107" s="57" t="s">
        <v>288</v>
      </c>
      <c r="B107" s="19">
        <v>50.482059999999997</v>
      </c>
      <c r="C107" s="19">
        <v>161.2944</v>
      </c>
      <c r="D107" s="19" t="s">
        <v>299</v>
      </c>
    </row>
    <row r="108" spans="1:4" s="21" customFormat="1" ht="14.25" customHeight="1" x14ac:dyDescent="0.2">
      <c r="A108" s="57" t="s">
        <v>58</v>
      </c>
      <c r="B108" s="19">
        <v>-568.22531000000004</v>
      </c>
      <c r="C108" s="19">
        <v>272.72334999999998</v>
      </c>
      <c r="D108" s="19" t="s">
        <v>304</v>
      </c>
    </row>
    <row r="109" spans="1:4" s="21" customFormat="1" ht="14.25" customHeight="1" x14ac:dyDescent="0.2">
      <c r="A109" s="57" t="s">
        <v>109</v>
      </c>
      <c r="B109" s="19">
        <v>190.35595000000001</v>
      </c>
      <c r="C109" s="19">
        <v>288.98995000000002</v>
      </c>
      <c r="D109" s="19">
        <f>IF(OR(190.35595="",288.98995="",190.35595=0),"-",288.98995/190.35595*100)</f>
        <v>151.81555921945179</v>
      </c>
    </row>
    <row r="110" spans="1:4" s="21" customFormat="1" ht="14.25" customHeight="1" x14ac:dyDescent="0.2">
      <c r="A110" s="72" t="s">
        <v>67</v>
      </c>
      <c r="B110" s="43">
        <v>-246.04329999999999</v>
      </c>
      <c r="C110" s="43">
        <v>522.22180000000003</v>
      </c>
      <c r="D110" s="19" t="s">
        <v>304</v>
      </c>
    </row>
    <row r="111" spans="1:4" s="21" customFormat="1" ht="14.25" customHeight="1" x14ac:dyDescent="0.2">
      <c r="A111" s="72" t="s">
        <v>101</v>
      </c>
      <c r="B111" s="43">
        <v>4.3643900000000002</v>
      </c>
      <c r="C111" s="43">
        <v>527.07169999999996</v>
      </c>
      <c r="D111" s="19" t="s">
        <v>367</v>
      </c>
    </row>
    <row r="112" spans="1:4" s="21" customFormat="1" ht="14.25" customHeight="1" x14ac:dyDescent="0.2">
      <c r="A112" s="72" t="s">
        <v>83</v>
      </c>
      <c r="B112" s="43">
        <v>207.12123</v>
      </c>
      <c r="C112" s="43">
        <v>849.60760000000005</v>
      </c>
      <c r="D112" s="19" t="s">
        <v>307</v>
      </c>
    </row>
    <row r="113" spans="1:8" s="21" customFormat="1" ht="14.25" customHeight="1" x14ac:dyDescent="0.2">
      <c r="A113" s="57" t="s">
        <v>59</v>
      </c>
      <c r="B113" s="19">
        <v>1930.5105599999999</v>
      </c>
      <c r="C113" s="19">
        <v>1040.0368000000001</v>
      </c>
      <c r="D113" s="19">
        <f>IF(OR(1930.51056="",1040.0368="",1930.51056=0),"-",1040.0368/1930.51056*100)</f>
        <v>53.873665420405679</v>
      </c>
    </row>
    <row r="114" spans="1:8" s="21" customFormat="1" ht="14.25" customHeight="1" x14ac:dyDescent="0.2">
      <c r="A114" s="57" t="s">
        <v>267</v>
      </c>
      <c r="B114" s="19" t="s">
        <v>261</v>
      </c>
      <c r="C114" s="19">
        <v>1317.7790199999999</v>
      </c>
      <c r="D114" s="19" t="str">
        <f>IF(OR(0="",1317.77902="",0=0),"-",1317.77902/0*100)</f>
        <v>-</v>
      </c>
    </row>
    <row r="115" spans="1:8" s="21" customFormat="1" ht="14.25" customHeight="1" x14ac:dyDescent="0.2">
      <c r="A115" s="57" t="s">
        <v>51</v>
      </c>
      <c r="B115" s="19">
        <v>-555.93253000000004</v>
      </c>
      <c r="C115" s="19">
        <v>1718.6599100000001</v>
      </c>
      <c r="D115" s="19" t="s">
        <v>304</v>
      </c>
    </row>
    <row r="116" spans="1:8" s="21" customFormat="1" ht="14.25" customHeight="1" x14ac:dyDescent="0.2">
      <c r="A116" s="57" t="s">
        <v>50</v>
      </c>
      <c r="B116" s="19">
        <v>677.19731000000002</v>
      </c>
      <c r="C116" s="19">
        <v>2327.2705999999998</v>
      </c>
      <c r="D116" s="19" t="s">
        <v>303</v>
      </c>
    </row>
    <row r="117" spans="1:8" s="21" customFormat="1" ht="14.25" customHeight="1" x14ac:dyDescent="0.2">
      <c r="A117" s="57" t="s">
        <v>30</v>
      </c>
      <c r="B117" s="19">
        <v>1389.14139</v>
      </c>
      <c r="C117" s="19">
        <v>2477.7801899999999</v>
      </c>
      <c r="D117" s="19" t="s">
        <v>295</v>
      </c>
    </row>
    <row r="118" spans="1:8" s="21" customFormat="1" ht="14.25" customHeight="1" x14ac:dyDescent="0.2">
      <c r="A118" s="61" t="s">
        <v>287</v>
      </c>
      <c r="B118" s="44">
        <v>-606.86644000000001</v>
      </c>
      <c r="C118" s="44">
        <v>2874.5783700000002</v>
      </c>
      <c r="D118" s="44" t="s">
        <v>304</v>
      </c>
    </row>
    <row r="119" spans="1:8" s="17" customFormat="1" ht="14.25" customHeight="1" x14ac:dyDescent="0.2">
      <c r="A119" s="8" t="s">
        <v>245</v>
      </c>
      <c r="B119" s="46"/>
      <c r="C119" s="46"/>
      <c r="D119" s="47"/>
      <c r="E119" s="9"/>
      <c r="F119" s="9"/>
      <c r="G119" s="16"/>
      <c r="H119" s="16"/>
    </row>
    <row r="120" spans="1:8" s="17" customFormat="1" ht="13.5" customHeight="1" x14ac:dyDescent="0.2">
      <c r="A120" s="78" t="s">
        <v>386</v>
      </c>
      <c r="B120" s="77"/>
      <c r="C120" s="77"/>
    </row>
    <row r="121" spans="1:8" s="26" customFormat="1" ht="11.25" x14ac:dyDescent="0.2">
      <c r="A121" s="40" t="s">
        <v>381</v>
      </c>
      <c r="B121" s="16"/>
      <c r="C121" s="16"/>
      <c r="D121" s="16"/>
      <c r="E121" s="16"/>
      <c r="F121" s="16"/>
      <c r="G121" s="16"/>
      <c r="H121" s="16"/>
    </row>
  </sheetData>
  <sortState xmlns:xlrd2="http://schemas.microsoft.com/office/spreadsheetml/2017/richdata2" ref="A48:E105">
    <sortCondition ref="C48:C105"/>
  </sortState>
  <mergeCells count="5">
    <mergeCell ref="A1:D1"/>
    <mergeCell ref="A2:D2"/>
    <mergeCell ref="B3:C3"/>
    <mergeCell ref="D3:D4"/>
    <mergeCell ref="A3:A4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F1"/>
    </sheetView>
  </sheetViews>
  <sheetFormatPr defaultRowHeight="15.75" x14ac:dyDescent="0.25"/>
  <cols>
    <col min="1" max="1" width="25" style="21" customWidth="1"/>
    <col min="2" max="3" width="13.75" style="21" customWidth="1"/>
    <col min="4" max="4" width="10.375" style="21" customWidth="1"/>
    <col min="5" max="5" width="9.75" style="21" customWidth="1"/>
    <col min="6" max="6" width="9.5" style="21" customWidth="1"/>
    <col min="7" max="10" width="9" style="21"/>
  </cols>
  <sheetData>
    <row r="1" spans="1:10" s="24" customFormat="1" ht="15" customHeight="1" x14ac:dyDescent="0.2">
      <c r="A1" s="79" t="s">
        <v>277</v>
      </c>
      <c r="B1" s="79"/>
      <c r="C1" s="79"/>
      <c r="D1" s="79"/>
      <c r="E1" s="79"/>
      <c r="F1" s="79"/>
      <c r="G1" s="23"/>
      <c r="H1" s="23"/>
      <c r="I1" s="23"/>
      <c r="J1" s="23"/>
    </row>
    <row r="2" spans="1:10" x14ac:dyDescent="0.25">
      <c r="A2" s="97"/>
      <c r="B2" s="97"/>
      <c r="C2" s="97"/>
      <c r="D2" s="97"/>
      <c r="E2" s="97"/>
      <c r="F2" s="97"/>
    </row>
    <row r="3" spans="1:10" ht="18.75" customHeight="1" x14ac:dyDescent="0.25">
      <c r="A3" s="80"/>
      <c r="B3" s="82" t="s">
        <v>305</v>
      </c>
      <c r="C3" s="89"/>
      <c r="D3" s="87" t="s">
        <v>331</v>
      </c>
      <c r="E3" s="82" t="s">
        <v>90</v>
      </c>
      <c r="F3" s="96"/>
    </row>
    <row r="4" spans="1:10" ht="67.5" customHeight="1" x14ac:dyDescent="0.25">
      <c r="A4" s="81"/>
      <c r="B4" s="12" t="s">
        <v>323</v>
      </c>
      <c r="C4" s="12" t="s">
        <v>324</v>
      </c>
      <c r="D4" s="88"/>
      <c r="E4" s="12" t="s">
        <v>323</v>
      </c>
      <c r="F4" s="11" t="s">
        <v>324</v>
      </c>
    </row>
    <row r="5" spans="1:10" s="24" customFormat="1" ht="15.75" customHeight="1" x14ac:dyDescent="0.2">
      <c r="A5" s="63" t="s">
        <v>103</v>
      </c>
      <c r="B5" s="52">
        <v>687141.54783000005</v>
      </c>
      <c r="C5" s="52">
        <v>601300.25754000002</v>
      </c>
      <c r="D5" s="51">
        <v>87.507480727793606</v>
      </c>
      <c r="E5" s="52">
        <v>100</v>
      </c>
      <c r="F5" s="52">
        <v>100</v>
      </c>
      <c r="G5" s="23"/>
      <c r="H5" s="23"/>
      <c r="I5" s="23"/>
      <c r="J5" s="23"/>
    </row>
    <row r="6" spans="1:10" ht="15.75" customHeight="1" x14ac:dyDescent="0.25">
      <c r="A6" s="60" t="s">
        <v>100</v>
      </c>
      <c r="B6" s="43"/>
      <c r="C6" s="43"/>
      <c r="D6" s="41"/>
      <c r="E6" s="18"/>
      <c r="F6" s="18"/>
    </row>
    <row r="7" spans="1:10" x14ac:dyDescent="0.25">
      <c r="A7" s="60" t="s">
        <v>91</v>
      </c>
      <c r="B7" s="19">
        <v>93527.070269999997</v>
      </c>
      <c r="C7" s="19">
        <v>100425.00132</v>
      </c>
      <c r="D7" s="19">
        <v>107.37533104595987</v>
      </c>
      <c r="E7" s="19">
        <v>13.611034082476808</v>
      </c>
      <c r="F7" s="19">
        <v>16.701306886322001</v>
      </c>
    </row>
    <row r="8" spans="1:10" x14ac:dyDescent="0.25">
      <c r="A8" s="60" t="s">
        <v>92</v>
      </c>
      <c r="B8" s="19">
        <v>21619.89057</v>
      </c>
      <c r="C8" s="19">
        <v>12830.83977</v>
      </c>
      <c r="D8" s="19">
        <v>59.347385355429203</v>
      </c>
      <c r="E8" s="19">
        <v>3.1463518161979627</v>
      </c>
      <c r="F8" s="19">
        <v>2.1338490394952907</v>
      </c>
    </row>
    <row r="9" spans="1:10" x14ac:dyDescent="0.25">
      <c r="A9" s="60" t="s">
        <v>93</v>
      </c>
      <c r="B9" s="19">
        <v>558236.60728</v>
      </c>
      <c r="C9" s="19">
        <v>477307.48907000001</v>
      </c>
      <c r="D9" s="19">
        <v>85.502721040756185</v>
      </c>
      <c r="E9" s="19">
        <v>81.240409496837557</v>
      </c>
      <c r="F9" s="19">
        <v>79.379225783592531</v>
      </c>
    </row>
    <row r="10" spans="1:10" x14ac:dyDescent="0.25">
      <c r="A10" s="60" t="s">
        <v>94</v>
      </c>
      <c r="B10" s="19">
        <v>9514.3222399999995</v>
      </c>
      <c r="C10" s="19">
        <v>4748.8166600000004</v>
      </c>
      <c r="D10" s="19">
        <v>49.91229580216531</v>
      </c>
      <c r="E10" s="19">
        <v>1.3846233385313877</v>
      </c>
      <c r="F10" s="19">
        <v>0.78975796209169202</v>
      </c>
    </row>
    <row r="11" spans="1:10" x14ac:dyDescent="0.25">
      <c r="A11" s="60" t="s">
        <v>95</v>
      </c>
      <c r="B11" s="19">
        <v>104.26384</v>
      </c>
      <c r="C11" s="19">
        <v>282.79273999999998</v>
      </c>
      <c r="D11" s="19" t="s">
        <v>340</v>
      </c>
      <c r="E11" s="19">
        <v>1.5173560721115796E-2</v>
      </c>
      <c r="F11" s="19">
        <v>4.7030204370266365E-2</v>
      </c>
    </row>
    <row r="12" spans="1:10" x14ac:dyDescent="0.25">
      <c r="A12" s="60" t="s">
        <v>96</v>
      </c>
      <c r="B12" s="19">
        <v>3834.46486</v>
      </c>
      <c r="C12" s="19">
        <v>5499.9881100000002</v>
      </c>
      <c r="D12" s="19">
        <v>143.43561124719761</v>
      </c>
      <c r="E12" s="19">
        <v>0.5580312924039128</v>
      </c>
      <c r="F12" s="19">
        <v>0.91468248034703814</v>
      </c>
    </row>
    <row r="13" spans="1:10" x14ac:dyDescent="0.25">
      <c r="A13" s="60" t="s">
        <v>97</v>
      </c>
      <c r="B13" s="19">
        <v>304.92876999999999</v>
      </c>
      <c r="C13" s="19">
        <v>205.32987</v>
      </c>
      <c r="D13" s="19">
        <v>67.33699480045783</v>
      </c>
      <c r="E13" s="19">
        <v>4.4376412831238068E-2</v>
      </c>
      <c r="F13" s="19">
        <v>3.4147643781167171E-2</v>
      </c>
    </row>
    <row r="14" spans="1:10" ht="16.5" customHeight="1" x14ac:dyDescent="0.25">
      <c r="A14" s="56" t="s">
        <v>167</v>
      </c>
      <c r="B14" s="49">
        <v>429014.28016999998</v>
      </c>
      <c r="C14" s="18">
        <f>IF(402012.08906="","-",402012.08906)</f>
        <v>402012.08906000003</v>
      </c>
      <c r="D14" s="18">
        <v>93.705992467360261</v>
      </c>
      <c r="E14" s="18">
        <f>IF(429014.28017="","-",429014.28017/687141.54783*100)</f>
        <v>62.434629593397659</v>
      </c>
      <c r="F14" s="18">
        <v>66.85712903311989</v>
      </c>
    </row>
    <row r="15" spans="1:10" x14ac:dyDescent="0.25">
      <c r="A15" s="60" t="s">
        <v>100</v>
      </c>
      <c r="B15" s="43"/>
      <c r="C15" s="18"/>
      <c r="D15" s="18"/>
      <c r="E15" s="18"/>
      <c r="F15" s="18"/>
    </row>
    <row r="16" spans="1:10" x14ac:dyDescent="0.25">
      <c r="A16" s="60" t="s">
        <v>91</v>
      </c>
      <c r="B16" s="19">
        <v>76732.918210000003</v>
      </c>
      <c r="C16" s="19">
        <v>63728.732819999997</v>
      </c>
      <c r="D16" s="19">
        <v>83.052664106413104</v>
      </c>
      <c r="E16" s="19">
        <f>IF(76732.91821="","-",76732.91821/687141.54783*100)</f>
        <v>11.166974032107843</v>
      </c>
      <c r="F16" s="19">
        <v>10.598487531125098</v>
      </c>
    </row>
    <row r="17" spans="1:7" x14ac:dyDescent="0.25">
      <c r="A17" s="60" t="s">
        <v>92</v>
      </c>
      <c r="B17" s="19">
        <v>11813.6185</v>
      </c>
      <c r="C17" s="19">
        <v>2181.64365</v>
      </c>
      <c r="D17" s="19">
        <v>18.46719233399995</v>
      </c>
      <c r="E17" s="19">
        <f>IF(11813.6185="","-",11813.6185/687141.54783*100)</f>
        <v>1.7192408954614264</v>
      </c>
      <c r="F17" s="19">
        <v>0.36282100708311626</v>
      </c>
    </row>
    <row r="18" spans="1:7" x14ac:dyDescent="0.25">
      <c r="A18" s="60" t="s">
        <v>93</v>
      </c>
      <c r="B18" s="19">
        <v>338990.18479000003</v>
      </c>
      <c r="C18" s="19">
        <v>332750.45708000002</v>
      </c>
      <c r="D18" s="19">
        <v>98.159319062920531</v>
      </c>
      <c r="E18" s="19">
        <f>IF(338990.18479="","-",338990.18479/687141.54783*100)</f>
        <v>49.333384927826657</v>
      </c>
      <c r="F18" s="19">
        <v>55.338485707843653</v>
      </c>
    </row>
    <row r="19" spans="1:7" x14ac:dyDescent="0.25">
      <c r="A19" s="60" t="s">
        <v>94</v>
      </c>
      <c r="B19" s="19">
        <v>944.22229000000004</v>
      </c>
      <c r="C19" s="19">
        <v>564.34279000000004</v>
      </c>
      <c r="D19" s="19">
        <v>59.76800124047061</v>
      </c>
      <c r="E19" s="19">
        <f>IF(944.22229="","-",944.22229/687141.54783*100)</f>
        <v>0.13741306910953988</v>
      </c>
      <c r="F19" s="19">
        <v>9.3853741608028257E-2</v>
      </c>
    </row>
    <row r="20" spans="1:7" x14ac:dyDescent="0.25">
      <c r="A20" s="60" t="s">
        <v>95</v>
      </c>
      <c r="B20" s="19">
        <v>42.425400000000003</v>
      </c>
      <c r="C20" s="19">
        <v>30.608529999999998</v>
      </c>
      <c r="D20" s="19">
        <v>72.146709282646697</v>
      </c>
      <c r="E20" s="19">
        <f>IF(42.4254="","-",42.4254/687141.54783*100)</f>
        <v>6.1741864007466649E-3</v>
      </c>
      <c r="F20" s="19">
        <v>5.0903903027122582E-3</v>
      </c>
    </row>
    <row r="21" spans="1:7" x14ac:dyDescent="0.25">
      <c r="A21" s="60" t="s">
        <v>96</v>
      </c>
      <c r="B21" s="43">
        <v>458.22457000000003</v>
      </c>
      <c r="C21" s="19">
        <v>2756.3041899999998</v>
      </c>
      <c r="D21" s="19" t="s">
        <v>368</v>
      </c>
      <c r="E21" s="19">
        <f>IF(458.22457="","-",458.22457/687141.54783*100)</f>
        <v>6.6685615423354605E-2</v>
      </c>
      <c r="F21" s="19">
        <v>0.45839065515727695</v>
      </c>
    </row>
    <row r="22" spans="1:7" x14ac:dyDescent="0.25">
      <c r="A22" s="60" t="s">
        <v>97</v>
      </c>
      <c r="B22" s="43">
        <v>32.686410000000002</v>
      </c>
      <c r="C22" s="19" t="s">
        <v>261</v>
      </c>
      <c r="D22" s="19" t="s">
        <v>261</v>
      </c>
      <c r="E22" s="19">
        <f>IF(32.68641="","-",32.68641/687141.54783*100)</f>
        <v>4.7568670681061298E-3</v>
      </c>
      <c r="F22" s="19" t="s">
        <v>261</v>
      </c>
    </row>
    <row r="23" spans="1:7" x14ac:dyDescent="0.25">
      <c r="A23" s="56" t="s">
        <v>379</v>
      </c>
      <c r="B23" s="18">
        <v>60708.009530000003</v>
      </c>
      <c r="C23" s="18">
        <v>41617.274839999998</v>
      </c>
      <c r="D23" s="18">
        <v>68.553186247086614</v>
      </c>
      <c r="E23" s="18">
        <v>8.8348622960897227</v>
      </c>
      <c r="F23" s="18">
        <v>6.9212135398481038</v>
      </c>
    </row>
    <row r="24" spans="1:7" x14ac:dyDescent="0.25">
      <c r="A24" s="60" t="s">
        <v>100</v>
      </c>
      <c r="B24" s="43"/>
      <c r="C24" s="18"/>
      <c r="D24" s="18"/>
      <c r="E24" s="18"/>
      <c r="F24" s="18"/>
    </row>
    <row r="25" spans="1:7" x14ac:dyDescent="0.25">
      <c r="A25" s="60" t="s">
        <v>93</v>
      </c>
      <c r="B25" s="19">
        <v>57431.894439999996</v>
      </c>
      <c r="C25" s="19">
        <v>40274.982259999997</v>
      </c>
      <c r="D25" s="19">
        <v>70.12650836736006</v>
      </c>
      <c r="E25" s="19">
        <v>8.3580878818011364</v>
      </c>
      <c r="F25" s="19">
        <v>6.6979818742753157</v>
      </c>
    </row>
    <row r="26" spans="1:7" x14ac:dyDescent="0.25">
      <c r="A26" s="60" t="s">
        <v>94</v>
      </c>
      <c r="B26" s="19">
        <v>3194.2882399999999</v>
      </c>
      <c r="C26" s="19">
        <v>1334.74686</v>
      </c>
      <c r="D26" s="19">
        <v>41.785423221543716</v>
      </c>
      <c r="E26" s="19">
        <v>0.46486611820920948</v>
      </c>
      <c r="F26" s="19">
        <v>0.22197676506253769</v>
      </c>
    </row>
    <row r="27" spans="1:7" x14ac:dyDescent="0.25">
      <c r="A27" s="60" t="s">
        <v>95</v>
      </c>
      <c r="B27" s="19">
        <v>1.58449</v>
      </c>
      <c r="C27" s="19">
        <v>7.5457200000000002</v>
      </c>
      <c r="D27" s="19" t="s">
        <v>319</v>
      </c>
      <c r="E27" s="19">
        <v>2.3059149967045878E-4</v>
      </c>
      <c r="F27" s="19">
        <v>1.2549005102493308E-3</v>
      </c>
      <c r="G27" s="22"/>
    </row>
    <row r="28" spans="1:7" x14ac:dyDescent="0.25">
      <c r="A28" s="60" t="s">
        <v>97</v>
      </c>
      <c r="B28" s="19">
        <v>80.242360000000005</v>
      </c>
      <c r="C28" s="19" t="s">
        <v>261</v>
      </c>
      <c r="D28" s="19" t="s">
        <v>261</v>
      </c>
      <c r="E28" s="19">
        <v>1.1677704579705038E-2</v>
      </c>
      <c r="F28" s="19" t="s">
        <v>261</v>
      </c>
    </row>
    <row r="29" spans="1:7" x14ac:dyDescent="0.25">
      <c r="A29" s="56" t="s">
        <v>249</v>
      </c>
      <c r="B29" s="18">
        <v>197419.25813</v>
      </c>
      <c r="C29" s="18">
        <v>157670.89363999999</v>
      </c>
      <c r="D29" s="18">
        <v>79.866014660116988</v>
      </c>
      <c r="E29" s="18">
        <f>IF(197419.25813="","-",197419.25813/687141.54783*100)</f>
        <v>28.730508110512602</v>
      </c>
      <c r="F29" s="18">
        <v>26.221657427032007</v>
      </c>
    </row>
    <row r="30" spans="1:7" x14ac:dyDescent="0.25">
      <c r="A30" s="60" t="s">
        <v>100</v>
      </c>
      <c r="B30" s="43"/>
      <c r="C30" s="18"/>
      <c r="D30" s="18"/>
      <c r="E30" s="18"/>
      <c r="F30" s="18"/>
    </row>
    <row r="31" spans="1:7" x14ac:dyDescent="0.25">
      <c r="A31" s="60" t="s">
        <v>91</v>
      </c>
      <c r="B31" s="19">
        <v>16794.15206</v>
      </c>
      <c r="C31" s="19">
        <v>36696.268499999998</v>
      </c>
      <c r="D31" s="19" t="s">
        <v>298</v>
      </c>
      <c r="E31" s="19">
        <f>IF(16794.15206="","-",16794.15206/687141.54783*100)</f>
        <v>2.4440600503689671</v>
      </c>
      <c r="F31" s="19">
        <v>6.1028193551969121</v>
      </c>
    </row>
    <row r="32" spans="1:7" x14ac:dyDescent="0.25">
      <c r="A32" s="60" t="s">
        <v>92</v>
      </c>
      <c r="B32" s="19">
        <v>9806.2720700000009</v>
      </c>
      <c r="C32" s="19">
        <v>10649.196120000001</v>
      </c>
      <c r="D32" s="19">
        <v>108.59576446567019</v>
      </c>
      <c r="E32" s="19">
        <f>IF(9806.27207="","-",9806.27207/687141.54783*100)</f>
        <v>1.4271109207365362</v>
      </c>
      <c r="F32" s="19">
        <v>1.7710280324121745</v>
      </c>
    </row>
    <row r="33" spans="1:10" x14ac:dyDescent="0.25">
      <c r="A33" s="60" t="s">
        <v>93</v>
      </c>
      <c r="B33" s="19">
        <v>161814.52804999999</v>
      </c>
      <c r="C33" s="19">
        <v>104282.04973</v>
      </c>
      <c r="D33" s="19">
        <v>64.445418459445918</v>
      </c>
      <c r="E33" s="19">
        <f>IF(161814.52805="","-",161814.52805/687141.54783*100)</f>
        <v>23.548936687209775</v>
      </c>
      <c r="F33" s="19">
        <v>17.342758201473561</v>
      </c>
    </row>
    <row r="34" spans="1:10" x14ac:dyDescent="0.25">
      <c r="A34" s="60" t="s">
        <v>94</v>
      </c>
      <c r="B34" s="19">
        <v>5375.8117099999999</v>
      </c>
      <c r="C34" s="19">
        <v>2849.7270100000001</v>
      </c>
      <c r="D34" s="19">
        <v>53.01017155602721</v>
      </c>
      <c r="E34" s="19">
        <f>IF(5375.81171="","-",5375.81171/687141.54783*100)</f>
        <v>0.78234415121263856</v>
      </c>
      <c r="F34" s="19">
        <v>0.47392745542112608</v>
      </c>
    </row>
    <row r="35" spans="1:10" x14ac:dyDescent="0.25">
      <c r="A35" s="60" t="s">
        <v>95</v>
      </c>
      <c r="B35" s="19">
        <v>60.253950000000003</v>
      </c>
      <c r="C35" s="19">
        <v>244.63848999999999</v>
      </c>
      <c r="D35" s="19" t="s">
        <v>307</v>
      </c>
      <c r="E35" s="19">
        <f>IF(60.25395="","-",60.25395/687141.54783*100)</f>
        <v>8.7687828206986732E-3</v>
      </c>
      <c r="F35" s="19">
        <v>4.0684913557304775E-2</v>
      </c>
    </row>
    <row r="36" spans="1:10" x14ac:dyDescent="0.25">
      <c r="A36" s="60" t="s">
        <v>96</v>
      </c>
      <c r="B36" s="19">
        <v>3376.2402900000002</v>
      </c>
      <c r="C36" s="19">
        <v>2743.6839199999999</v>
      </c>
      <c r="D36" s="19">
        <v>81.264474217858464</v>
      </c>
      <c r="E36" s="19">
        <f>IF(3376.24029="","-",3376.24029/687141.54783*100)</f>
        <v>0.4913456769805582</v>
      </c>
      <c r="F36" s="19">
        <v>0.45629182518976102</v>
      </c>
    </row>
    <row r="37" spans="1:10" x14ac:dyDescent="0.25">
      <c r="A37" s="64" t="s">
        <v>97</v>
      </c>
      <c r="B37" s="44">
        <v>192</v>
      </c>
      <c r="C37" s="59">
        <v>205.32987</v>
      </c>
      <c r="D37" s="44">
        <v>106.94264062500001</v>
      </c>
      <c r="E37" s="44">
        <f>IF(192="","-",192/687141.54783*100)</f>
        <v>2.7941841183426897E-2</v>
      </c>
      <c r="F37" s="44">
        <v>3.4147643781167171E-2</v>
      </c>
    </row>
    <row r="38" spans="1:10" s="17" customFormat="1" ht="14.25" customHeight="1" x14ac:dyDescent="0.2">
      <c r="A38" s="25" t="s">
        <v>245</v>
      </c>
      <c r="B38" s="25"/>
      <c r="C38" s="25"/>
      <c r="D38" s="25"/>
      <c r="E38" s="26"/>
      <c r="F38" s="26"/>
      <c r="G38" s="26"/>
      <c r="H38" s="26"/>
      <c r="I38" s="26"/>
      <c r="J38" s="26"/>
    </row>
    <row r="39" spans="1:10" s="17" customFormat="1" ht="13.5" customHeight="1" x14ac:dyDescent="0.2">
      <c r="A39" s="78" t="s">
        <v>386</v>
      </c>
      <c r="B39" s="77"/>
      <c r="C39" s="77"/>
    </row>
    <row r="40" spans="1:10" s="26" customFormat="1" ht="11.25" x14ac:dyDescent="0.2">
      <c r="A40" s="40" t="s">
        <v>382</v>
      </c>
      <c r="B40" s="16"/>
      <c r="C40" s="16"/>
      <c r="D40" s="16"/>
      <c r="E40" s="16"/>
      <c r="F40" s="16"/>
      <c r="G40" s="16"/>
      <c r="H40" s="16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42"/>
  <sheetViews>
    <sheetView workbookViewId="0">
      <selection sqref="A1:F1"/>
    </sheetView>
  </sheetViews>
  <sheetFormatPr defaultRowHeight="15.75" x14ac:dyDescent="0.25"/>
  <cols>
    <col min="1" max="1" width="24.875" style="21" customWidth="1"/>
    <col min="2" max="3" width="13.75" style="21" customWidth="1"/>
    <col min="4" max="4" width="11.125" style="21" customWidth="1"/>
    <col min="5" max="6" width="9.375" style="21" customWidth="1"/>
    <col min="7" max="8" width="9" style="21"/>
  </cols>
  <sheetData>
    <row r="1" spans="1:8" x14ac:dyDescent="0.25">
      <c r="A1" s="79" t="s">
        <v>278</v>
      </c>
      <c r="B1" s="79"/>
      <c r="C1" s="79"/>
      <c r="D1" s="79"/>
      <c r="E1" s="79"/>
      <c r="F1" s="79"/>
    </row>
    <row r="2" spans="1:8" x14ac:dyDescent="0.25">
      <c r="A2" s="97"/>
      <c r="B2" s="97"/>
      <c r="C2" s="97"/>
      <c r="D2" s="97"/>
      <c r="E2" s="97"/>
      <c r="F2" s="97"/>
    </row>
    <row r="3" spans="1:8" x14ac:dyDescent="0.25">
      <c r="A3" s="80"/>
      <c r="B3" s="82" t="s">
        <v>305</v>
      </c>
      <c r="C3" s="89"/>
      <c r="D3" s="87" t="s">
        <v>332</v>
      </c>
      <c r="E3" s="82" t="s">
        <v>90</v>
      </c>
      <c r="F3" s="96"/>
    </row>
    <row r="4" spans="1:8" ht="72" customHeight="1" x14ac:dyDescent="0.25">
      <c r="A4" s="81"/>
      <c r="B4" s="12" t="s">
        <v>323</v>
      </c>
      <c r="C4" s="12" t="s">
        <v>324</v>
      </c>
      <c r="D4" s="88"/>
      <c r="E4" s="12" t="s">
        <v>323</v>
      </c>
      <c r="F4" s="11" t="s">
        <v>324</v>
      </c>
    </row>
    <row r="5" spans="1:8" s="24" customFormat="1" ht="15.75" customHeight="1" x14ac:dyDescent="0.2">
      <c r="A5" s="63" t="s">
        <v>369</v>
      </c>
      <c r="B5" s="52">
        <v>1485800.76581</v>
      </c>
      <c r="C5" s="52">
        <v>1374988.4640200001</v>
      </c>
      <c r="D5" s="52">
        <v>92.541913805678419</v>
      </c>
      <c r="E5" s="50">
        <v>100</v>
      </c>
      <c r="F5" s="50">
        <v>100</v>
      </c>
      <c r="G5" s="23"/>
      <c r="H5" s="23"/>
    </row>
    <row r="6" spans="1:8" ht="15.75" customHeight="1" x14ac:dyDescent="0.25">
      <c r="A6" s="60" t="s">
        <v>100</v>
      </c>
      <c r="B6" s="45"/>
      <c r="C6" s="48"/>
      <c r="D6" s="18"/>
      <c r="E6" s="48"/>
      <c r="F6" s="48"/>
    </row>
    <row r="7" spans="1:8" x14ac:dyDescent="0.25">
      <c r="A7" s="60" t="s">
        <v>91</v>
      </c>
      <c r="B7" s="19">
        <v>131029.31474</v>
      </c>
      <c r="C7" s="19">
        <v>45041.45235</v>
      </c>
      <c r="D7" s="19">
        <v>34.375095709975476</v>
      </c>
      <c r="E7" s="19">
        <v>8.8187674791356017</v>
      </c>
      <c r="F7" s="19">
        <v>3.2757694721535384</v>
      </c>
    </row>
    <row r="8" spans="1:8" x14ac:dyDescent="0.25">
      <c r="A8" s="60" t="s">
        <v>92</v>
      </c>
      <c r="B8" s="19">
        <v>96706.097219999996</v>
      </c>
      <c r="C8" s="19">
        <v>46420.695829999997</v>
      </c>
      <c r="D8" s="19">
        <v>48.001829423842821</v>
      </c>
      <c r="E8" s="19">
        <v>6.5086853799863027</v>
      </c>
      <c r="F8" s="19">
        <v>3.376078930457469</v>
      </c>
    </row>
    <row r="9" spans="1:8" x14ac:dyDescent="0.25">
      <c r="A9" s="60" t="s">
        <v>93</v>
      </c>
      <c r="B9" s="19">
        <v>1026657.29162</v>
      </c>
      <c r="C9" s="19">
        <v>1072495.75181</v>
      </c>
      <c r="D9" s="19">
        <v>104.4648258541728</v>
      </c>
      <c r="E9" s="19">
        <v>69.097911055410378</v>
      </c>
      <c r="F9" s="19">
        <v>78.000345448309147</v>
      </c>
    </row>
    <row r="10" spans="1:8" x14ac:dyDescent="0.25">
      <c r="A10" s="60" t="s">
        <v>94</v>
      </c>
      <c r="B10" s="19">
        <v>26186.991770000001</v>
      </c>
      <c r="C10" s="19">
        <v>30240.52636</v>
      </c>
      <c r="D10" s="19">
        <v>115.47919144589855</v>
      </c>
      <c r="E10" s="19">
        <v>1.7624833943145723</v>
      </c>
      <c r="F10" s="19">
        <v>2.1993294599423003</v>
      </c>
    </row>
    <row r="11" spans="1:8" x14ac:dyDescent="0.25">
      <c r="A11" s="60" t="s">
        <v>95</v>
      </c>
      <c r="B11" s="19">
        <v>1138.3562400000001</v>
      </c>
      <c r="C11" s="19">
        <v>1041.7145399999999</v>
      </c>
      <c r="D11" s="19">
        <v>91.510416809416355</v>
      </c>
      <c r="E11" s="19">
        <v>7.6615671912069125E-2</v>
      </c>
      <c r="F11" s="19">
        <v>7.5761693080273543E-2</v>
      </c>
    </row>
    <row r="12" spans="1:8" x14ac:dyDescent="0.25">
      <c r="A12" s="60" t="s">
        <v>96</v>
      </c>
      <c r="B12" s="19">
        <v>193824.57438000001</v>
      </c>
      <c r="C12" s="19">
        <v>171504.39748000001</v>
      </c>
      <c r="D12" s="19">
        <v>88.484341074191917</v>
      </c>
      <c r="E12" s="19">
        <v>13.045125486547619</v>
      </c>
      <c r="F12" s="19">
        <v>12.473151736748344</v>
      </c>
    </row>
    <row r="13" spans="1:8" x14ac:dyDescent="0.25">
      <c r="A13" s="60" t="s">
        <v>97</v>
      </c>
      <c r="B13" s="19">
        <v>10258.13984</v>
      </c>
      <c r="C13" s="19">
        <v>8243.9256499999992</v>
      </c>
      <c r="D13" s="19">
        <v>80.364722830684272</v>
      </c>
      <c r="E13" s="19">
        <v>0.69041153269346089</v>
      </c>
      <c r="F13" s="19">
        <v>0.59956325930892218</v>
      </c>
    </row>
    <row r="14" spans="1:8" ht="16.5" customHeight="1" x14ac:dyDescent="0.25">
      <c r="A14" s="56" t="s">
        <v>167</v>
      </c>
      <c r="B14" s="18">
        <v>716109.46148000006</v>
      </c>
      <c r="C14" s="42">
        <v>650071.90969999996</v>
      </c>
      <c r="D14" s="18">
        <v>90.778288050611877</v>
      </c>
      <c r="E14" s="18">
        <v>48.19686986024707</v>
      </c>
      <c r="F14" s="18">
        <v>47.278353725194911</v>
      </c>
    </row>
    <row r="15" spans="1:8" x14ac:dyDescent="0.25">
      <c r="A15" s="60" t="s">
        <v>100</v>
      </c>
      <c r="B15" s="43"/>
      <c r="C15" s="43"/>
      <c r="D15" s="18"/>
      <c r="E15" s="18"/>
      <c r="F15" s="18"/>
    </row>
    <row r="16" spans="1:8" x14ac:dyDescent="0.25">
      <c r="A16" s="60" t="s">
        <v>91</v>
      </c>
      <c r="B16" s="19">
        <v>42897.306020000004</v>
      </c>
      <c r="C16" s="19">
        <v>20538.367099999999</v>
      </c>
      <c r="D16" s="19">
        <v>47.877988166493253</v>
      </c>
      <c r="E16" s="19">
        <v>2.887150619862151</v>
      </c>
      <c r="F16" s="19">
        <v>1.4937119574045572</v>
      </c>
    </row>
    <row r="17" spans="1:7" x14ac:dyDescent="0.25">
      <c r="A17" s="60" t="s">
        <v>92</v>
      </c>
      <c r="B17" s="19">
        <v>46044.493309999998</v>
      </c>
      <c r="C17" s="19">
        <v>29431.009269999999</v>
      </c>
      <c r="D17" s="19">
        <v>63.918629904019674</v>
      </c>
      <c r="E17" s="19">
        <v>3.0989682041857312</v>
      </c>
      <c r="F17" s="19">
        <v>2.140454995815289</v>
      </c>
    </row>
    <row r="18" spans="1:7" x14ac:dyDescent="0.25">
      <c r="A18" s="60" t="s">
        <v>93</v>
      </c>
      <c r="B18" s="19">
        <v>553618.80116000003</v>
      </c>
      <c r="C18" s="19">
        <v>565228.83013999998</v>
      </c>
      <c r="D18" s="19">
        <v>102.09711609426439</v>
      </c>
      <c r="E18" s="19">
        <v>37.260635066249201</v>
      </c>
      <c r="F18" s="19">
        <v>41.107896170085859</v>
      </c>
    </row>
    <row r="19" spans="1:7" x14ac:dyDescent="0.25">
      <c r="A19" s="60" t="s">
        <v>94</v>
      </c>
      <c r="B19" s="19">
        <v>7560.3488699999998</v>
      </c>
      <c r="C19" s="19">
        <v>7018.9063500000002</v>
      </c>
      <c r="D19" s="19">
        <v>92.838392390217834</v>
      </c>
      <c r="E19" s="19">
        <v>0.50884001704484216</v>
      </c>
      <c r="F19" s="19">
        <v>0.5104701991083691</v>
      </c>
    </row>
    <row r="20" spans="1:7" x14ac:dyDescent="0.25">
      <c r="A20" s="60" t="s">
        <v>95</v>
      </c>
      <c r="B20" s="19">
        <v>784.02572999999995</v>
      </c>
      <c r="C20" s="19">
        <v>671.57191999999998</v>
      </c>
      <c r="D20" s="19">
        <v>85.656872511059049</v>
      </c>
      <c r="E20" s="19">
        <v>5.2767891095585759E-2</v>
      </c>
      <c r="F20" s="19">
        <v>4.8842003956640574E-2</v>
      </c>
    </row>
    <row r="21" spans="1:7" x14ac:dyDescent="0.25">
      <c r="A21" s="60" t="s">
        <v>96</v>
      </c>
      <c r="B21" s="43">
        <v>55876.065979999999</v>
      </c>
      <c r="C21" s="19">
        <v>19528.401610000001</v>
      </c>
      <c r="D21" s="19">
        <v>34.949492716595145</v>
      </c>
      <c r="E21" s="19">
        <v>3.7606701561725591</v>
      </c>
      <c r="F21" s="19">
        <v>1.4202593055148678</v>
      </c>
    </row>
    <row r="22" spans="1:7" x14ac:dyDescent="0.25">
      <c r="A22" s="60" t="s">
        <v>97</v>
      </c>
      <c r="B22" s="43">
        <v>9328.4204100000006</v>
      </c>
      <c r="C22" s="19">
        <v>7654.8233099999998</v>
      </c>
      <c r="D22" s="19">
        <v>82.059158716668506</v>
      </c>
      <c r="E22" s="19">
        <v>0.62783790563699926</v>
      </c>
      <c r="F22" s="19">
        <v>0.55671909330932789</v>
      </c>
      <c r="G22" s="18"/>
    </row>
    <row r="23" spans="1:7" x14ac:dyDescent="0.25">
      <c r="A23" s="56" t="s">
        <v>379</v>
      </c>
      <c r="B23" s="42">
        <v>163217.96448</v>
      </c>
      <c r="C23" s="18">
        <v>52029.707289999998</v>
      </c>
      <c r="D23" s="49">
        <v>31.877439138370999</v>
      </c>
      <c r="E23" s="18">
        <v>10.985185109325206</v>
      </c>
      <c r="F23" s="18">
        <v>3.7840104591047092</v>
      </c>
      <c r="G23" s="18"/>
    </row>
    <row r="24" spans="1:7" x14ac:dyDescent="0.25">
      <c r="A24" s="60" t="s">
        <v>100</v>
      </c>
      <c r="B24" s="43"/>
      <c r="C24" s="18"/>
      <c r="D24" s="43"/>
      <c r="E24" s="18"/>
      <c r="F24" s="18"/>
      <c r="G24" s="19"/>
    </row>
    <row r="25" spans="1:7" x14ac:dyDescent="0.25">
      <c r="A25" s="60" t="s">
        <v>91</v>
      </c>
      <c r="B25" s="41">
        <v>35556.555379999998</v>
      </c>
      <c r="C25" s="19">
        <v>12245.641320000001</v>
      </c>
      <c r="D25" s="43">
        <v>34.43989776042249</v>
      </c>
      <c r="E25" s="19">
        <v>2.3930903926150533</v>
      </c>
      <c r="F25" s="19">
        <v>0.89059956795549378</v>
      </c>
      <c r="G25" s="19"/>
    </row>
    <row r="26" spans="1:7" x14ac:dyDescent="0.25">
      <c r="A26" s="60" t="s">
        <v>92</v>
      </c>
      <c r="B26" s="41">
        <v>24270.036700000001</v>
      </c>
      <c r="C26" s="19" t="s">
        <v>261</v>
      </c>
      <c r="D26" s="19" t="s">
        <v>261</v>
      </c>
      <c r="E26" s="19">
        <v>1.6334650821618693</v>
      </c>
      <c r="F26" s="19" t="s">
        <v>261</v>
      </c>
      <c r="G26" s="19"/>
    </row>
    <row r="27" spans="1:7" x14ac:dyDescent="0.25">
      <c r="A27" s="60" t="s">
        <v>93</v>
      </c>
      <c r="B27" s="41">
        <v>40768.340190000003</v>
      </c>
      <c r="C27" s="19">
        <v>36013.03426</v>
      </c>
      <c r="D27" s="43">
        <v>88.335787260805816</v>
      </c>
      <c r="E27" s="19">
        <v>2.743863183283171</v>
      </c>
      <c r="F27" s="19">
        <v>2.6191517385324161</v>
      </c>
      <c r="G27" s="19"/>
    </row>
    <row r="28" spans="1:7" x14ac:dyDescent="0.25">
      <c r="A28" s="60" t="s">
        <v>94</v>
      </c>
      <c r="B28" s="41">
        <v>3040.4789999999998</v>
      </c>
      <c r="C28" s="19">
        <v>3767.4035800000001</v>
      </c>
      <c r="D28" s="43">
        <v>123.90822564470929</v>
      </c>
      <c r="E28" s="19">
        <v>0.20463571361416352</v>
      </c>
      <c r="F28" s="19">
        <v>0.27399528640301385</v>
      </c>
      <c r="G28" s="19"/>
    </row>
    <row r="29" spans="1:7" x14ac:dyDescent="0.25">
      <c r="A29" s="60" t="s">
        <v>95</v>
      </c>
      <c r="B29" s="41">
        <v>17.765740000000001</v>
      </c>
      <c r="C29" s="19">
        <v>3.6281300000000001</v>
      </c>
      <c r="D29" s="43">
        <v>20.422059537064033</v>
      </c>
      <c r="E29" s="19">
        <v>1.1957013624444338E-3</v>
      </c>
      <c r="F29" s="19">
        <v>2.6386621378571989E-4</v>
      </c>
      <c r="G29" s="19"/>
    </row>
    <row r="30" spans="1:7" x14ac:dyDescent="0.25">
      <c r="A30" s="60" t="s">
        <v>96</v>
      </c>
      <c r="B30" s="41">
        <v>59564.787470000003</v>
      </c>
      <c r="C30" s="19" t="s">
        <v>261</v>
      </c>
      <c r="D30" s="19" t="s">
        <v>261</v>
      </c>
      <c r="E30" s="19">
        <v>4.0089350362885048</v>
      </c>
      <c r="F30" s="19" t="s">
        <v>261</v>
      </c>
    </row>
    <row r="31" spans="1:7" x14ac:dyDescent="0.25">
      <c r="A31" s="56" t="s">
        <v>168</v>
      </c>
      <c r="B31" s="18">
        <v>606473.33984999999</v>
      </c>
      <c r="C31" s="42">
        <v>672886.84702999995</v>
      </c>
      <c r="D31" s="18">
        <v>110.95077109183829</v>
      </c>
      <c r="E31" s="18">
        <v>40.81794503042773</v>
      </c>
      <c r="F31" s="18">
        <v>48.937635815700368</v>
      </c>
    </row>
    <row r="32" spans="1:7" x14ac:dyDescent="0.25">
      <c r="A32" s="60" t="s">
        <v>100</v>
      </c>
      <c r="B32" s="43"/>
      <c r="C32" s="43"/>
      <c r="D32" s="18"/>
      <c r="E32" s="18"/>
      <c r="F32" s="18"/>
    </row>
    <row r="33" spans="1:8" x14ac:dyDescent="0.25">
      <c r="A33" s="60" t="s">
        <v>91</v>
      </c>
      <c r="B33" s="19">
        <v>52575.45334</v>
      </c>
      <c r="C33" s="19">
        <v>12257.443929999999</v>
      </c>
      <c r="D33" s="19">
        <v>23.31400520834767</v>
      </c>
      <c r="E33" s="19">
        <v>3.5385264666583973</v>
      </c>
      <c r="F33" s="19">
        <v>0.89145794679348722</v>
      </c>
    </row>
    <row r="34" spans="1:8" x14ac:dyDescent="0.25">
      <c r="A34" s="60" t="s">
        <v>92</v>
      </c>
      <c r="B34" s="43">
        <v>26391.567210000001</v>
      </c>
      <c r="C34" s="19">
        <v>16989.686559999998</v>
      </c>
      <c r="D34" s="19">
        <v>64.375436383946365</v>
      </c>
      <c r="E34" s="19">
        <v>1.7762520936387023</v>
      </c>
      <c r="F34" s="19">
        <v>1.23562393464218</v>
      </c>
    </row>
    <row r="35" spans="1:8" x14ac:dyDescent="0.25">
      <c r="A35" s="60" t="s">
        <v>93</v>
      </c>
      <c r="B35" s="43">
        <v>432270.15026999998</v>
      </c>
      <c r="C35" s="19">
        <v>471253.88741000002</v>
      </c>
      <c r="D35" s="19">
        <v>109.01837360633169</v>
      </c>
      <c r="E35" s="19">
        <v>29.093412805878003</v>
      </c>
      <c r="F35" s="19">
        <v>34.273297539690873</v>
      </c>
    </row>
    <row r="36" spans="1:8" x14ac:dyDescent="0.25">
      <c r="A36" s="60" t="s">
        <v>94</v>
      </c>
      <c r="B36" s="19">
        <v>15586.1639</v>
      </c>
      <c r="C36" s="19">
        <v>19454.21643</v>
      </c>
      <c r="D36" s="19">
        <v>124.81721964953803</v>
      </c>
      <c r="E36" s="19">
        <v>1.0490076636555667</v>
      </c>
      <c r="F36" s="19">
        <v>1.4148639744309177</v>
      </c>
    </row>
    <row r="37" spans="1:8" x14ac:dyDescent="0.25">
      <c r="A37" s="60" t="s">
        <v>95</v>
      </c>
      <c r="B37" s="19">
        <v>336.56477000000001</v>
      </c>
      <c r="C37" s="19">
        <v>366.51449000000002</v>
      </c>
      <c r="D37" s="19">
        <v>108.89864973092698</v>
      </c>
      <c r="E37" s="19">
        <v>2.2652079454038927E-2</v>
      </c>
      <c r="F37" s="19">
        <v>2.6655822909847252E-2</v>
      </c>
    </row>
    <row r="38" spans="1:8" x14ac:dyDescent="0.25">
      <c r="A38" s="60" t="s">
        <v>96</v>
      </c>
      <c r="B38" s="19">
        <v>78383.720929999996</v>
      </c>
      <c r="C38" s="19">
        <v>151975.99587000001</v>
      </c>
      <c r="D38" s="19" t="s">
        <v>294</v>
      </c>
      <c r="E38" s="19">
        <v>5.2755202940865544</v>
      </c>
      <c r="F38" s="19">
        <v>11.052892431233476</v>
      </c>
    </row>
    <row r="39" spans="1:8" x14ac:dyDescent="0.25">
      <c r="A39" s="64" t="s">
        <v>97</v>
      </c>
      <c r="B39" s="44">
        <v>929.71942999999999</v>
      </c>
      <c r="C39" s="44">
        <v>589.10234000000003</v>
      </c>
      <c r="D39" s="44">
        <v>63.36345363891126</v>
      </c>
      <c r="E39" s="44">
        <v>6.2573627056461606E-2</v>
      </c>
      <c r="F39" s="44">
        <v>4.2844165999594244E-2</v>
      </c>
    </row>
    <row r="40" spans="1:8" s="17" customFormat="1" ht="14.25" customHeight="1" x14ac:dyDescent="0.2">
      <c r="A40" s="25" t="s">
        <v>245</v>
      </c>
      <c r="B40" s="25"/>
      <c r="C40" s="16"/>
      <c r="D40" s="16"/>
      <c r="E40" s="16"/>
      <c r="F40" s="16"/>
      <c r="G40" s="26"/>
      <c r="H40" s="26"/>
    </row>
    <row r="41" spans="1:8" s="17" customFormat="1" ht="13.5" customHeight="1" x14ac:dyDescent="0.2">
      <c r="A41" s="78" t="s">
        <v>384</v>
      </c>
      <c r="B41" s="77"/>
      <c r="C41" s="77"/>
    </row>
    <row r="42" spans="1:8" s="26" customFormat="1" ht="11.25" x14ac:dyDescent="0.2">
      <c r="A42" s="40" t="s">
        <v>383</v>
      </c>
      <c r="B42" s="16"/>
      <c r="C42" s="16"/>
      <c r="D42" s="16"/>
      <c r="E42" s="16"/>
      <c r="F42" s="16"/>
      <c r="G42" s="16"/>
      <c r="H42" s="16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81"/>
  <sheetViews>
    <sheetView zoomScaleNormal="100" workbookViewId="0">
      <selection activeCell="B1" sqref="B1:I1"/>
    </sheetView>
  </sheetViews>
  <sheetFormatPr defaultRowHeight="15.75" x14ac:dyDescent="0.25"/>
  <cols>
    <col min="1" max="1" width="6.75" style="21" customWidth="1"/>
    <col min="2" max="2" width="41" style="21" customWidth="1"/>
    <col min="3" max="4" width="13.75" style="21" customWidth="1"/>
    <col min="5" max="5" width="11.125" style="21" customWidth="1"/>
    <col min="6" max="7" width="9.75" style="21" customWidth="1"/>
    <col min="8" max="9" width="10.75" style="21" customWidth="1"/>
    <col min="10" max="12" width="9" style="21"/>
  </cols>
  <sheetData>
    <row r="1" spans="1:12" s="24" customFormat="1" ht="12.75" x14ac:dyDescent="0.2">
      <c r="A1" s="23"/>
      <c r="B1" s="90" t="s">
        <v>279</v>
      </c>
      <c r="C1" s="90"/>
      <c r="D1" s="90"/>
      <c r="E1" s="90"/>
      <c r="F1" s="90"/>
      <c r="G1" s="90"/>
      <c r="H1" s="90"/>
      <c r="I1" s="90"/>
      <c r="J1" s="23"/>
      <c r="K1" s="23"/>
      <c r="L1" s="23"/>
    </row>
    <row r="2" spans="1:12" s="24" customFormat="1" ht="12.75" x14ac:dyDescent="0.2">
      <c r="A2" s="23"/>
      <c r="B2" s="90" t="s">
        <v>244</v>
      </c>
      <c r="C2" s="90"/>
      <c r="D2" s="90"/>
      <c r="E2" s="90"/>
      <c r="F2" s="90"/>
      <c r="G2" s="90"/>
      <c r="H2" s="90"/>
      <c r="I2" s="90"/>
      <c r="J2" s="23"/>
      <c r="K2" s="23"/>
      <c r="L2" s="23"/>
    </row>
    <row r="3" spans="1:12" x14ac:dyDescent="0.25">
      <c r="A3" s="101"/>
      <c r="B3" s="101"/>
      <c r="C3" s="101"/>
      <c r="D3" s="101"/>
      <c r="E3" s="101"/>
      <c r="F3" s="101"/>
      <c r="G3" s="101"/>
      <c r="H3" s="101"/>
      <c r="I3" s="101"/>
    </row>
    <row r="4" spans="1:12" ht="44.25" customHeight="1" x14ac:dyDescent="0.25">
      <c r="A4" s="98" t="s">
        <v>170</v>
      </c>
      <c r="B4" s="80"/>
      <c r="C4" s="82" t="s">
        <v>305</v>
      </c>
      <c r="D4" s="89"/>
      <c r="E4" s="87" t="s">
        <v>333</v>
      </c>
      <c r="F4" s="82" t="s">
        <v>90</v>
      </c>
      <c r="G4" s="83"/>
      <c r="H4" s="92" t="s">
        <v>280</v>
      </c>
      <c r="I4" s="100"/>
    </row>
    <row r="5" spans="1:12" ht="45" customHeight="1" x14ac:dyDescent="0.25">
      <c r="A5" s="99"/>
      <c r="B5" s="81"/>
      <c r="C5" s="12" t="s">
        <v>323</v>
      </c>
      <c r="D5" s="12" t="s">
        <v>324</v>
      </c>
      <c r="E5" s="88"/>
      <c r="F5" s="12" t="s">
        <v>323</v>
      </c>
      <c r="G5" s="12" t="s">
        <v>324</v>
      </c>
      <c r="H5" s="12" t="s">
        <v>334</v>
      </c>
      <c r="I5" s="11" t="s">
        <v>336</v>
      </c>
    </row>
    <row r="6" spans="1:12" s="24" customFormat="1" ht="12.75" x14ac:dyDescent="0.2">
      <c r="A6" s="73"/>
      <c r="B6" s="55" t="s">
        <v>86</v>
      </c>
      <c r="C6" s="50">
        <v>687141.54783000005</v>
      </c>
      <c r="D6" s="51">
        <v>601300.25754000002</v>
      </c>
      <c r="E6" s="51">
        <f>IF(687141.54783="","-",601300.25754/687141.54783*100)</f>
        <v>87.507480727793606</v>
      </c>
      <c r="F6" s="51">
        <v>100</v>
      </c>
      <c r="G6" s="51">
        <v>100</v>
      </c>
      <c r="H6" s="51">
        <f>IF(666821.53755="","-",(687141.54783-666821.53755)/666821.53755*100)</f>
        <v>3.0472936364141354</v>
      </c>
      <c r="I6" s="51">
        <f>IF(687141.54783="","-",(601300.25754-687141.54783)/687141.54783*100)</f>
        <v>-12.492519272206389</v>
      </c>
      <c r="J6" s="23"/>
      <c r="K6" s="23"/>
      <c r="L6" s="23"/>
    </row>
    <row r="7" spans="1:12" s="24" customFormat="1" ht="12.75" x14ac:dyDescent="0.2">
      <c r="A7" s="34"/>
      <c r="B7" s="39" t="s">
        <v>290</v>
      </c>
      <c r="C7" s="42"/>
      <c r="D7" s="18"/>
      <c r="E7" s="18"/>
      <c r="F7" s="18"/>
      <c r="G7" s="18"/>
      <c r="H7" s="18"/>
      <c r="I7" s="18"/>
      <c r="J7" s="23"/>
      <c r="K7" s="23"/>
      <c r="L7" s="23"/>
    </row>
    <row r="8" spans="1:12" x14ac:dyDescent="0.25">
      <c r="A8" s="27" t="s">
        <v>171</v>
      </c>
      <c r="B8" s="28" t="s">
        <v>147</v>
      </c>
      <c r="C8" s="42">
        <v>160955.65377999999</v>
      </c>
      <c r="D8" s="18">
        <v>175388.13365999999</v>
      </c>
      <c r="E8" s="18">
        <f>IF(160955.65378="","-",175388.13366/160955.65378*100)</f>
        <v>108.9667430382575</v>
      </c>
      <c r="F8" s="18">
        <f>IF(160955.65378="","-",160955.65378/687141.54783*100)</f>
        <v>23.423944351538569</v>
      </c>
      <c r="G8" s="18">
        <f>IF(175388.13366="","-",175388.13366/601300.25754*100)</f>
        <v>29.168145441602896</v>
      </c>
      <c r="H8" s="18">
        <f>IF(666821.53755="","-",(160955.65378-221461.0995)/666821.53755*100)</f>
        <v>-9.073708978013201</v>
      </c>
      <c r="I8" s="18">
        <f>IF(687141.54783="","-",(175388.13366-160955.65378)/687141.54783*100)</f>
        <v>2.1003648994268964</v>
      </c>
    </row>
    <row r="9" spans="1:12" x14ac:dyDescent="0.25">
      <c r="A9" s="29" t="s">
        <v>172</v>
      </c>
      <c r="B9" s="30" t="s">
        <v>16</v>
      </c>
      <c r="C9" s="41">
        <v>1014.48</v>
      </c>
      <c r="D9" s="19">
        <v>2914.3733299999999</v>
      </c>
      <c r="E9" s="19" t="s">
        <v>297</v>
      </c>
      <c r="F9" s="19">
        <f>IF(1014.48="","-",1014.48/687141.54783*100)</f>
        <v>0.14763770335293186</v>
      </c>
      <c r="G9" s="19">
        <f>IF(2914.37333="","-",2914.37333/601300.25754*100)</f>
        <v>0.48467854344900702</v>
      </c>
      <c r="H9" s="19">
        <f>IF(OR(666821.53755="",460.67046="",1014.48=""),"-",(1014.48-460.67046)/666821.53755*100)</f>
        <v>8.3052137463162534E-2</v>
      </c>
      <c r="I9" s="19">
        <f>IF(OR(687141.54783="",2914.37333="",1014.48=""),"-",(2914.37333-1014.48)/687141.54783*100)</f>
        <v>0.27649227964745865</v>
      </c>
      <c r="J9" s="27"/>
    </row>
    <row r="10" spans="1:12" x14ac:dyDescent="0.25">
      <c r="A10" s="29" t="s">
        <v>173</v>
      </c>
      <c r="B10" s="30" t="s">
        <v>148</v>
      </c>
      <c r="C10" s="41">
        <v>525.09259999999995</v>
      </c>
      <c r="D10" s="19">
        <v>347.44256999999999</v>
      </c>
      <c r="E10" s="19">
        <f>IF(OR(525.0926="",347.44257=""),"-",347.44257/525.0926*100)</f>
        <v>66.167866391565994</v>
      </c>
      <c r="F10" s="19">
        <f>IF(525.0926="","-",525.0926/687141.54783*100)</f>
        <v>7.641694810308701E-2</v>
      </c>
      <c r="G10" s="19">
        <f>IF(347.44257="","-",347.44257/601300.25754*100)</f>
        <v>5.7781876133137566E-2</v>
      </c>
      <c r="H10" s="19">
        <f>IF(OR(666821.53755="",153.00864="",525.0926=""),"-",(525.0926-153.00864)/666821.53755*100)</f>
        <v>5.5799631392694796E-2</v>
      </c>
      <c r="I10" s="19">
        <f>IF(OR(687141.54783="",347.44257="",525.0926=""),"-",(347.44257-525.0926)/687141.54783*100)</f>
        <v>-2.5853483981724081E-2</v>
      </c>
      <c r="J10" s="29"/>
    </row>
    <row r="11" spans="1:12" s="2" customFormat="1" x14ac:dyDescent="0.25">
      <c r="A11" s="29" t="s">
        <v>174</v>
      </c>
      <c r="B11" s="30" t="s">
        <v>149</v>
      </c>
      <c r="C11" s="41">
        <v>2292.75999</v>
      </c>
      <c r="D11" s="19">
        <v>1687.8036300000001</v>
      </c>
      <c r="E11" s="19">
        <f>IF(OR(2292.75999="",1687.80363=""),"-",1687.80363/2292.75999*100)</f>
        <v>73.614492461550668</v>
      </c>
      <c r="F11" s="19">
        <f>IF(2292.75999="","-",2292.75999/687141.54783*100)</f>
        <v>0.33366633079320546</v>
      </c>
      <c r="G11" s="19">
        <f>IF(1687.80363="","-",1687.80363/601300.25754*100)</f>
        <v>0.28069231782887155</v>
      </c>
      <c r="H11" s="19">
        <f>IF(OR(666821.53755="",1631.3354="",2292.75999=""),"-",(2292.75999-1631.3354)/666821.53755*100)</f>
        <v>9.9190645885579964E-2</v>
      </c>
      <c r="I11" s="19">
        <f>IF(OR(687141.54783="",1687.80363="",2292.75999=""),"-",(1687.80363-2292.75999)/687141.54783*100)</f>
        <v>-8.8039554864708477E-2</v>
      </c>
      <c r="J11" s="29"/>
      <c r="K11" s="14"/>
      <c r="L11" s="14"/>
    </row>
    <row r="12" spans="1:12" s="2" customFormat="1" x14ac:dyDescent="0.25">
      <c r="A12" s="29" t="s">
        <v>175</v>
      </c>
      <c r="B12" s="30" t="s">
        <v>150</v>
      </c>
      <c r="C12" s="41">
        <v>143.02884</v>
      </c>
      <c r="D12" s="19">
        <v>51.305929999999996</v>
      </c>
      <c r="E12" s="19">
        <f>IF(OR(143.02884="",51.30593=""),"-",51.30593/143.02884*100)</f>
        <v>35.871038316468201</v>
      </c>
      <c r="F12" s="19">
        <f>IF(143.02884="","-",143.02884/687141.54783*100)</f>
        <v>2.0815047562134256E-2</v>
      </c>
      <c r="G12" s="19">
        <f>IF(51.30593="","-",51.30593/601300.25754*100)</f>
        <v>8.532497592783253E-3</v>
      </c>
      <c r="H12" s="19">
        <f>IF(OR(666821.53755="",0.03608="",143.02884=""),"-",(143.02884-0.03608)/666821.53755*100)</f>
        <v>2.1443932438861578E-2</v>
      </c>
      <c r="I12" s="19">
        <f>IF(OR(687141.54783="",51.30593="",143.02884=""),"-",(51.30593-143.02884)/687141.54783*100)</f>
        <v>-1.3348473875529997E-2</v>
      </c>
      <c r="J12" s="29"/>
      <c r="K12" s="14"/>
      <c r="L12" s="14"/>
    </row>
    <row r="13" spans="1:12" s="2" customFormat="1" x14ac:dyDescent="0.25">
      <c r="A13" s="29" t="s">
        <v>176</v>
      </c>
      <c r="B13" s="30" t="s">
        <v>151</v>
      </c>
      <c r="C13" s="41">
        <v>74525.043890000001</v>
      </c>
      <c r="D13" s="19">
        <v>77142.182239999995</v>
      </c>
      <c r="E13" s="19">
        <f>IF(OR(74525.04389="",77142.18224=""),"-",77142.18224/74525.04389*100)</f>
        <v>103.51175687177445</v>
      </c>
      <c r="F13" s="19">
        <f>IF(74525.04389="","-",74525.04389/687141.54783*100)</f>
        <v>10.845661148761977</v>
      </c>
      <c r="G13" s="19">
        <f>IF(77142.18224="","-",77142.18224/601300.25754*100)</f>
        <v>12.829228205489052</v>
      </c>
      <c r="H13" s="19">
        <f>IF(OR(666821.53755="",132977.50478="",74525.04389=""),"-",(74525.04389-132977.50478)/666821.53755*100)</f>
        <v>-8.7658327751024494</v>
      </c>
      <c r="I13" s="19">
        <f>IF(OR(687141.54783="",77142.18224="",74525.04389=""),"-",(77142.18224-74525.04389)/687141.54783*100)</f>
        <v>0.38087325068101952</v>
      </c>
      <c r="J13" s="29"/>
      <c r="K13" s="14"/>
      <c r="L13" s="14"/>
    </row>
    <row r="14" spans="1:12" s="2" customFormat="1" x14ac:dyDescent="0.25">
      <c r="A14" s="29" t="s">
        <v>177</v>
      </c>
      <c r="B14" s="30" t="s">
        <v>152</v>
      </c>
      <c r="C14" s="41">
        <v>60424.84029</v>
      </c>
      <c r="D14" s="19">
        <v>76253.311900000001</v>
      </c>
      <c r="E14" s="19">
        <f>IF(OR(60424.84029="",76253.3119=""),"-",76253.3119/60424.84029*100)</f>
        <v>126.19530566242891</v>
      </c>
      <c r="F14" s="19">
        <f>IF(60424.84029="","-",60424.84029/687141.54783*100)</f>
        <v>8.793652556859973</v>
      </c>
      <c r="G14" s="19">
        <f>IF(76253.3119="","-",76253.3119/601300.25754*100)</f>
        <v>12.681403499137438</v>
      </c>
      <c r="H14" s="19">
        <f>IF(OR(666821.53755="",65972.88182="",60424.84029=""),"-",(60424.84029-65972.88182)/666821.53755*100)</f>
        <v>-0.83201294762978306</v>
      </c>
      <c r="I14" s="19">
        <f>IF(OR(687141.54783="",76253.3119="",60424.84029=""),"-",(76253.3119-60424.84029)/687141.54783*100)</f>
        <v>2.3035241661614658</v>
      </c>
      <c r="J14" s="29"/>
      <c r="K14" s="14"/>
      <c r="L14" s="14"/>
    </row>
    <row r="15" spans="1:12" s="2" customFormat="1" x14ac:dyDescent="0.25">
      <c r="A15" s="29" t="s">
        <v>178</v>
      </c>
      <c r="B15" s="30" t="s">
        <v>110</v>
      </c>
      <c r="C15" s="41">
        <v>5850.70262</v>
      </c>
      <c r="D15" s="19">
        <v>2631.2258299999999</v>
      </c>
      <c r="E15" s="19">
        <f>IF(OR(5850.70262="",2631.22583=""),"-",2631.22583/5850.70262*100)</f>
        <v>44.97281781175198</v>
      </c>
      <c r="F15" s="19">
        <f>IF(5850.70262="","-",5850.70262/687141.54783*100)</f>
        <v>0.85145522614322733</v>
      </c>
      <c r="G15" s="19">
        <f>IF(2631.22583="","-",2631.22583/601300.25754*100)</f>
        <v>0.43758934026815449</v>
      </c>
      <c r="H15" s="19">
        <f>IF(OR(666821.53755="",7445.52817="",5850.70262=""),"-",(5850.70262-7445.52817)/666821.53755*100)</f>
        <v>-0.23916827219762909</v>
      </c>
      <c r="I15" s="19">
        <f>IF(OR(687141.54783="",2631.22583="",5850.70262=""),"-",(2631.22583-5850.70262)/687141.54783*100)</f>
        <v>-0.46853181854119286</v>
      </c>
      <c r="J15" s="29"/>
      <c r="K15" s="14"/>
      <c r="L15" s="14"/>
    </row>
    <row r="16" spans="1:12" s="2" customFormat="1" x14ac:dyDescent="0.25">
      <c r="A16" s="29" t="s">
        <v>179</v>
      </c>
      <c r="B16" s="30" t="s">
        <v>153</v>
      </c>
      <c r="C16" s="41">
        <v>1854.4838199999999</v>
      </c>
      <c r="D16" s="19">
        <v>1872.09059</v>
      </c>
      <c r="E16" s="19">
        <f>IF(OR(1854.48382="",1872.09059=""),"-",1872.09059/1854.48382*100)</f>
        <v>100.94941621005893</v>
      </c>
      <c r="F16" s="19">
        <f>IF(1854.48382="","-",1854.48382/687141.54783*100)</f>
        <v>0.26988381445663978</v>
      </c>
      <c r="G16" s="19">
        <f>IF(1872.09059="","-",1872.09059/601300.25754*100)</f>
        <v>0.31134039384233325</v>
      </c>
      <c r="H16" s="19">
        <f>IF(OR(666821.53755="",1765.02386="",1854.48382=""),"-",(1854.48382-1765.02386)/666821.53755*100)</f>
        <v>1.3415877406822957E-2</v>
      </c>
      <c r="I16" s="19">
        <f>IF(OR(687141.54783="",1872.09059="",1854.48382=""),"-",(1872.09059-1854.48382)/687141.54783*100)</f>
        <v>2.5623206827767079E-3</v>
      </c>
      <c r="J16" s="29"/>
      <c r="K16" s="14"/>
      <c r="L16" s="14"/>
    </row>
    <row r="17" spans="1:12" s="2" customFormat="1" ht="15" customHeight="1" x14ac:dyDescent="0.25">
      <c r="A17" s="29" t="s">
        <v>180</v>
      </c>
      <c r="B17" s="30" t="s">
        <v>111</v>
      </c>
      <c r="C17" s="41">
        <v>11901.67871</v>
      </c>
      <c r="D17" s="19">
        <v>9891.6342299999997</v>
      </c>
      <c r="E17" s="19">
        <f>IF(OR(11901.67871="",9891.63423=""),"-",9891.63423/11901.67871*100)</f>
        <v>83.111252378951164</v>
      </c>
      <c r="F17" s="19">
        <f>IF(11901.67871="","-",11901.67871/687141.54783*100)</f>
        <v>1.7320563350572558</v>
      </c>
      <c r="G17" s="19">
        <f>IF(9891.63423="","-",9891.63423/601300.25754*100)</f>
        <v>1.6450407439484565</v>
      </c>
      <c r="H17" s="19">
        <f>IF(OR(666821.53755="",9889.47593="",11901.67871=""),"-",(11901.67871-9889.47593)/666821.53755*100)</f>
        <v>0.30176031616991966</v>
      </c>
      <c r="I17" s="19">
        <f>IF(OR(687141.54783="",9891.63423="",11901.67871=""),"-",(9891.63423-11901.67871)/687141.54783*100)</f>
        <v>-0.29252262308220794</v>
      </c>
      <c r="J17" s="29"/>
      <c r="K17" s="14"/>
      <c r="L17" s="14"/>
    </row>
    <row r="18" spans="1:12" s="2" customFormat="1" x14ac:dyDescent="0.25">
      <c r="A18" s="29" t="s">
        <v>181</v>
      </c>
      <c r="B18" s="30" t="s">
        <v>154</v>
      </c>
      <c r="C18" s="41">
        <v>2423.5430200000001</v>
      </c>
      <c r="D18" s="19">
        <v>2596.76341</v>
      </c>
      <c r="E18" s="19">
        <f>IF(OR(2423.54302="",2596.76341=""),"-",2596.76341/2423.54302*100)</f>
        <v>107.14740314368341</v>
      </c>
      <c r="F18" s="19">
        <f>IF(2423.54302="","-",2423.54302/687141.54783*100)</f>
        <v>0.35269924044813961</v>
      </c>
      <c r="G18" s="19">
        <f>IF(2596.76341="","-",2596.76341/601300.25754*100)</f>
        <v>0.43185802391366124</v>
      </c>
      <c r="H18" s="19">
        <f>IF(OR(666821.53755="",1165.63436="",2423.54302=""),"-",(2423.54302-1165.63436)/666821.53755*100)</f>
        <v>0.18864247615962446</v>
      </c>
      <c r="I18" s="19">
        <f>IF(OR(687141.54783="",2596.76341="",2423.54302=""),"-",(2596.76341-2423.54302)/687141.54783*100)</f>
        <v>2.5208836599537852E-2</v>
      </c>
      <c r="J18" s="29"/>
      <c r="K18" s="14"/>
      <c r="L18" s="14"/>
    </row>
    <row r="19" spans="1:12" s="2" customFormat="1" x14ac:dyDescent="0.25">
      <c r="A19" s="27" t="s">
        <v>182</v>
      </c>
      <c r="B19" s="28" t="s">
        <v>155</v>
      </c>
      <c r="C19" s="42">
        <v>32371.130420000001</v>
      </c>
      <c r="D19" s="18">
        <v>32949.2736</v>
      </c>
      <c r="E19" s="18">
        <f>IF(32371.13042="","-",32949.2736/32371.13042*100)</f>
        <v>101.78598390757094</v>
      </c>
      <c r="F19" s="18">
        <f>IF(32371.13042="","-",32371.13042/687141.54783*100)</f>
        <v>4.7109842975189542</v>
      </c>
      <c r="G19" s="18">
        <f>IF(32949.2736="","-",32949.2736/601300.25754*100)</f>
        <v>5.4796706282481722</v>
      </c>
      <c r="H19" s="18">
        <f>IF(666821.53755="","-",(32371.13042-25468.85829)/666821.53755*100)</f>
        <v>1.0351003591395622</v>
      </c>
      <c r="I19" s="18">
        <f>IF(687141.54783="","-",(32949.2736-32371.13042)/687141.54783*100)</f>
        <v>8.4137421441882118E-2</v>
      </c>
      <c r="J19" s="29"/>
      <c r="K19" s="14"/>
      <c r="L19" s="14"/>
    </row>
    <row r="20" spans="1:12" s="2" customFormat="1" x14ac:dyDescent="0.25">
      <c r="A20" s="29" t="s">
        <v>183</v>
      </c>
      <c r="B20" s="30" t="s">
        <v>156</v>
      </c>
      <c r="C20" s="41">
        <v>30502.497439999999</v>
      </c>
      <c r="D20" s="19">
        <v>32798.217530000002</v>
      </c>
      <c r="E20" s="19">
        <f>IF(OR(30502.49744="",32798.21753=""),"-",32798.21753/30502.49744*100)</f>
        <v>107.52633483378141</v>
      </c>
      <c r="F20" s="19">
        <f>IF(30502.49744="","-",30502.49744/687141.54783*100)</f>
        <v>4.4390413498248202</v>
      </c>
      <c r="G20" s="19">
        <f>IF(32798.21753="","-",32798.21753/601300.25754*100)</f>
        <v>5.454549057434618</v>
      </c>
      <c r="H20" s="19">
        <f>IF(OR(666821.53755="",23400.44576="",30502.49744=""),"-",(30502.49744-23400.44576)/666821.53755*100)</f>
        <v>1.0650603317484284</v>
      </c>
      <c r="I20" s="19">
        <f>IF(OR(687141.54783="",32798.21753="",30502.49744=""),"-",(32798.21753-30502.49744)/687141.54783*100)</f>
        <v>0.33409711539782594</v>
      </c>
      <c r="J20" s="27"/>
      <c r="K20" s="14"/>
      <c r="L20" s="14"/>
    </row>
    <row r="21" spans="1:12" s="2" customFormat="1" x14ac:dyDescent="0.25">
      <c r="A21" s="29" t="s">
        <v>184</v>
      </c>
      <c r="B21" s="30" t="s">
        <v>157</v>
      </c>
      <c r="C21" s="41">
        <v>1868.6329800000001</v>
      </c>
      <c r="D21" s="19">
        <v>151.05607000000001</v>
      </c>
      <c r="E21" s="19">
        <f>IF(OR(1868.63298="",151.05607=""),"-",151.05607/1868.63298*100)</f>
        <v>8.0837741609376934</v>
      </c>
      <c r="F21" s="19">
        <f>IF(1868.63298="","-",1868.63298/687141.54783*100)</f>
        <v>0.27194294769413402</v>
      </c>
      <c r="G21" s="19">
        <f>IF(151.05607="","-",151.05607/601300.25754*100)</f>
        <v>2.5121570813555053E-2</v>
      </c>
      <c r="H21" s="19">
        <f>IF(OR(666821.53755="",2068.41253="",1868.63298=""),"-",(1868.63298-2068.41253)/666821.53755*100)</f>
        <v>-2.9959972608866133E-2</v>
      </c>
      <c r="I21" s="19">
        <f>IF(OR(687141.54783="",151.05607="",1868.63298=""),"-",(151.05607-1868.63298)/687141.54783*100)</f>
        <v>-0.24995969395594331</v>
      </c>
      <c r="J21" s="29"/>
      <c r="K21" s="14"/>
      <c r="L21" s="14"/>
    </row>
    <row r="22" spans="1:12" s="2" customFormat="1" x14ac:dyDescent="0.25">
      <c r="A22" s="27" t="s">
        <v>185</v>
      </c>
      <c r="B22" s="28" t="s">
        <v>17</v>
      </c>
      <c r="C22" s="42">
        <v>41267.400889999997</v>
      </c>
      <c r="D22" s="18">
        <v>62687.95983</v>
      </c>
      <c r="E22" s="18">
        <f>IF(41267.40089="","-",62687.95983/41267.40089*100)</f>
        <v>151.90673141033867</v>
      </c>
      <c r="F22" s="18">
        <f>IF(41267.40089="","-",41267.40089/687141.54783*100)</f>
        <v>6.0056623006311964</v>
      </c>
      <c r="G22" s="18">
        <f>IF(62687.95983="","-",62687.95983/601300.25754*100)</f>
        <v>10.42540046240207</v>
      </c>
      <c r="H22" s="18">
        <f>IF(666821.53755="","-",(41267.40089-83405.60009)/666821.53755*100)</f>
        <v>-6.3192618754969923</v>
      </c>
      <c r="I22" s="18">
        <f>IF(687141.54783="","-",(62687.95983-41267.40089)/687141.54783*100)</f>
        <v>3.1173429998006008</v>
      </c>
      <c r="J22" s="29"/>
      <c r="K22" s="14"/>
      <c r="L22" s="14"/>
    </row>
    <row r="23" spans="1:12" s="2" customFormat="1" x14ac:dyDescent="0.25">
      <c r="A23" s="29" t="s">
        <v>186</v>
      </c>
      <c r="B23" s="30" t="s">
        <v>164</v>
      </c>
      <c r="C23" s="41">
        <v>106.0626</v>
      </c>
      <c r="D23" s="19">
        <v>263.10318000000001</v>
      </c>
      <c r="E23" s="19" t="s">
        <v>320</v>
      </c>
      <c r="F23" s="19">
        <f>IF(106.0626="","-",106.0626/687141.54783*100)</f>
        <v>1.5435335024486114E-2</v>
      </c>
      <c r="G23" s="19">
        <f>IF(263.10318="","-",263.10318/601300.25754*100)</f>
        <v>4.3755707186354853E-2</v>
      </c>
      <c r="H23" s="19">
        <f>IF(OR(666821.53755="",240.81062="",106.0626=""),"-",(106.0626-240.81062)/666821.53755*100)</f>
        <v>-2.0207508667923948E-2</v>
      </c>
      <c r="I23" s="19">
        <f>IF(OR(687141.54783="",263.10318="",106.0626=""),"-",(263.10318-106.0626)/687141.54783*100)</f>
        <v>2.2854182008923158E-2</v>
      </c>
      <c r="J23" s="27"/>
      <c r="K23" s="14"/>
      <c r="L23" s="14"/>
    </row>
    <row r="24" spans="1:12" s="2" customFormat="1" x14ac:dyDescent="0.25">
      <c r="A24" s="29" t="s">
        <v>187</v>
      </c>
      <c r="B24" s="30" t="s">
        <v>158</v>
      </c>
      <c r="C24" s="41">
        <v>28588.659009999999</v>
      </c>
      <c r="D24" s="19">
        <v>54360.428200000002</v>
      </c>
      <c r="E24" s="19" t="s">
        <v>294</v>
      </c>
      <c r="F24" s="19">
        <f>IF(28588.65901="","-",28588.65901/687141.54783*100)</f>
        <v>4.16051963387795</v>
      </c>
      <c r="G24" s="19">
        <f>IF(54360.4282="","-",54360.4282/601300.25754*100)</f>
        <v>9.0404797800013927</v>
      </c>
      <c r="H24" s="19">
        <f>IF(OR(666821.53755="",67847.62462="",28588.65901=""),"-",(28588.65901-67847.62462)/666821.53755*100)</f>
        <v>-5.8874771433213136</v>
      </c>
      <c r="I24" s="19">
        <f>IF(OR(687141.54783="",54360.4282="",28588.65901=""),"-",(54360.4282-28588.65901)/687141.54783*100)</f>
        <v>3.7505764673068467</v>
      </c>
      <c r="J24" s="29"/>
      <c r="K24" s="14"/>
      <c r="L24" s="14"/>
    </row>
    <row r="25" spans="1:12" s="2" customFormat="1" x14ac:dyDescent="0.25">
      <c r="A25" s="29" t="s">
        <v>188</v>
      </c>
      <c r="B25" s="30" t="s">
        <v>160</v>
      </c>
      <c r="C25" s="41">
        <v>400.16133000000002</v>
      </c>
      <c r="D25" s="19">
        <v>179.45491999999999</v>
      </c>
      <c r="E25" s="19">
        <f>IF(OR(400.16133="",179.45492=""),"-",179.45492/400.16133*100)</f>
        <v>44.845642631185775</v>
      </c>
      <c r="F25" s="19">
        <f>IF(400.16133="","-",400.16133/687141.54783*100)</f>
        <v>5.8235647555254594E-2</v>
      </c>
      <c r="G25" s="19">
        <f>IF(179.45492="","-",179.45492/601300.25754*100)</f>
        <v>2.9844477488530294E-2</v>
      </c>
      <c r="H25" s="19">
        <f>IF(OR(666821.53755="",609.32803="",400.16133=""),"-",(400.16133-609.32803)/666821.53755*100)</f>
        <v>-3.1367718080689042E-2</v>
      </c>
      <c r="I25" s="19">
        <f>IF(OR(687141.54783="",179.45492="",400.16133=""),"-",(179.45492-400.16133)/687141.54783*100)</f>
        <v>-3.211949716866825E-2</v>
      </c>
      <c r="J25" s="29"/>
      <c r="K25" s="14"/>
      <c r="L25" s="14"/>
    </row>
    <row r="26" spans="1:12" s="2" customFormat="1" x14ac:dyDescent="0.25">
      <c r="A26" s="29" t="s">
        <v>189</v>
      </c>
      <c r="B26" s="30" t="s">
        <v>112</v>
      </c>
      <c r="C26" s="41">
        <v>540.71838000000002</v>
      </c>
      <c r="D26" s="19">
        <v>672.35914000000002</v>
      </c>
      <c r="E26" s="19">
        <f>IF(OR(540.71838="",672.35914=""),"-",672.35914/540.71838*100)</f>
        <v>124.34553084731463</v>
      </c>
      <c r="F26" s="19">
        <f>IF(540.71838="","-",540.71838/687141.54783*100)</f>
        <v>7.8690974473541023E-2</v>
      </c>
      <c r="G26" s="19">
        <f>IF(672.35914="","-",672.35914/601300.25754*100)</f>
        <v>0.11181753733994916</v>
      </c>
      <c r="H26" s="19">
        <f>IF(OR(666821.53755="",800.45794="",540.71838=""),"-",(540.71838-800.45794)/666821.53755*100)</f>
        <v>-3.8951885230690236E-2</v>
      </c>
      <c r="I26" s="19">
        <f>IF(OR(687141.54783="",672.35914="",540.71838=""),"-",(672.35914-540.71838)/687141.54783*100)</f>
        <v>1.915773546450842E-2</v>
      </c>
      <c r="J26" s="29"/>
      <c r="K26" s="14"/>
      <c r="L26" s="14"/>
    </row>
    <row r="27" spans="1:12" s="2" customFormat="1" ht="24" x14ac:dyDescent="0.25">
      <c r="A27" s="29" t="s">
        <v>190</v>
      </c>
      <c r="B27" s="30" t="s">
        <v>113</v>
      </c>
      <c r="C27" s="41">
        <v>4.5851300000000004</v>
      </c>
      <c r="D27" s="19">
        <v>15.71091</v>
      </c>
      <c r="E27" s="19" t="s">
        <v>303</v>
      </c>
      <c r="F27" s="19">
        <f>IF(4.58513="","-",4.58513/687141.54783*100)</f>
        <v>6.6727590763211557E-4</v>
      </c>
      <c r="G27" s="19">
        <f>IF(15.71091="","-",15.71091/601300.25754*100)</f>
        <v>2.6128227625039509E-3</v>
      </c>
      <c r="H27" s="19">
        <f>IF(OR(666821.53755="",11.64596="",4.58513=""),"-",(4.58513-11.64596)/666821.53755*100)</f>
        <v>-1.0588785158233676E-3</v>
      </c>
      <c r="I27" s="19">
        <f>IF(OR(687141.54783="",15.71091="",4.58513=""),"-",(15.71091-4.58513)/687141.54783*100)</f>
        <v>1.6191394677174339E-3</v>
      </c>
      <c r="J27" s="29"/>
      <c r="K27" s="14"/>
      <c r="L27" s="14"/>
    </row>
    <row r="28" spans="1:12" s="2" customFormat="1" ht="24" x14ac:dyDescent="0.25">
      <c r="A28" s="29" t="s">
        <v>191</v>
      </c>
      <c r="B28" s="30" t="s">
        <v>114</v>
      </c>
      <c r="C28" s="41">
        <v>2906.5364500000001</v>
      </c>
      <c r="D28" s="19">
        <v>2353.7973499999998</v>
      </c>
      <c r="E28" s="19">
        <f>IF(OR(2906.53645="",2353.79735=""),"-",2353.79735/2906.53645*100)</f>
        <v>80.982894606396556</v>
      </c>
      <c r="F28" s="19">
        <f>IF(2906.53645="","-",2906.53645/687141.54783*100)</f>
        <v>0.42298947854031987</v>
      </c>
      <c r="G28" s="19">
        <f>IF(2353.79735="","-",2353.79735/601300.25754*100)</f>
        <v>0.39145124594319985</v>
      </c>
      <c r="H28" s="19">
        <f>IF(OR(666821.53755="",1312.18917="",2906.53645=""),"-",(2906.53645-1312.18917)/666821.53755*100)</f>
        <v>0.2390965483595304</v>
      </c>
      <c r="I28" s="19">
        <f>IF(OR(687141.54783="",2353.79735="",2906.53645=""),"-",(2353.79735-2906.53645)/687141.54783*100)</f>
        <v>-8.0440354937866276E-2</v>
      </c>
      <c r="J28" s="29"/>
      <c r="K28" s="14"/>
      <c r="L28" s="14"/>
    </row>
    <row r="29" spans="1:12" s="2" customFormat="1" x14ac:dyDescent="0.25">
      <c r="A29" s="29" t="s">
        <v>192</v>
      </c>
      <c r="B29" s="30" t="s">
        <v>115</v>
      </c>
      <c r="C29" s="41">
        <v>7359.1469200000001</v>
      </c>
      <c r="D29" s="19">
        <v>3769.1945599999999</v>
      </c>
      <c r="E29" s="19">
        <f>IF(OR(7359.14692="",3769.19456=""),"-",3769.19456/7359.14692*100)</f>
        <v>51.21781914363519</v>
      </c>
      <c r="F29" s="19">
        <f>IF(7359.14692="","-",7359.14692/687141.54783*100)</f>
        <v>1.0709797629382563</v>
      </c>
      <c r="G29" s="19">
        <f>IF(3769.19456="","-",3769.19456/601300.25754*100)</f>
        <v>0.62684066948853145</v>
      </c>
      <c r="H29" s="19">
        <f>IF(OR(666821.53755="",11869.40011="",7359.14692=""),"-",(7359.14692-11869.40011)/666821.53755*100)</f>
        <v>-0.6763808509502155</v>
      </c>
      <c r="I29" s="19">
        <f>IF(OR(687141.54783="",3769.19456="",7359.14692=""),"-",(3769.19456-7359.14692)/687141.54783*100)</f>
        <v>-0.5224472848916073</v>
      </c>
      <c r="J29" s="29"/>
      <c r="K29" s="14"/>
      <c r="L29" s="14"/>
    </row>
    <row r="30" spans="1:12" s="2" customFormat="1" x14ac:dyDescent="0.25">
      <c r="A30" s="29" t="s">
        <v>193</v>
      </c>
      <c r="B30" s="30" t="s">
        <v>116</v>
      </c>
      <c r="C30" s="41">
        <v>1361.53107</v>
      </c>
      <c r="D30" s="19">
        <v>1073.91157</v>
      </c>
      <c r="E30" s="19">
        <f>IF(OR(1361.53107="",1073.91157=""),"-",1073.91157/1361.53107*100)</f>
        <v>78.875289272686217</v>
      </c>
      <c r="F30" s="19">
        <f>IF(1361.53107="","-",1361.53107/687141.54783*100)</f>
        <v>0.19814419231375674</v>
      </c>
      <c r="G30" s="19">
        <f>IF(1073.91157="","-",1073.91157/601300.25754*100)</f>
        <v>0.17859822219160795</v>
      </c>
      <c r="H30" s="19">
        <f>IF(OR(666821.53755="",714.14364="",1361.53107=""),"-",(1361.53107-714.14364)/666821.53755*100)</f>
        <v>9.70855609101344E-2</v>
      </c>
      <c r="I30" s="19">
        <f>IF(OR(687141.54783="",1073.91157="",1361.53107=""),"-",(1073.91157-1361.53107)/687141.54783*100)</f>
        <v>-4.1857387449253401E-2</v>
      </c>
      <c r="J30" s="29"/>
      <c r="K30" s="14"/>
      <c r="L30" s="14"/>
    </row>
    <row r="31" spans="1:12" s="2" customFormat="1" x14ac:dyDescent="0.25">
      <c r="A31" s="27" t="s">
        <v>194</v>
      </c>
      <c r="B31" s="28" t="s">
        <v>117</v>
      </c>
      <c r="C31" s="42">
        <v>88312.382079999996</v>
      </c>
      <c r="D31" s="18">
        <v>29652.520779999999</v>
      </c>
      <c r="E31" s="18">
        <f>IF(88312.38208="","-",29652.52078/88312.38208*100)</f>
        <v>33.576855341914019</v>
      </c>
      <c r="F31" s="18">
        <f>IF(88312.38208="","-",88312.38208/687141.54783*100)</f>
        <v>12.852138305257684</v>
      </c>
      <c r="G31" s="18">
        <f>IF(29652.52078="","-",29652.52078/601300.25754*100)</f>
        <v>4.9313999799887727</v>
      </c>
      <c r="H31" s="18">
        <f>IF(666821.53755="","-",(88312.38208-1152.94346)/666821.53755*100)</f>
        <v>13.070879345054831</v>
      </c>
      <c r="I31" s="18">
        <f>IF(687141.54783="","-",(29652.52078-88312.38208)/687141.54783*100)</f>
        <v>-8.5367944181585909</v>
      </c>
      <c r="J31" s="29"/>
      <c r="K31" s="14"/>
      <c r="L31" s="14"/>
    </row>
    <row r="32" spans="1:12" s="2" customFormat="1" x14ac:dyDescent="0.25">
      <c r="A32" s="29" t="s">
        <v>195</v>
      </c>
      <c r="B32" s="30" t="s">
        <v>161</v>
      </c>
      <c r="C32" s="41">
        <v>37.990130000000001</v>
      </c>
      <c r="D32" s="19">
        <v>6.2916699999999999</v>
      </c>
      <c r="E32" s="19">
        <f>IF(OR(37.99013="",6.29167=""),"-",6.29167/37.99013*100)</f>
        <v>16.561327902800016</v>
      </c>
      <c r="F32" s="19">
        <f>IF(37.99013="","-",37.99013/687141.54783*100)</f>
        <v>5.528719682279905E-3</v>
      </c>
      <c r="G32" s="19">
        <f>IF(6.29167="","-",6.29167/601300.25754*100)</f>
        <v>1.046344138573974E-3</v>
      </c>
      <c r="H32" s="19">
        <f>IF(OR(666821.53755="",23.78332="",37.99013=""),"-",(37.99013-23.78332)/666821.53755*100)</f>
        <v>2.1305265652033227E-3</v>
      </c>
      <c r="I32" s="19">
        <f>IF(OR(687141.54783="",6.29167="",37.99013=""),"-",(6.29167-37.99013)/687141.54783*100)</f>
        <v>-4.6130902868708867E-3</v>
      </c>
      <c r="J32" s="29"/>
      <c r="K32" s="14"/>
      <c r="L32" s="14"/>
    </row>
    <row r="33" spans="1:12" s="2" customFormat="1" x14ac:dyDescent="0.25">
      <c r="A33" s="29" t="s">
        <v>196</v>
      </c>
      <c r="B33" s="30" t="s">
        <v>118</v>
      </c>
      <c r="C33" s="41">
        <v>83090.382889999993</v>
      </c>
      <c r="D33" s="19">
        <v>23306.998749999999</v>
      </c>
      <c r="E33" s="19">
        <f>IF(OR(83090.38289="",23306.99875=""),"-",23306.99875/83090.38289*100)</f>
        <v>28.050176132724282</v>
      </c>
      <c r="F33" s="19">
        <f>IF(83090.38289="","-",83090.38289/687141.54783*100)</f>
        <v>12.092178555117247</v>
      </c>
      <c r="G33" s="19">
        <f>IF(23306.99875="","-",23306.99875/601300.25754*100)</f>
        <v>3.8760999114405932</v>
      </c>
      <c r="H33" s="19">
        <f>IF(OR(666821.53755="",1128.26507="",83090.38289=""),"-",(83090.38289-1128.26507)/666821.53755*100)</f>
        <v>12.291462288566866</v>
      </c>
      <c r="I33" s="19">
        <f>IF(OR(687141.54783="",23306.99875="",83090.38289=""),"-",(23306.99875-83090.38289)/687141.54783*100)</f>
        <v>-8.7003011721233445</v>
      </c>
      <c r="J33" s="27"/>
      <c r="K33" s="14"/>
      <c r="L33" s="14"/>
    </row>
    <row r="34" spans="1:12" s="2" customFormat="1" x14ac:dyDescent="0.25">
      <c r="A34" s="31" t="s">
        <v>241</v>
      </c>
      <c r="B34" s="30" t="s">
        <v>259</v>
      </c>
      <c r="C34" s="41">
        <v>1349.5442</v>
      </c>
      <c r="D34" s="19">
        <v>818.09661000000006</v>
      </c>
      <c r="E34" s="19">
        <f>IF(OR(1349.5442="",818.09661=""),"-",818.09661/1349.5442*100)</f>
        <v>60.620216069988665</v>
      </c>
      <c r="F34" s="19">
        <f>IF(1349.5442="","-",1349.5442/687141.54783*100)</f>
        <v>0.19639973805424432</v>
      </c>
      <c r="G34" s="19">
        <f>IF(818.09661="","-",818.09661/601300.25754*100)</f>
        <v>0.13605459165225423</v>
      </c>
      <c r="H34" s="19" t="str">
        <f>IF(OR(666821.53755="",""="",1349.5442=""),"-",(1349.5442-"")/666821.53755*100)</f>
        <v>-</v>
      </c>
      <c r="I34" s="19">
        <f>IF(OR(687141.54783="",818.09661="",1349.5442=""),"-",(818.09661-1349.5442)/687141.54783*100)</f>
        <v>-7.7341792484869651E-2</v>
      </c>
      <c r="J34" s="29"/>
      <c r="K34" s="14"/>
      <c r="L34" s="14"/>
    </row>
    <row r="35" spans="1:12" s="2" customFormat="1" x14ac:dyDescent="0.25">
      <c r="A35" s="29" t="s">
        <v>246</v>
      </c>
      <c r="B35" s="30" t="s">
        <v>247</v>
      </c>
      <c r="C35" s="41">
        <v>3834.46486</v>
      </c>
      <c r="D35" s="19">
        <v>5521.13375</v>
      </c>
      <c r="E35" s="19">
        <f>IF(OR(3834.46486="",5521.13375=""),"-",5521.13375/3834.46486*100)</f>
        <v>143.98707385728918</v>
      </c>
      <c r="F35" s="19">
        <f>IF(3834.46486="","-",3834.46486/687141.54783*100)</f>
        <v>0.5580312924039128</v>
      </c>
      <c r="G35" s="19">
        <f>IF(5521.13375="","-",5521.13375/601300.25754*100)</f>
        <v>0.91819913275735121</v>
      </c>
      <c r="H35" s="19">
        <f>IF(OR(666821.53755="",0.89507="",3834.46486=""),"-",(3834.46486-0.89507)/666821.53755*100)</f>
        <v>0.57490191514885636</v>
      </c>
      <c r="I35" s="19">
        <f>IF(OR(687141.54783="",5521.13375="",3834.46486=""),"-",(5521.13375-3834.46486)/687141.54783*100)</f>
        <v>0.24546163673649443</v>
      </c>
      <c r="J35" s="29"/>
      <c r="K35" s="14"/>
      <c r="L35" s="14"/>
    </row>
    <row r="36" spans="1:12" s="2" customFormat="1" ht="13.5" customHeight="1" x14ac:dyDescent="0.25">
      <c r="A36" s="27" t="s">
        <v>197</v>
      </c>
      <c r="B36" s="28" t="s">
        <v>119</v>
      </c>
      <c r="C36" s="42">
        <v>58481.267220000002</v>
      </c>
      <c r="D36" s="18">
        <v>32370.417460000001</v>
      </c>
      <c r="E36" s="18">
        <f>IF(58481.26722="","-",32370.41746/58481.26722*100)</f>
        <v>55.351771599315903</v>
      </c>
      <c r="F36" s="18">
        <f>IF(58481.26722="","-",58481.26722/687141.54783*100)</f>
        <v>8.5108035461811955</v>
      </c>
      <c r="G36" s="18">
        <f>IF(32370.41746="","-",32370.41746/601300.25754*100)</f>
        <v>5.3834032256084043</v>
      </c>
      <c r="H36" s="18">
        <f>IF(666821.53755="","-",(58481.26722-53704.78663)/666821.53755*100)</f>
        <v>0.71630568615847179</v>
      </c>
      <c r="I36" s="18">
        <f>IF(687141.54783="","-",(32370.41746-58481.26722)/687141.54783*100)</f>
        <v>-3.7999230060325018</v>
      </c>
      <c r="J36" s="29"/>
      <c r="K36" s="14"/>
      <c r="L36" s="14"/>
    </row>
    <row r="37" spans="1:12" s="2" customFormat="1" x14ac:dyDescent="0.25">
      <c r="A37" s="29" t="s">
        <v>198</v>
      </c>
      <c r="B37" s="30" t="s">
        <v>165</v>
      </c>
      <c r="C37" s="41">
        <v>1.9330099999999999</v>
      </c>
      <c r="D37" s="19" t="s">
        <v>261</v>
      </c>
      <c r="E37" s="19" t="str">
        <f>IF(OR(1.93301="",""=""),"-",""/1.93301*100)</f>
        <v>-</v>
      </c>
      <c r="F37" s="19">
        <f>IF(1.93301="","-",1.93301/687141.54783*100)</f>
        <v>2.813117626352918E-4</v>
      </c>
      <c r="G37" s="19" t="str">
        <f>IF(""="","-",""/601300.25754*100)</f>
        <v>-</v>
      </c>
      <c r="H37" s="19">
        <f>IF(OR(666821.53755="",1.59594="",1.93301=""),"-",(1.93301-1.59594)/666821.53755*100)</f>
        <v>5.054875720398062E-5</v>
      </c>
      <c r="I37" s="19" t="str">
        <f>IF(OR(687141.54783="",""="",1.93301=""),"-",(""-1.93301)/687141.54783*100)</f>
        <v>-</v>
      </c>
      <c r="J37" s="29"/>
      <c r="K37" s="14"/>
      <c r="L37" s="14"/>
    </row>
    <row r="38" spans="1:12" s="2" customFormat="1" ht="24" x14ac:dyDescent="0.25">
      <c r="A38" s="29" t="s">
        <v>199</v>
      </c>
      <c r="B38" s="30" t="s">
        <v>120</v>
      </c>
      <c r="C38" s="41">
        <v>58479.283909999998</v>
      </c>
      <c r="D38" s="19">
        <v>32313.013640000001</v>
      </c>
      <c r="E38" s="19">
        <f>IF(OR(58479.28391="",32313.01364=""),"-",32313.01364/58479.28391*100)</f>
        <v>55.255487891626622</v>
      </c>
      <c r="F38" s="19">
        <f>IF(58479.28391="","-",58479.28391/687141.54783*100)</f>
        <v>8.510514914238291</v>
      </c>
      <c r="G38" s="19">
        <f>IF(32313.01364="","-",32313.01364/601300.25754*100)</f>
        <v>5.3738566107050865</v>
      </c>
      <c r="H38" s="19">
        <f>IF(OR(666821.53755="",53703.19069="",58479.28391=""),"-",(58479.28391-53703.19069)/666821.53755*100)</f>
        <v>0.71624759415361139</v>
      </c>
      <c r="I38" s="19">
        <f>IF(OR(687141.54783="",32313.01364="",58479.28391=""),"-",(32313.01364-58479.28391)/687141.54783*100)</f>
        <v>-3.8079883762862754</v>
      </c>
      <c r="J38" s="27"/>
      <c r="K38" s="14"/>
      <c r="L38" s="14"/>
    </row>
    <row r="39" spans="1:12" s="2" customFormat="1" ht="36" x14ac:dyDescent="0.25">
      <c r="A39" s="29" t="s">
        <v>200</v>
      </c>
      <c r="B39" s="30" t="s">
        <v>163</v>
      </c>
      <c r="C39" s="41">
        <v>5.0299999999999997E-2</v>
      </c>
      <c r="D39" s="19">
        <v>57.403820000000003</v>
      </c>
      <c r="E39" s="19" t="s">
        <v>370</v>
      </c>
      <c r="F39" s="19">
        <f>IF(0.0503="","-",0.0503/687141.54783*100)</f>
        <v>7.3201802683665262E-6</v>
      </c>
      <c r="G39" s="19">
        <f>IF(57.40382="","-",57.40382/601300.25754*100)</f>
        <v>9.5466149033174748E-3</v>
      </c>
      <c r="H39" s="19" t="str">
        <f>IF(OR(666821.53755="",""="",0.0503=""),"-",(0.0503-"")/666821.53755*100)</f>
        <v>-</v>
      </c>
      <c r="I39" s="19">
        <f>IF(OR(687141.54783="",57.40382="",0.0503=""),"-",(57.40382-0.0503)/687141.54783*100)</f>
        <v>8.3466820164088459E-3</v>
      </c>
      <c r="J39" s="29"/>
      <c r="K39" s="14"/>
      <c r="L39" s="14"/>
    </row>
    <row r="40" spans="1:12" s="2" customFormat="1" ht="24" x14ac:dyDescent="0.25">
      <c r="A40" s="27" t="s">
        <v>201</v>
      </c>
      <c r="B40" s="28" t="s">
        <v>121</v>
      </c>
      <c r="C40" s="42">
        <v>22651.39702</v>
      </c>
      <c r="D40" s="18">
        <v>18196.650949999999</v>
      </c>
      <c r="E40" s="18">
        <f>IF(22651.39702="","-",18196.65095/22651.39702*100)</f>
        <v>80.333459935973522</v>
      </c>
      <c r="F40" s="18">
        <f>IF(22651.39702="","-",22651.39702/687141.54783*100)</f>
        <v>3.2964673860186942</v>
      </c>
      <c r="G40" s="18">
        <f>IF(18196.65095="","-",18196.65095/601300.25754*100)</f>
        <v>3.0262170557592873</v>
      </c>
      <c r="H40" s="18">
        <f>IF(666821.53755="","-",(22651.39702-29000.84205)/666821.53755*100)</f>
        <v>-0.95219555345029649</v>
      </c>
      <c r="I40" s="18">
        <f>IF(687141.54783="","-",(18196.65095-22651.39702)/687141.54783*100)</f>
        <v>-0.64830107916893309</v>
      </c>
      <c r="J40" s="29"/>
      <c r="K40" s="14"/>
      <c r="L40" s="14"/>
    </row>
    <row r="41" spans="1:12" s="2" customFormat="1" x14ac:dyDescent="0.25">
      <c r="A41" s="29" t="s">
        <v>202</v>
      </c>
      <c r="B41" s="30" t="s">
        <v>18</v>
      </c>
      <c r="C41" s="41">
        <v>4635.45201</v>
      </c>
      <c r="D41" s="19">
        <v>3794.1356599999999</v>
      </c>
      <c r="E41" s="19">
        <f>IF(OR(4635.45201="",3794.13566=""),"-",3794.13566/4635.45201*100)</f>
        <v>81.850392406500177</v>
      </c>
      <c r="F41" s="19">
        <f>IF(4635.45201="","-",4635.45201/687141.54783*100)</f>
        <v>0.67459929102508853</v>
      </c>
      <c r="G41" s="19">
        <f>IF(3794.13566="","-",3794.13566/601300.25754*100)</f>
        <v>0.63098853067555927</v>
      </c>
      <c r="H41" s="19">
        <f>IF(OR(666821.53755="",7627.06737="",4635.45201=""),"-",(4635.45201-7627.06737)/666821.53755*100)</f>
        <v>-0.44863808253579102</v>
      </c>
      <c r="I41" s="19">
        <f>IF(OR(687141.54783="",3794.13566="",4635.45201=""),"-",(3794.13566-4635.45201)/687141.54783*100)</f>
        <v>-0.12243712414958542</v>
      </c>
      <c r="J41" s="29"/>
      <c r="K41" s="14"/>
      <c r="L41" s="14"/>
    </row>
    <row r="42" spans="1:12" s="2" customFormat="1" x14ac:dyDescent="0.25">
      <c r="A42" s="29" t="s">
        <v>203</v>
      </c>
      <c r="B42" s="30" t="s">
        <v>19</v>
      </c>
      <c r="C42" s="41">
        <v>1477.7289699999999</v>
      </c>
      <c r="D42" s="19">
        <v>1146.8337899999999</v>
      </c>
      <c r="E42" s="19">
        <f>IF(OR(1477.72897="",1146.83379=""),"-",1146.83379/1477.72897*100)</f>
        <v>77.607857278456137</v>
      </c>
      <c r="F42" s="19">
        <f>IF(1477.72897="","-",1477.72897/687141.54783*100)</f>
        <v>0.21505452183275525</v>
      </c>
      <c r="G42" s="19">
        <f>IF(1146.83379="","-",1146.83379/601300.25754*100)</f>
        <v>0.1907256442383462</v>
      </c>
      <c r="H42" s="19">
        <f>IF(OR(666821.53755="",472.73152="",1477.72897=""),"-",(1477.72897-472.73152)/666821.53755*100)</f>
        <v>0.15071460554386223</v>
      </c>
      <c r="I42" s="19">
        <f>IF(OR(687141.54783="",1146.83379="",1477.72897=""),"-",(1146.83379-1477.72897)/687141.54783*100)</f>
        <v>-4.8155315457924251E-2</v>
      </c>
      <c r="J42" s="29"/>
      <c r="K42" s="14"/>
      <c r="L42" s="14"/>
    </row>
    <row r="43" spans="1:12" s="2" customFormat="1" x14ac:dyDescent="0.25">
      <c r="A43" s="29" t="s">
        <v>204</v>
      </c>
      <c r="B43" s="30" t="s">
        <v>122</v>
      </c>
      <c r="C43" s="41">
        <v>714.85447999999997</v>
      </c>
      <c r="D43" s="19">
        <v>1172.83025</v>
      </c>
      <c r="E43" s="19" t="s">
        <v>302</v>
      </c>
      <c r="F43" s="19">
        <f>IF(714.85448="","-",714.85448/687141.54783*100)</f>
        <v>0.10403307473656885</v>
      </c>
      <c r="G43" s="19">
        <f>IF(1172.83025="","-",1172.83025/601300.25754*100)</f>
        <v>0.1950490184052483</v>
      </c>
      <c r="H43" s="19">
        <f>IF(OR(666821.53755="",524.00116="",714.85448=""),"-",(714.85448-524.00116)/666821.53755*100)</f>
        <v>2.8621349079578771E-2</v>
      </c>
      <c r="I43" s="19">
        <f>IF(OR(687141.54783="",1172.83025="",714.85448=""),"-",(1172.83025-714.85448)/687141.54783*100)</f>
        <v>6.6649407454154402E-2</v>
      </c>
      <c r="J43" s="29"/>
      <c r="K43" s="14"/>
      <c r="L43" s="14"/>
    </row>
    <row r="44" spans="1:12" s="2" customFormat="1" x14ac:dyDescent="0.25">
      <c r="A44" s="29" t="s">
        <v>205</v>
      </c>
      <c r="B44" s="30" t="s">
        <v>123</v>
      </c>
      <c r="C44" s="41">
        <v>8051.8749200000002</v>
      </c>
      <c r="D44" s="19">
        <v>8292.1043900000004</v>
      </c>
      <c r="E44" s="19">
        <f>IF(OR(8051.87492="",8292.10439=""),"-",8292.10439/8051.87492*100)</f>
        <v>102.98352212853301</v>
      </c>
      <c r="F44" s="19">
        <f>IF(8051.87492="","-",8051.87492/687141.54783*100)</f>
        <v>1.1717927616846779</v>
      </c>
      <c r="G44" s="19">
        <f>IF(8292.10439="","-",8292.10439/601300.25754*100)</f>
        <v>1.3790289104355469</v>
      </c>
      <c r="H44" s="19">
        <f>IF(OR(666821.53755="",15949.94942="",8051.87492=""),"-",(8051.87492-15949.94942)/666821.53755*100)</f>
        <v>-1.1844360230202946</v>
      </c>
      <c r="I44" s="19">
        <f>IF(OR(687141.54783="",8292.10439="",8051.87492=""),"-",(8292.10439-8051.87492)/687141.54783*100)</f>
        <v>3.496069634541054E-2</v>
      </c>
      <c r="J44" s="29"/>
      <c r="K44" s="14"/>
      <c r="L44" s="14"/>
    </row>
    <row r="45" spans="1:12" s="2" customFormat="1" ht="24" x14ac:dyDescent="0.25">
      <c r="A45" s="29" t="s">
        <v>206</v>
      </c>
      <c r="B45" s="30" t="s">
        <v>124</v>
      </c>
      <c r="C45" s="41">
        <v>3405.2898300000002</v>
      </c>
      <c r="D45" s="19">
        <v>1702.9447700000001</v>
      </c>
      <c r="E45" s="19">
        <f>IF(OR(3405.28983="",1702.94477=""),"-",1702.94477/3405.28983*100)</f>
        <v>50.008805564723403</v>
      </c>
      <c r="F45" s="19">
        <f>IF(3405.28983="","-",3405.28983/687141.54783*100)</f>
        <v>0.49557326881978536</v>
      </c>
      <c r="G45" s="19">
        <f>IF(1702.94477="","-",1702.94477/601300.25754*100)</f>
        <v>0.2832103842707428</v>
      </c>
      <c r="H45" s="19">
        <f>IF(OR(666821.53755="",2382.16033="",3405.28983=""),"-",(3405.28983-2382.16033)/666821.53755*100)</f>
        <v>0.15343378136212091</v>
      </c>
      <c r="I45" s="19">
        <f>IF(OR(687141.54783="",1702.94477="",3405.28983=""),"-",(1702.94477-3405.28983)/687141.54783*100)</f>
        <v>-0.24774299638495489</v>
      </c>
      <c r="J45" s="29"/>
      <c r="K45" s="14"/>
      <c r="L45" s="14"/>
    </row>
    <row r="46" spans="1:12" x14ac:dyDescent="0.25">
      <c r="A46" s="29" t="s">
        <v>207</v>
      </c>
      <c r="B46" s="30" t="s">
        <v>125</v>
      </c>
      <c r="C46" s="41">
        <v>265.37205999999998</v>
      </c>
      <c r="D46" s="19">
        <v>173.00704999999999</v>
      </c>
      <c r="E46" s="19">
        <f>IF(OR(265.37206="",173.00705=""),"-",173.00705/265.37206*100)</f>
        <v>65.194146663367661</v>
      </c>
      <c r="F46" s="19">
        <f>IF(265.37206="","-",265.37206/687141.54783*100)</f>
        <v>3.8619708099160592E-2</v>
      </c>
      <c r="G46" s="19">
        <f>IF(173.00705="","-",173.00705/601300.25754*100)</f>
        <v>2.8772156311356833E-2</v>
      </c>
      <c r="H46" s="19">
        <f>IF(OR(666821.53755="",50.34406="",265.37206=""),"-",(265.37206-50.34406)/666821.53755*100)</f>
        <v>3.2246708885565446E-2</v>
      </c>
      <c r="I46" s="19">
        <f>IF(OR(687141.54783="",173.00705="",265.37206=""),"-",(173.00705-265.37206)/687141.54783*100)</f>
        <v>-1.344191896002936E-2</v>
      </c>
      <c r="J46" s="29"/>
    </row>
    <row r="47" spans="1:12" x14ac:dyDescent="0.25">
      <c r="A47" s="29" t="s">
        <v>208</v>
      </c>
      <c r="B47" s="30" t="s">
        <v>20</v>
      </c>
      <c r="C47" s="41">
        <v>1831.2492199999999</v>
      </c>
      <c r="D47" s="19">
        <v>358.43466000000001</v>
      </c>
      <c r="E47" s="19">
        <f>IF(OR(1831.24922="",358.43466=""),"-",358.43466/1831.24922*100)</f>
        <v>19.573232091260635</v>
      </c>
      <c r="F47" s="19">
        <f>IF(1831.24922="","-",1831.24922/687141.54783*100)</f>
        <v>0.26650247329434573</v>
      </c>
      <c r="G47" s="19">
        <f>IF(358.43466="","-",358.43466/601300.25754*100)</f>
        <v>5.9609929566038146E-2</v>
      </c>
      <c r="H47" s="19">
        <f>IF(OR(666821.53755="",434.979="",1831.24922=""),"-",(1831.24922-434.979)/666821.53755*100)</f>
        <v>0.20939188993956331</v>
      </c>
      <c r="I47" s="19">
        <f>IF(OR(687141.54783="",358.43466="",1831.24922=""),"-",(358.43466-1831.24922)/687141.54783*100)</f>
        <v>-0.21433932566749356</v>
      </c>
      <c r="J47" s="29"/>
    </row>
    <row r="48" spans="1:12" x14ac:dyDescent="0.25">
      <c r="A48" s="29" t="s">
        <v>209</v>
      </c>
      <c r="B48" s="30" t="s">
        <v>21</v>
      </c>
      <c r="C48" s="41">
        <v>1254.6289899999999</v>
      </c>
      <c r="D48" s="19">
        <v>498.35969999999998</v>
      </c>
      <c r="E48" s="19">
        <f>IF(OR(1254.62899="",498.3597=""),"-",498.3597/1254.62899*100)</f>
        <v>39.721678996115017</v>
      </c>
      <c r="F48" s="19">
        <f>IF(1254.62899="","-",1254.62899/687141.54783*100)</f>
        <v>0.18258668740991299</v>
      </c>
      <c r="G48" s="19">
        <f>IF(498.3597="","-",498.3597/601300.25754*100)</f>
        <v>8.2880340354227741E-2</v>
      </c>
      <c r="H48" s="19">
        <f>IF(OR(666821.53755="",897.22286="",1254.62899=""),"-",(1254.62899-897.22286)/666821.53755*100)</f>
        <v>5.359846823681827E-2</v>
      </c>
      <c r="I48" s="19">
        <f>IF(OR(687141.54783="",498.3597="",1254.62899=""),"-",(498.3597-1254.62899)/687141.54783*100)</f>
        <v>-0.11006018954730741</v>
      </c>
      <c r="J48" s="29"/>
    </row>
    <row r="49" spans="1:10" x14ac:dyDescent="0.25">
      <c r="A49" s="29" t="s">
        <v>210</v>
      </c>
      <c r="B49" s="30" t="s">
        <v>126</v>
      </c>
      <c r="C49" s="41">
        <v>1014.94654</v>
      </c>
      <c r="D49" s="19">
        <v>1058.0006800000001</v>
      </c>
      <c r="E49" s="19">
        <f>IF(OR(1014.94654="",1058.00068=""),"-",1058.00068/1014.94654*100)</f>
        <v>104.24201061860856</v>
      </c>
      <c r="F49" s="19">
        <f>IF(1014.94654="","-",1014.94654/687141.54783*100)</f>
        <v>0.14770559911639916</v>
      </c>
      <c r="G49" s="19">
        <f>IF(1058.00068="","-",1058.00068/601300.25754*100)</f>
        <v>0.17595214150222099</v>
      </c>
      <c r="H49" s="19">
        <f>IF(OR(666821.53755="",662.38633="",1014.94654=""),"-",(1014.94654-662.38633)/666821.53755*100)</f>
        <v>5.2871749058279946E-2</v>
      </c>
      <c r="I49" s="19">
        <f>IF(OR(687141.54783="",1058.00068="",1014.94654=""),"-",(1058.00068-1014.94654)/687141.54783*100)</f>
        <v>6.265687198797029E-3</v>
      </c>
      <c r="J49" s="29"/>
    </row>
    <row r="50" spans="1:10" ht="24" x14ac:dyDescent="0.25">
      <c r="A50" s="27" t="s">
        <v>211</v>
      </c>
      <c r="B50" s="28" t="s">
        <v>289</v>
      </c>
      <c r="C50" s="42">
        <v>48402.996090000001</v>
      </c>
      <c r="D50" s="18">
        <v>39228.102890000002</v>
      </c>
      <c r="E50" s="18">
        <f>IF(48402.99609="","-",39228.10289/48402.99609*100)</f>
        <v>81.044782469786995</v>
      </c>
      <c r="F50" s="18">
        <f>IF(48402.99609="","-",48402.99609/687141.54783*100)</f>
        <v>7.0441084872334025</v>
      </c>
      <c r="G50" s="18">
        <f>IF(39228.10289="","-",39228.10289/601300.25754*100)</f>
        <v>6.5238792763015656</v>
      </c>
      <c r="H50" s="18">
        <f>IF(666821.53755="","-",(48402.99609-45809.41641)/666821.53755*100)</f>
        <v>0.38894659724537306</v>
      </c>
      <c r="I50" s="18">
        <f>IF(687141.54783="","-",(39228.10289-48402.99609)/687141.54783*100)</f>
        <v>-1.3352260868192882</v>
      </c>
      <c r="J50" s="27"/>
    </row>
    <row r="51" spans="1:10" x14ac:dyDescent="0.25">
      <c r="A51" s="29" t="s">
        <v>212</v>
      </c>
      <c r="B51" s="30" t="s">
        <v>127</v>
      </c>
      <c r="C51" s="41">
        <v>179.708</v>
      </c>
      <c r="D51" s="19">
        <v>459.90204999999997</v>
      </c>
      <c r="E51" s="19" t="s">
        <v>315</v>
      </c>
      <c r="F51" s="19">
        <f>IF(179.708="","-",179.708/687141.54783*100)</f>
        <v>2.6152981225996255E-2</v>
      </c>
      <c r="G51" s="19">
        <f>IF(459.90205="","-",459.90205/601300.25754*100)</f>
        <v>7.6484592220452535E-2</v>
      </c>
      <c r="H51" s="19">
        <f>IF(OR(666821.53755="",259.7683="",179.708=""),"-",(179.708-259.7683)/666821.53755*100)</f>
        <v>-1.2006255870821641E-2</v>
      </c>
      <c r="I51" s="19">
        <f>IF(OR(687141.54783="",459.90205="",179.708=""),"-",(459.90205-179.708)/687141.54783*100)</f>
        <v>4.0776758571047789E-2</v>
      </c>
      <c r="J51" s="29"/>
    </row>
    <row r="52" spans="1:10" x14ac:dyDescent="0.25">
      <c r="A52" s="29" t="s">
        <v>213</v>
      </c>
      <c r="B52" s="30" t="s">
        <v>22</v>
      </c>
      <c r="C52" s="41">
        <v>802.97008000000005</v>
      </c>
      <c r="D52" s="19">
        <v>135.93518</v>
      </c>
      <c r="E52" s="19">
        <f>IF(OR(802.97008="",135.93518=""),"-",135.93518/802.97008*100)</f>
        <v>16.929046721143084</v>
      </c>
      <c r="F52" s="19">
        <f>IF(802.97008="","-",802.97008/687141.54783*100)</f>
        <v>0.11685657526251871</v>
      </c>
      <c r="G52" s="19">
        <f>IF(135.93518="","-",135.93518/601300.25754*100)</f>
        <v>2.2606872073550919E-2</v>
      </c>
      <c r="H52" s="19">
        <f>IF(OR(666821.53755="",76.70713="",802.97008=""),"-",(802.97008-76.70713)/666821.53755*100)</f>
        <v>0.10891414105615072</v>
      </c>
      <c r="I52" s="19">
        <f>IF(OR(687141.54783="",135.93518="",802.97008=""),"-",(135.93518-802.97008)/687141.54783*100)</f>
        <v>-9.7073871039599205E-2</v>
      </c>
      <c r="J52" s="29"/>
    </row>
    <row r="53" spans="1:10" x14ac:dyDescent="0.25">
      <c r="A53" s="29" t="s">
        <v>214</v>
      </c>
      <c r="B53" s="30" t="s">
        <v>128</v>
      </c>
      <c r="C53" s="41">
        <v>4598.0128699999996</v>
      </c>
      <c r="D53" s="19">
        <v>4208.6927100000003</v>
      </c>
      <c r="E53" s="19">
        <f>IF(OR(4598.01287="",4208.69271=""),"-",4208.69271/4598.01287*100)</f>
        <v>91.532860585490283</v>
      </c>
      <c r="F53" s="19">
        <f>IF(4598.01287="","-",4598.01287/687141.54783*100)</f>
        <v>0.66915075715048389</v>
      </c>
      <c r="G53" s="19">
        <f>IF(4208.69271="","-",4208.69271/601300.25754*100)</f>
        <v>0.69993196530770274</v>
      </c>
      <c r="H53" s="19">
        <f>IF(OR(666821.53755="",4953.8348="",4598.01287=""),"-",(4598.01287-4953.8348)/666821.53755*100)</f>
        <v>-5.3360893426949281E-2</v>
      </c>
      <c r="I53" s="19">
        <f>IF(OR(687141.54783="",4208.69271="",4598.01287=""),"-",(4208.69271-4598.01287)/687141.54783*100)</f>
        <v>-5.6657927501178811E-2</v>
      </c>
      <c r="J53" s="29"/>
    </row>
    <row r="54" spans="1:10" ht="24" x14ac:dyDescent="0.25">
      <c r="A54" s="29" t="s">
        <v>215</v>
      </c>
      <c r="B54" s="30" t="s">
        <v>129</v>
      </c>
      <c r="C54" s="41">
        <v>3182.8265799999999</v>
      </c>
      <c r="D54" s="19">
        <v>3546.8047200000001</v>
      </c>
      <c r="E54" s="19">
        <f>IF(OR(3182.82658="",3546.80472=""),"-",3546.80472/3182.82658*100)</f>
        <v>111.43568871414917</v>
      </c>
      <c r="F54" s="19">
        <f>IF(3182.82658="","-",3182.82658/687141.54783*100)</f>
        <v>0.46319809798307182</v>
      </c>
      <c r="G54" s="19">
        <f>IF(3546.80472="","-",3546.80472/601300.25754*100)</f>
        <v>0.58985584581494344</v>
      </c>
      <c r="H54" s="19">
        <f>IF(OR(666821.53755="",2763.08112="",3182.82658=""),"-",(3182.82658-2763.08112)/666821.53755*100)</f>
        <v>6.2947195968235573E-2</v>
      </c>
      <c r="I54" s="19">
        <f>IF(OR(687141.54783="",3546.80472="",3182.82658=""),"-",(3546.80472-3182.82658)/687141.54783*100)</f>
        <v>5.2969892615203788E-2</v>
      </c>
      <c r="J54" s="29"/>
    </row>
    <row r="55" spans="1:10" ht="24" x14ac:dyDescent="0.25">
      <c r="A55" s="29" t="s">
        <v>216</v>
      </c>
      <c r="B55" s="30" t="s">
        <v>130</v>
      </c>
      <c r="C55" s="41">
        <v>12785.48443</v>
      </c>
      <c r="D55" s="19">
        <v>11807.34312</v>
      </c>
      <c r="E55" s="19">
        <f>IF(OR(12785.48443="",11807.34312=""),"-",11807.34312/12785.48443*100)</f>
        <v>92.349595235477508</v>
      </c>
      <c r="F55" s="19">
        <f>IF(12785.48443="","-",12785.48443/687141.54783*100)</f>
        <v>1.8606769551887363</v>
      </c>
      <c r="G55" s="19">
        <f>IF(11807.34312="","-",11807.34312/601300.25754*100)</f>
        <v>1.9636351343512513</v>
      </c>
      <c r="H55" s="19">
        <f>IF(OR(666821.53755="",15857.23994="",12785.48443=""),"-",(12785.48443-15857.23994)/666821.53755*100)</f>
        <v>-0.46065631312480976</v>
      </c>
      <c r="I55" s="19">
        <f>IF(OR(687141.54783="",11807.34312="",12785.48443=""),"-",(11807.34312-12785.48443)/687141.54783*100)</f>
        <v>-0.14234931843213106</v>
      </c>
      <c r="J55" s="29"/>
    </row>
    <row r="56" spans="1:10" x14ac:dyDescent="0.25">
      <c r="A56" s="29" t="s">
        <v>217</v>
      </c>
      <c r="B56" s="30" t="s">
        <v>23</v>
      </c>
      <c r="C56" s="41">
        <v>19890.115740000001</v>
      </c>
      <c r="D56" s="19">
        <v>11754.11564</v>
      </c>
      <c r="E56" s="19">
        <f>IF(OR(19890.11574="",11754.11564=""),"-",11754.11564/19890.11574*100)</f>
        <v>59.09526014653548</v>
      </c>
      <c r="F56" s="19">
        <f>IF(19890.11574="","-",19890.11574/687141.54783*100)</f>
        <v>2.8946169537867688</v>
      </c>
      <c r="G56" s="19">
        <f>IF(11754.11564="","-",11754.11564/601300.25754*100)</f>
        <v>1.9547830709548777</v>
      </c>
      <c r="H56" s="19">
        <f>IF(OR(666821.53755="",12778.60769="",19890.11574=""),"-",(19890.11574-12778.60769)/666821.53755*100)</f>
        <v>1.0664784578087747</v>
      </c>
      <c r="I56" s="19">
        <f>IF(OR(687141.54783="",11754.11564="",19890.11574=""),"-",(11754.11564-19890.11574)/687141.54783*100)</f>
        <v>-1.1840355347007572</v>
      </c>
      <c r="J56" s="29"/>
    </row>
    <row r="57" spans="1:10" x14ac:dyDescent="0.25">
      <c r="A57" s="29" t="s">
        <v>218</v>
      </c>
      <c r="B57" s="30" t="s">
        <v>131</v>
      </c>
      <c r="C57" s="41">
        <v>1511.17731</v>
      </c>
      <c r="D57" s="19">
        <v>2288.4505300000001</v>
      </c>
      <c r="E57" s="19">
        <f>IF(OR(1511.17731="",2288.45053=""),"-",2288.45053/1511.17731*100)</f>
        <v>151.43494511573894</v>
      </c>
      <c r="F57" s="19">
        <f>IF(1511.17731="","-",1511.17731/687141.54783*100)</f>
        <v>0.21992227289592856</v>
      </c>
      <c r="G57" s="19">
        <f>IF(2288.45053="","-",2288.45053/601300.25754*100)</f>
        <v>0.38058366037665742</v>
      </c>
      <c r="H57" s="19">
        <f>IF(OR(666821.53755="",2225.63901="",1511.17731=""),"-",(1511.17731-2225.63901)/666821.53755*100)</f>
        <v>-0.10714436468639522</v>
      </c>
      <c r="I57" s="19">
        <f>IF(OR(687141.54783="",2288.45053="",1511.17731=""),"-",(2288.45053-1511.17731)/687141.54783*100)</f>
        <v>0.11311690036130645</v>
      </c>
      <c r="J57" s="29"/>
    </row>
    <row r="58" spans="1:10" x14ac:dyDescent="0.25">
      <c r="A58" s="29" t="s">
        <v>219</v>
      </c>
      <c r="B58" s="30" t="s">
        <v>24</v>
      </c>
      <c r="C58" s="41">
        <v>216.84759</v>
      </c>
      <c r="D58" s="19">
        <v>318.70443999999998</v>
      </c>
      <c r="E58" s="19">
        <f>IF(OR(216.84759="",318.70444=""),"-",318.70444/216.84759*100)</f>
        <v>146.97163108891365</v>
      </c>
      <c r="F58" s="19">
        <f>IF(216.84759="","-",216.84759/687141.54783*100)</f>
        <v>3.1557921462442039E-2</v>
      </c>
      <c r="G58" s="19">
        <f>IF(318.70444="","-",318.70444/601300.25754*100)</f>
        <v>5.3002545068559025E-2</v>
      </c>
      <c r="H58" s="19">
        <f>IF(OR(666821.53755="",639.16895="",216.84759=""),"-",(216.84759-639.16895)/666821.53755*100)</f>
        <v>-6.3333491229403086E-2</v>
      </c>
      <c r="I58" s="19">
        <f>IF(OR(687141.54783="",318.70444="",216.84759=""),"-",(318.70444-216.84759)/687141.54783*100)</f>
        <v>1.4823270448667374E-2</v>
      </c>
      <c r="J58" s="29"/>
    </row>
    <row r="59" spans="1:10" x14ac:dyDescent="0.25">
      <c r="A59" s="29" t="s">
        <v>220</v>
      </c>
      <c r="B59" s="30" t="s">
        <v>25</v>
      </c>
      <c r="C59" s="41">
        <v>5235.8534900000004</v>
      </c>
      <c r="D59" s="19">
        <v>4708.1544999999996</v>
      </c>
      <c r="E59" s="19">
        <f>IF(OR(5235.85349="",4708.1545=""),"-",4708.1545/5235.85349*100)</f>
        <v>89.921433229408393</v>
      </c>
      <c r="F59" s="19">
        <f>IF(5235.85349="","-",5235.85349/687141.54783*100)</f>
        <v>0.76197597227745562</v>
      </c>
      <c r="G59" s="19">
        <f>IF(4708.1545="","-",4708.1545/601300.25754*100)</f>
        <v>0.78299559013357001</v>
      </c>
      <c r="H59" s="19">
        <f>IF(OR(666821.53755="",6255.36947="",5235.85349=""),"-",(5235.85349-6255.36947)/666821.53755*100)</f>
        <v>-0.15289187924940911</v>
      </c>
      <c r="I59" s="19">
        <f>IF(OR(687141.54783="",4708.1545="",5235.85349=""),"-",(4708.1545-5235.85349)/687141.54783*100)</f>
        <v>-7.6796257141847929E-2</v>
      </c>
      <c r="J59" s="29"/>
    </row>
    <row r="60" spans="1:10" x14ac:dyDescent="0.25">
      <c r="A60" s="27" t="s">
        <v>221</v>
      </c>
      <c r="B60" s="28" t="s">
        <v>132</v>
      </c>
      <c r="C60" s="42">
        <v>132853.57227</v>
      </c>
      <c r="D60" s="18">
        <v>121625.4754</v>
      </c>
      <c r="E60" s="18">
        <f>IF(132853.57227="","-",121625.4754/132853.57227*100)</f>
        <v>91.548517154524831</v>
      </c>
      <c r="F60" s="18">
        <f>IF(132853.57227="","-",132853.57227/687141.54783*100)</f>
        <v>19.334236546975355</v>
      </c>
      <c r="G60" s="18">
        <f>IF(121625.4754="","-",121625.4754/601300.25754*100)</f>
        <v>20.227078547677017</v>
      </c>
      <c r="H60" s="18">
        <f>IF(666821.53755="","-",(132853.57227-111195.99905)/666821.53755*100)</f>
        <v>3.247881479589442</v>
      </c>
      <c r="I60" s="18">
        <f>IF(687141.54783="","-",(121625.4754-132853.57227)/687141.54783*100)</f>
        <v>-1.634029685071213</v>
      </c>
      <c r="J60" s="27"/>
    </row>
    <row r="61" spans="1:10" x14ac:dyDescent="0.25">
      <c r="A61" s="29" t="s">
        <v>222</v>
      </c>
      <c r="B61" s="30" t="s">
        <v>133</v>
      </c>
      <c r="C61" s="41">
        <v>1097.4267400000001</v>
      </c>
      <c r="D61" s="19">
        <v>525.96374000000003</v>
      </c>
      <c r="E61" s="19">
        <f>IF(OR(1097.42674="",525.96374=""),"-",525.96374/1097.42674*100)</f>
        <v>47.927002398355995</v>
      </c>
      <c r="F61" s="19">
        <f>IF(1097.42674="","-",1097.42674/687141.54783*100)</f>
        <v>0.15970897749753085</v>
      </c>
      <c r="G61" s="19">
        <f>IF(525.96374="","-",525.96374/601300.25754*100)</f>
        <v>8.7471065146685317E-2</v>
      </c>
      <c r="H61" s="19">
        <f>IF(OR(666821.53755="",371.44254="",1097.42674=""),"-",(1097.42674-371.44254)/666821.53755*100)</f>
        <v>0.10887233826720301</v>
      </c>
      <c r="I61" s="19">
        <f>IF(OR(687141.54783="",525.96374="",1097.42674=""),"-",(525.96374-1097.42674)/687141.54783*100)</f>
        <v>-8.3165252021899422E-2</v>
      </c>
      <c r="J61" s="29"/>
    </row>
    <row r="62" spans="1:10" x14ac:dyDescent="0.25">
      <c r="A62" s="29" t="s">
        <v>223</v>
      </c>
      <c r="B62" s="30" t="s">
        <v>134</v>
      </c>
      <c r="C62" s="41">
        <v>4227.2026900000001</v>
      </c>
      <c r="D62" s="19">
        <v>6151.3582699999997</v>
      </c>
      <c r="E62" s="19">
        <f>IF(OR(4227.20269="",6151.35827=""),"-",6151.35827/4227.20269*100)</f>
        <v>145.51841302882971</v>
      </c>
      <c r="F62" s="19">
        <f>IF(4227.20269="","-",4227.20269/687141.54783*100)</f>
        <v>0.61518659486528626</v>
      </c>
      <c r="G62" s="19">
        <f>IF(6151.35827="","-",6151.35827/601300.25754*100)</f>
        <v>1.0230094188161554</v>
      </c>
      <c r="H62" s="19">
        <f>IF(OR(666821.53755="",1496.24305="",4227.20269=""),"-",(4227.20269-1496.24305)/666821.53755*100)</f>
        <v>0.4095488052221507</v>
      </c>
      <c r="I62" s="19">
        <f>IF(OR(687141.54783="",6151.35827="",4227.20269=""),"-",(6151.35827-4227.20269)/687141.54783*100)</f>
        <v>0.28002317514877428</v>
      </c>
      <c r="J62" s="29"/>
    </row>
    <row r="63" spans="1:10" x14ac:dyDescent="0.25">
      <c r="A63" s="29" t="s">
        <v>224</v>
      </c>
      <c r="B63" s="30" t="s">
        <v>135</v>
      </c>
      <c r="C63" s="41">
        <v>896.58681000000001</v>
      </c>
      <c r="D63" s="19">
        <v>853.25126999999998</v>
      </c>
      <c r="E63" s="19">
        <f>IF(OR(896.58681="",853.25127=""),"-",853.25127/896.58681*100)</f>
        <v>95.166609689473347</v>
      </c>
      <c r="F63" s="19">
        <f>IF(896.58681="","-",896.58681/687141.54783*100)</f>
        <v>0.13048065756341326</v>
      </c>
      <c r="G63" s="19">
        <f>IF(853.25127="","-",853.25127/601300.25754*100)</f>
        <v>0.14190103185565983</v>
      </c>
      <c r="H63" s="19">
        <f>IF(OR(666821.53755="",433.34568="",896.58681=""),"-",(896.58681-433.34568)/666821.53755*100)</f>
        <v>6.9470031172360711E-2</v>
      </c>
      <c r="I63" s="19">
        <f>IF(OR(687141.54783="",853.25127="",896.58681=""),"-",(853.25127-896.58681)/687141.54783*100)</f>
        <v>-6.306639459781483E-3</v>
      </c>
      <c r="J63" s="29"/>
    </row>
    <row r="64" spans="1:10" ht="24" x14ac:dyDescent="0.25">
      <c r="A64" s="29" t="s">
        <v>225</v>
      </c>
      <c r="B64" s="30" t="s">
        <v>136</v>
      </c>
      <c r="C64" s="41">
        <v>5714.6018899999999</v>
      </c>
      <c r="D64" s="19">
        <v>5269.0062500000004</v>
      </c>
      <c r="E64" s="19">
        <f>IF(OR(5714.60189="",5269.00625=""),"-",5269.00625/5714.60189*100)</f>
        <v>92.202507741094806</v>
      </c>
      <c r="F64" s="19">
        <f>IF(5714.60189="","-",5714.60189/687141.54783*100)</f>
        <v>0.83164842935880834</v>
      </c>
      <c r="G64" s="19">
        <f>IF(5269.00625="","-",5269.00625/601300.25754*100)</f>
        <v>0.87626874991808767</v>
      </c>
      <c r="H64" s="19">
        <f>IF(OR(666821.53755="",2996.64424="",5714.60189=""),"-",(5714.60189-2996.64424)/666821.53755*100)</f>
        <v>0.40759895968360205</v>
      </c>
      <c r="I64" s="19">
        <f>IF(OR(687141.54783="",5269.00625="",5714.60189=""),"-",(5269.00625-5714.60189)/687141.54783*100)</f>
        <v>-6.4847721900559666E-2</v>
      </c>
      <c r="J64" s="29"/>
    </row>
    <row r="65" spans="1:12" ht="24" x14ac:dyDescent="0.25">
      <c r="A65" s="29" t="s">
        <v>226</v>
      </c>
      <c r="B65" s="30" t="s">
        <v>137</v>
      </c>
      <c r="C65" s="41">
        <v>3159.9316399999998</v>
      </c>
      <c r="D65" s="19">
        <v>2872.5577800000001</v>
      </c>
      <c r="E65" s="19">
        <f>IF(OR(3159.93164="",2872.55778=""),"-",2872.55778/3159.93164*100)</f>
        <v>90.905693770008284</v>
      </c>
      <c r="F65" s="19">
        <f>IF(3159.93164="","-",3159.93164/687141.54783*100)</f>
        <v>0.45986618768419629</v>
      </c>
      <c r="G65" s="19">
        <f>IF(2872.55778="","-",2872.55778/601300.25754*100)</f>
        <v>0.47772435550784881</v>
      </c>
      <c r="H65" s="19">
        <f>IF(OR(666821.53755="",450.14197="",3159.93164=""),"-",(3159.93164-450.14197)/666821.53755*100)</f>
        <v>0.40637404723851056</v>
      </c>
      <c r="I65" s="19">
        <f>IF(OR(687141.54783="",2872.55778="",3159.93164=""),"-",(2872.55778-3159.93164)/687141.54783*100)</f>
        <v>-4.1821639356189308E-2</v>
      </c>
      <c r="J65" s="29"/>
    </row>
    <row r="66" spans="1:12" ht="24" x14ac:dyDescent="0.25">
      <c r="A66" s="29" t="s">
        <v>227</v>
      </c>
      <c r="B66" s="30" t="s">
        <v>138</v>
      </c>
      <c r="C66" s="41">
        <v>432.15841</v>
      </c>
      <c r="D66" s="19">
        <v>939.90664000000004</v>
      </c>
      <c r="E66" s="19" t="s">
        <v>298</v>
      </c>
      <c r="F66" s="19">
        <f>IF(432.15841="","-",432.15841/687141.54783*100)</f>
        <v>6.2892196136991083E-2</v>
      </c>
      <c r="G66" s="19">
        <f>IF(939.90664="","-",939.90664/601300.25754*100)</f>
        <v>0.15631236278615346</v>
      </c>
      <c r="H66" s="19">
        <f>IF(OR(666821.53755="",229.23763="",432.15841=""),"-",(432.15841-229.23763)/666821.53755*100)</f>
        <v>3.043104767514869E-2</v>
      </c>
      <c r="I66" s="19">
        <f>IF(OR(687141.54783="",939.90664="",432.15841=""),"-",(939.90664-432.15841)/687141.54783*100)</f>
        <v>7.3892814603261012E-2</v>
      </c>
      <c r="J66" s="29"/>
    </row>
    <row r="67" spans="1:12" ht="36" x14ac:dyDescent="0.25">
      <c r="A67" s="29" t="s">
        <v>228</v>
      </c>
      <c r="B67" s="30" t="s">
        <v>139</v>
      </c>
      <c r="C67" s="41">
        <v>98373.648459999997</v>
      </c>
      <c r="D67" s="19">
        <v>99986.444770000002</v>
      </c>
      <c r="E67" s="19">
        <f>IF(OR(98373.64846="",99986.44477=""),"-",99986.44477/98373.64846*100)</f>
        <v>101.63945968788155</v>
      </c>
      <c r="F67" s="19">
        <f>IF(98373.64846="","-",98373.64846/687141.54783*100)</f>
        <v>14.316358655747855</v>
      </c>
      <c r="G67" s="19">
        <f>IF(99986.44477="","-",99986.44477/601300.25754*100)</f>
        <v>16.628372184482</v>
      </c>
      <c r="H67" s="19">
        <f>IF(OR(666821.53755="",91632.65301="",98373.64846=""),"-",(98373.64846-91632.65301)/666821.53755*100)</f>
        <v>1.0109144756732673</v>
      </c>
      <c r="I67" s="19">
        <f>IF(OR(687141.54783="",99986.44477="",98373.64846=""),"-",(99986.44477-98373.64846)/687141.54783*100)</f>
        <v>0.23471092893352646</v>
      </c>
      <c r="J67" s="29"/>
    </row>
    <row r="68" spans="1:12" x14ac:dyDescent="0.25">
      <c r="A68" s="29" t="s">
        <v>229</v>
      </c>
      <c r="B68" s="30" t="s">
        <v>140</v>
      </c>
      <c r="C68" s="41">
        <v>15493.60482</v>
      </c>
      <c r="D68" s="19">
        <v>4589.1478999999999</v>
      </c>
      <c r="E68" s="19">
        <f>IF(OR(15493.60482="",4589.1479=""),"-",4589.1479/15493.60482*100)</f>
        <v>29.619626635088007</v>
      </c>
      <c r="F68" s="19">
        <f>IF(15493.60482="","-",15493.60482/687141.54783*100)</f>
        <v>2.2547908606209246</v>
      </c>
      <c r="G68" s="19">
        <f>IF(4589.1479="","-",4589.1479/601300.25754*100)</f>
        <v>0.76320404697227628</v>
      </c>
      <c r="H68" s="19">
        <f>IF(OR(666821.53755="",13531.91808="",15493.60482=""),"-",(15493.60482-13531.91808)/666821.53755*100)</f>
        <v>0.29418467004043169</v>
      </c>
      <c r="I68" s="19">
        <f>IF(OR(687141.54783="",4589.1479="",15493.60482=""),"-",(4589.1479-15493.60482)/687141.54783*100)</f>
        <v>-1.586930226302919</v>
      </c>
      <c r="J68" s="29"/>
    </row>
    <row r="69" spans="1:12" x14ac:dyDescent="0.25">
      <c r="A69" s="29" t="s">
        <v>230</v>
      </c>
      <c r="B69" s="30" t="s">
        <v>26</v>
      </c>
      <c r="C69" s="41">
        <v>3458.4108099999999</v>
      </c>
      <c r="D69" s="19">
        <v>437.83877999999999</v>
      </c>
      <c r="E69" s="19">
        <f>IF(OR(3458.41081="",437.83878=""),"-",437.83878/3458.41081*100)</f>
        <v>12.660114834651468</v>
      </c>
      <c r="F69" s="19">
        <f>IF(3458.41081="","-",3458.41081/687141.54783*100)</f>
        <v>0.50330398750034777</v>
      </c>
      <c r="G69" s="19">
        <f>IF(437.83878="","-",437.83878/601300.25754*100)</f>
        <v>7.2815332192149251E-2</v>
      </c>
      <c r="H69" s="19">
        <f>IF(OR(666821.53755="",54.37285="",3458.41081=""),"-",(3458.41081-54.37285)/666821.53755*100)</f>
        <v>0.51048710461676661</v>
      </c>
      <c r="I69" s="19">
        <f>IF(OR(687141.54783="",437.83878="",3458.41081=""),"-",(437.83878-3458.41081)/687141.54783*100)</f>
        <v>-0.43958512471542388</v>
      </c>
      <c r="J69" s="29"/>
    </row>
    <row r="70" spans="1:12" x14ac:dyDescent="0.25">
      <c r="A70" s="27" t="s">
        <v>231</v>
      </c>
      <c r="B70" s="28" t="s">
        <v>27</v>
      </c>
      <c r="C70" s="42">
        <v>98943.849440000005</v>
      </c>
      <c r="D70" s="18">
        <v>88966.853130000003</v>
      </c>
      <c r="E70" s="18">
        <f>IF(98943.84944="","-",88966.85313/98943.84944*100)</f>
        <v>89.916506820315206</v>
      </c>
      <c r="F70" s="18">
        <f>IF(98943.84944="","-",98943.84944/687141.54783*100)</f>
        <v>14.399340245465536</v>
      </c>
      <c r="G70" s="18">
        <f>IF(88966.85313="","-",88966.85313/601300.25754*100)</f>
        <v>14.795745056550505</v>
      </c>
      <c r="H70" s="18">
        <f>IF(666821.53755="","-",(98943.84944-95568.84607)/666821.53755*100)</f>
        <v>0.50613292761962403</v>
      </c>
      <c r="I70" s="18">
        <f>IF(687141.54783="","-",(88966.85313-98943.84944)/687141.54783*100)</f>
        <v>-1.4519564915711265</v>
      </c>
      <c r="J70" s="27"/>
    </row>
    <row r="71" spans="1:12" ht="24" x14ac:dyDescent="0.25">
      <c r="A71" s="29" t="s">
        <v>232</v>
      </c>
      <c r="B71" s="30" t="s">
        <v>166</v>
      </c>
      <c r="C71" s="41">
        <v>2510.4252999999999</v>
      </c>
      <c r="D71" s="19">
        <v>1890.9155699999999</v>
      </c>
      <c r="E71" s="19">
        <f>IF(OR(2510.4253="",1890.91557=""),"-",1890.91557/2510.4253*100)</f>
        <v>75.322518857661294</v>
      </c>
      <c r="F71" s="19">
        <f>IF(2510.4253="","-",2510.4253/687141.54783*100)</f>
        <v>0.36534325539300433</v>
      </c>
      <c r="G71" s="19">
        <f>IF(1890.91557="","-",1890.91557/601300.25754*100)</f>
        <v>0.31447110595561512</v>
      </c>
      <c r="H71" s="19">
        <f>IF(OR(666821.53755="",2253.9549="",2510.4253=""),"-",(2510.4253-2253.9549)/666821.53755*100)</f>
        <v>3.8461625121214517E-2</v>
      </c>
      <c r="I71" s="19">
        <f>IF(OR(687141.54783="",1890.91557="",2510.4253=""),"-",(1890.91557-2510.4253)/687141.54783*100)</f>
        <v>-9.0157512954414987E-2</v>
      </c>
      <c r="J71" s="29"/>
    </row>
    <row r="72" spans="1:12" x14ac:dyDescent="0.25">
      <c r="A72" s="29" t="s">
        <v>233</v>
      </c>
      <c r="B72" s="30" t="s">
        <v>141</v>
      </c>
      <c r="C72" s="41">
        <v>24778.14604</v>
      </c>
      <c r="D72" s="19">
        <v>23402.659370000001</v>
      </c>
      <c r="E72" s="19">
        <f>IF(OR(24778.14604="",23402.65937=""),"-",23402.65937/24778.14604*100)</f>
        <v>94.448791012130158</v>
      </c>
      <c r="F72" s="19">
        <f>IF(24778.14604="","-",24778.14604/687141.54783*100)</f>
        <v>3.6059740701533234</v>
      </c>
      <c r="G72" s="19">
        <f>IF(23402.65937="","-",23402.65937/601300.25754*100)</f>
        <v>3.8920088718643524</v>
      </c>
      <c r="H72" s="19">
        <f>IF(OR(666821.53755="",25518.92817="",24778.14604=""),"-",(24778.14604-25518.92817)/666821.53755*100)</f>
        <v>-0.11109151223905299</v>
      </c>
      <c r="I72" s="19">
        <f>IF(OR(687141.54783="",23402.65937="",24778.14604=""),"-",(23402.65937-24778.14604)/687141.54783*100)</f>
        <v>-0.20017515668260769</v>
      </c>
      <c r="J72" s="29"/>
    </row>
    <row r="73" spans="1:12" x14ac:dyDescent="0.25">
      <c r="A73" s="29" t="s">
        <v>234</v>
      </c>
      <c r="B73" s="30" t="s">
        <v>142</v>
      </c>
      <c r="C73" s="41">
        <v>1914.2783199999999</v>
      </c>
      <c r="D73" s="19">
        <v>998.52711999999997</v>
      </c>
      <c r="E73" s="19">
        <f>IF(OR(1914.27832="",998.52712=""),"-",998.52712/1914.27832*100)</f>
        <v>52.162065963323457</v>
      </c>
      <c r="F73" s="19">
        <f>IF(1914.27832="","-",1914.27832/687141.54783*100)</f>
        <v>0.27858573332456904</v>
      </c>
      <c r="G73" s="19">
        <f>IF(998.52712="","-",998.52712/601300.25754*100)</f>
        <v>0.16606131586989639</v>
      </c>
      <c r="H73" s="19">
        <f>IF(OR(666821.53755="",2215.22572="",1914.27832=""),"-",(1914.27832-2215.22572)/666821.53755*100)</f>
        <v>-4.5131625637906785E-2</v>
      </c>
      <c r="I73" s="19">
        <f>IF(OR(687141.54783="",998.52712="",1914.27832=""),"-",(998.52712-1914.27832)/687141.54783*100)</f>
        <v>-0.13326965934339896</v>
      </c>
      <c r="J73" s="29"/>
    </row>
    <row r="74" spans="1:12" x14ac:dyDescent="0.25">
      <c r="A74" s="29" t="s">
        <v>235</v>
      </c>
      <c r="B74" s="30" t="s">
        <v>143</v>
      </c>
      <c r="C74" s="41">
        <v>46920.945299999999</v>
      </c>
      <c r="D74" s="19">
        <v>40387.650970000002</v>
      </c>
      <c r="E74" s="19">
        <f>IF(OR(46920.9453="",40387.65097=""),"-",40387.65097/46920.9453*100)</f>
        <v>86.07595331204891</v>
      </c>
      <c r="F74" s="19">
        <f>IF(46920.9453="","-",46920.9453/687141.54783*100)</f>
        <v>6.82842500910865</v>
      </c>
      <c r="G74" s="19">
        <f>IF(40387.65097="","-",40387.65097/601300.25754*100)</f>
        <v>6.7167193866224659</v>
      </c>
      <c r="H74" s="19">
        <f>IF(OR(666821.53755="",45152.14299="",46920.9453=""),"-",(46920.9453-45152.14299)/666821.53755*100)</f>
        <v>0.26525872522036975</v>
      </c>
      <c r="I74" s="19">
        <f>IF(OR(687141.54783="",40387.65097="",46920.9453=""),"-",(40387.65097-46920.9453)/687141.54783*100)</f>
        <v>-0.95079308632001758</v>
      </c>
      <c r="J74" s="29"/>
    </row>
    <row r="75" spans="1:12" x14ac:dyDescent="0.25">
      <c r="A75" s="29" t="s">
        <v>236</v>
      </c>
      <c r="B75" s="30" t="s">
        <v>144</v>
      </c>
      <c r="C75" s="41">
        <v>5113.68091</v>
      </c>
      <c r="D75" s="19">
        <v>2303.40454</v>
      </c>
      <c r="E75" s="19">
        <f>IF(OR(5113.68091="",2303.40454=""),"-",2303.40454/5113.68091*100)</f>
        <v>45.043963057913992</v>
      </c>
      <c r="F75" s="19">
        <f>IF(5113.68091="","-",5113.68091/687141.54783*100)</f>
        <v>0.74419614505178089</v>
      </c>
      <c r="G75" s="19">
        <f>IF(2303.40454="","-",2303.40454/601300.25754*100)</f>
        <v>0.38307060592715142</v>
      </c>
      <c r="H75" s="19">
        <f>IF(OR(666821.53755="",5451.74196="",5113.68091=""),"-",(5113.68091-5451.74196)/666821.53755*100)</f>
        <v>-5.069738017792378E-2</v>
      </c>
      <c r="I75" s="19">
        <f>IF(OR(687141.54783="",2303.40454="",5113.68091=""),"-",(2303.40454-5113.68091)/687141.54783*100)</f>
        <v>-0.40898070839623674</v>
      </c>
      <c r="J75" s="29"/>
    </row>
    <row r="76" spans="1:12" ht="15.75" customHeight="1" x14ac:dyDescent="0.25">
      <c r="A76" s="29" t="s">
        <v>237</v>
      </c>
      <c r="B76" s="30" t="s">
        <v>263</v>
      </c>
      <c r="C76" s="41">
        <v>2736.5722700000001</v>
      </c>
      <c r="D76" s="19">
        <v>5621.5163599999996</v>
      </c>
      <c r="E76" s="19" t="s">
        <v>296</v>
      </c>
      <c r="F76" s="19">
        <f>IF(2736.57227="","-",2736.57227/687141.54783*100)</f>
        <v>0.39825451955890645</v>
      </c>
      <c r="G76" s="19">
        <f>IF(5621.51636="","-",5621.51636/601300.25754*100)</f>
        <v>0.93489338970157376</v>
      </c>
      <c r="H76" s="19">
        <f>IF(OR(666821.53755="",2569.07884="",2736.57227=""),"-",(2736.57227-2569.07884)/666821.53755*100)</f>
        <v>2.5118179388055668E-2</v>
      </c>
      <c r="I76" s="19">
        <f>IF(OR(687141.54783="",5621.51636="",2736.57227=""),"-",(5621.51636-2736.57227)/687141.54783*100)</f>
        <v>0.41984713325961476</v>
      </c>
      <c r="J76" s="29"/>
    </row>
    <row r="77" spans="1:12" ht="24" x14ac:dyDescent="0.25">
      <c r="A77" s="29" t="s">
        <v>238</v>
      </c>
      <c r="B77" s="30" t="s">
        <v>145</v>
      </c>
      <c r="C77" s="41">
        <v>979.87296000000003</v>
      </c>
      <c r="D77" s="19">
        <v>432.83064000000002</v>
      </c>
      <c r="E77" s="19">
        <f>IF(OR(979.87296="",432.83064=""),"-",432.83064/979.87296*100)</f>
        <v>44.172117985580499</v>
      </c>
      <c r="F77" s="19">
        <f>IF(979.87296="","-",979.87296/687141.54783*100)</f>
        <v>0.14260132618882509</v>
      </c>
      <c r="G77" s="19">
        <f>IF(432.83064="","-",432.83064/601300.25754*100)</f>
        <v>7.1982447133944069E-2</v>
      </c>
      <c r="H77" s="19">
        <f>IF(OR(666821.53755="",494.16416="",979.87296=""),"-",(979.87296-494.16416)/666821.53755*100)</f>
        <v>7.2839398946915448E-2</v>
      </c>
      <c r="I77" s="19">
        <f>IF(OR(687141.54783="",432.83064="",979.87296=""),"-",(432.83064-979.87296)/687141.54783*100)</f>
        <v>-7.9611300135694771E-2</v>
      </c>
      <c r="J77" s="29"/>
    </row>
    <row r="78" spans="1:12" x14ac:dyDescent="0.25">
      <c r="A78" s="29" t="s">
        <v>239</v>
      </c>
      <c r="B78" s="30" t="s">
        <v>28</v>
      </c>
      <c r="C78" s="41">
        <v>13989.92834</v>
      </c>
      <c r="D78" s="19">
        <v>13929.34856</v>
      </c>
      <c r="E78" s="19">
        <f>IF(OR(13989.92834="",13929.34856=""),"-",13929.34856/13989.92834*100)</f>
        <v>99.566975766224687</v>
      </c>
      <c r="F78" s="19">
        <f>IF(13989.92834="","-",13989.92834/687141.54783*100)</f>
        <v>2.0359601866864745</v>
      </c>
      <c r="G78" s="19">
        <f>IF(13929.34856="","-",13929.34856/601300.25754*100)</f>
        <v>2.3165379334755039</v>
      </c>
      <c r="H78" s="19">
        <f>IF(OR(666821.53755="",11913.60933="",13989.92834=""),"-",(13989.92834-11913.60933)/666821.53755*100)</f>
        <v>0.31137551699795135</v>
      </c>
      <c r="I78" s="19">
        <f>IF(OR(687141.54783="",13929.34856="",13989.92834=""),"-",(13929.34856-13989.92834)/687141.54783*100)</f>
        <v>-8.816200998369491E-3</v>
      </c>
      <c r="J78" s="29"/>
    </row>
    <row r="79" spans="1:12" x14ac:dyDescent="0.25">
      <c r="A79" s="32" t="s">
        <v>242</v>
      </c>
      <c r="B79" s="33" t="s">
        <v>146</v>
      </c>
      <c r="C79" s="74">
        <v>2901.8986199999999</v>
      </c>
      <c r="D79" s="36">
        <v>234.86984000000001</v>
      </c>
      <c r="E79" s="36">
        <f>IF(2901.89862="","-",234.86984/2901.89862*100)</f>
        <v>8.0936611079817808</v>
      </c>
      <c r="F79" s="36">
        <f>IF(2901.89862="","-",2901.89862/687141.54783*100)</f>
        <v>0.42231453317940465</v>
      </c>
      <c r="G79" s="36">
        <f>IF(234.86984="","-",234.86984/601300.25754*100)</f>
        <v>3.9060325861306637E-2</v>
      </c>
      <c r="H79" s="36">
        <f>IF(666821.53755="","-",(2901.89862-53.146)/666821.53755*100)</f>
        <v>0.42721364856731148</v>
      </c>
      <c r="I79" s="36">
        <f>IF(687141.54783="","-",(234.86984-2901.89862)/687141.54783*100)</f>
        <v>-0.38813382605410834</v>
      </c>
      <c r="J79" s="29"/>
    </row>
    <row r="80" spans="1:12" s="17" customFormat="1" ht="11.25" x14ac:dyDescent="0.2">
      <c r="A80" s="8" t="s">
        <v>245</v>
      </c>
      <c r="B80" s="9"/>
      <c r="C80" s="9"/>
      <c r="D80" s="26"/>
      <c r="E80" s="26"/>
      <c r="F80" s="26"/>
      <c r="G80" s="26"/>
      <c r="H80" s="26"/>
      <c r="I80" s="26"/>
      <c r="J80" s="26"/>
      <c r="K80" s="26"/>
      <c r="L80" s="26"/>
    </row>
    <row r="81" spans="1:12" s="17" customFormat="1" ht="11.25" x14ac:dyDescent="0.2">
      <c r="A81" s="9" t="s">
        <v>271</v>
      </c>
      <c r="B81" s="9"/>
      <c r="C81" s="9"/>
      <c r="D81" s="26"/>
      <c r="E81" s="26"/>
      <c r="F81" s="26"/>
      <c r="G81" s="26"/>
      <c r="H81" s="26"/>
      <c r="I81" s="26"/>
      <c r="J81" s="26"/>
      <c r="K81" s="26"/>
      <c r="L81" s="26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82"/>
  <sheetViews>
    <sheetView zoomScaleNormal="100" workbookViewId="0">
      <selection activeCell="B1" sqref="B1:I1"/>
    </sheetView>
  </sheetViews>
  <sheetFormatPr defaultRowHeight="15.75" x14ac:dyDescent="0.25"/>
  <cols>
    <col min="1" max="1" width="7.125" style="21" customWidth="1"/>
    <col min="2" max="2" width="41.625" style="21" customWidth="1"/>
    <col min="3" max="4" width="13.375" style="21" customWidth="1"/>
    <col min="5" max="5" width="11.375" style="21" customWidth="1"/>
    <col min="6" max="7" width="9.5" style="21" customWidth="1"/>
    <col min="8" max="8" width="10.875" style="21" customWidth="1"/>
    <col min="9" max="9" width="10.75" style="21" customWidth="1"/>
  </cols>
  <sheetData>
    <row r="1" spans="1:12" s="24" customFormat="1" ht="12.75" x14ac:dyDescent="0.2">
      <c r="A1" s="23"/>
      <c r="B1" s="90" t="s">
        <v>284</v>
      </c>
      <c r="C1" s="90"/>
      <c r="D1" s="90"/>
      <c r="E1" s="90"/>
      <c r="F1" s="90"/>
      <c r="G1" s="90"/>
      <c r="H1" s="90"/>
      <c r="I1" s="90"/>
    </row>
    <row r="2" spans="1:12" s="24" customFormat="1" ht="12.75" x14ac:dyDescent="0.2">
      <c r="A2" s="23"/>
      <c r="B2" s="90" t="s">
        <v>244</v>
      </c>
      <c r="C2" s="90"/>
      <c r="D2" s="90"/>
      <c r="E2" s="90"/>
      <c r="F2" s="90"/>
      <c r="G2" s="90"/>
      <c r="H2" s="90"/>
      <c r="I2" s="90"/>
    </row>
    <row r="3" spans="1:12" x14ac:dyDescent="0.25">
      <c r="A3" s="101"/>
      <c r="B3" s="101"/>
      <c r="C3" s="101"/>
      <c r="D3" s="101"/>
      <c r="E3" s="101"/>
      <c r="F3" s="101"/>
      <c r="G3" s="101"/>
      <c r="H3" s="101"/>
      <c r="I3" s="101"/>
    </row>
    <row r="4" spans="1:12" ht="48" customHeight="1" x14ac:dyDescent="0.25">
      <c r="A4" s="98" t="s">
        <v>170</v>
      </c>
      <c r="B4" s="80"/>
      <c r="C4" s="82" t="s">
        <v>305</v>
      </c>
      <c r="D4" s="89"/>
      <c r="E4" s="87" t="s">
        <v>335</v>
      </c>
      <c r="F4" s="82" t="s">
        <v>90</v>
      </c>
      <c r="G4" s="83"/>
      <c r="H4" s="92" t="s">
        <v>283</v>
      </c>
      <c r="I4" s="100"/>
    </row>
    <row r="5" spans="1:12" ht="40.5" customHeight="1" x14ac:dyDescent="0.25">
      <c r="A5" s="99"/>
      <c r="B5" s="81"/>
      <c r="C5" s="12" t="s">
        <v>323</v>
      </c>
      <c r="D5" s="12" t="s">
        <v>324</v>
      </c>
      <c r="E5" s="88"/>
      <c r="F5" s="12" t="s">
        <v>323</v>
      </c>
      <c r="G5" s="12" t="s">
        <v>324</v>
      </c>
      <c r="H5" s="12" t="s">
        <v>328</v>
      </c>
      <c r="I5" s="11" t="s">
        <v>327</v>
      </c>
    </row>
    <row r="6" spans="1:12" s="15" customFormat="1" ht="12.75" x14ac:dyDescent="0.2">
      <c r="A6" s="73"/>
      <c r="B6" s="55" t="s">
        <v>98</v>
      </c>
      <c r="C6" s="50">
        <v>1485800.76581</v>
      </c>
      <c r="D6" s="51">
        <v>1374988.4640200001</v>
      </c>
      <c r="E6" s="51">
        <f>IF(1485800.76581="","-",1374988.46402/1485800.76581*100)</f>
        <v>92.541913805678419</v>
      </c>
      <c r="F6" s="51">
        <v>100</v>
      </c>
      <c r="G6" s="51">
        <v>100</v>
      </c>
      <c r="H6" s="51">
        <f>IF(1290763.45346="","-",(1485800.76581-1290763.45346)/1290763.45346*100)</f>
        <v>15.110228898035974</v>
      </c>
      <c r="I6" s="51">
        <f>IF(1485800.76581="","-",(1374988.46402-1485800.76581)/1485800.76581*100)</f>
        <v>-7.4580861943215808</v>
      </c>
      <c r="J6" s="20"/>
      <c r="K6" s="53"/>
      <c r="L6" s="53"/>
    </row>
    <row r="7" spans="1:12" s="15" customFormat="1" ht="12.75" x14ac:dyDescent="0.2">
      <c r="A7" s="34"/>
      <c r="B7" s="39" t="s">
        <v>290</v>
      </c>
      <c r="C7" s="42"/>
      <c r="D7" s="18"/>
      <c r="E7" s="18"/>
      <c r="F7" s="18"/>
      <c r="G7" s="18"/>
      <c r="H7" s="18"/>
      <c r="I7" s="18"/>
      <c r="J7" s="20"/>
    </row>
    <row r="8" spans="1:12" x14ac:dyDescent="0.25">
      <c r="A8" s="27" t="s">
        <v>171</v>
      </c>
      <c r="B8" s="28" t="s">
        <v>147</v>
      </c>
      <c r="C8" s="42">
        <v>159731.40452000001</v>
      </c>
      <c r="D8" s="18">
        <v>174755.13552000001</v>
      </c>
      <c r="E8" s="18">
        <f>IF(159731.40452="","-",174755.13552/159731.40452*100)</f>
        <v>109.40562129604191</v>
      </c>
      <c r="F8" s="18">
        <f>IF(159731.40452="","-",159731.40452/1485800.76581*100)</f>
        <v>10.750526463278591</v>
      </c>
      <c r="G8" s="18">
        <f>IF(174755.13552="","-",174755.13552/1374988.46402*100)</f>
        <v>12.709571032259809</v>
      </c>
      <c r="H8" s="18">
        <f>IF(1290763.45346="","-",(159731.40452-149033.98388)/1290763.45346*100)</f>
        <v>0.82876692947299224</v>
      </c>
      <c r="I8" s="18">
        <f>IF(1485800.76581="","-",(174755.13552-159731.40452)/1485800.76581*100)</f>
        <v>1.0111538064667542</v>
      </c>
    </row>
    <row r="9" spans="1:12" x14ac:dyDescent="0.25">
      <c r="A9" s="29" t="s">
        <v>172</v>
      </c>
      <c r="B9" s="30" t="s">
        <v>16</v>
      </c>
      <c r="C9" s="41">
        <v>1193.83404</v>
      </c>
      <c r="D9" s="19">
        <v>1676.46263</v>
      </c>
      <c r="E9" s="19">
        <f>IF(OR(1193.83404="",1676.46263=""),"-",1676.46263/1193.83404*100)</f>
        <v>140.42677405981823</v>
      </c>
      <c r="F9" s="19">
        <f>IF(1193.83404="","-",1193.83404/1485800.76581*100)</f>
        <v>8.034953726445071E-2</v>
      </c>
      <c r="G9" s="19">
        <f>IF(1676.46263="","-",1676.46263/1374988.46402*100)</f>
        <v>0.12192557784074724</v>
      </c>
      <c r="H9" s="19">
        <f>IF(OR(1290763.45346="",991.7361="",1193.83404=""),"-",(1193.83404-991.7361)/1290763.45346*100)</f>
        <v>1.5657240639891025E-2</v>
      </c>
      <c r="I9" s="19">
        <f>IF(OR(1485800.76581="",1676.46263="",1193.83404=""),"-",(1676.46263-1193.83404)/1485800.76581*100)</f>
        <v>3.2482725888008941E-2</v>
      </c>
    </row>
    <row r="10" spans="1:12" x14ac:dyDescent="0.25">
      <c r="A10" s="29" t="s">
        <v>173</v>
      </c>
      <c r="B10" s="30" t="s">
        <v>148</v>
      </c>
      <c r="C10" s="41">
        <v>11249.77577</v>
      </c>
      <c r="D10" s="19">
        <v>15841.057049999999</v>
      </c>
      <c r="E10" s="19">
        <f>IF(OR(11249.77577="",15841.05705=""),"-",15841.05705/11249.77577*100)</f>
        <v>140.81220260623914</v>
      </c>
      <c r="F10" s="19">
        <f>IF(11249.77577="","-",11249.77577/1485800.76581*100)</f>
        <v>0.75715237391650325</v>
      </c>
      <c r="G10" s="19">
        <f>IF(15841.05705="","-",15841.05705/1374988.46402*100)</f>
        <v>1.1520865421434969</v>
      </c>
      <c r="H10" s="19">
        <f>IF(OR(1290763.45346="",21400.89976="",11249.77577=""),"-",(11249.77577-21400.89976)/1290763.45346*100)</f>
        <v>-0.78644340005049396</v>
      </c>
      <c r="I10" s="19">
        <f>IF(OR(1485800.76581="",15841.05705="",11249.77577=""),"-",(15841.05705-11249.77577)/1485800.76581*100)</f>
        <v>0.30901056088075268</v>
      </c>
    </row>
    <row r="11" spans="1:12" s="2" customFormat="1" x14ac:dyDescent="0.25">
      <c r="A11" s="29" t="s">
        <v>174</v>
      </c>
      <c r="B11" s="30" t="s">
        <v>149</v>
      </c>
      <c r="C11" s="41">
        <v>20854.2075</v>
      </c>
      <c r="D11" s="19">
        <v>26834.527040000001</v>
      </c>
      <c r="E11" s="19">
        <f>IF(OR(20854.2075="",26834.52704=""),"-",26834.52704/20854.2075*100)</f>
        <v>128.67680078468578</v>
      </c>
      <c r="F11" s="19">
        <f>IF(20854.2075="","-",20854.2075/1485800.76581*100)</f>
        <v>1.4035668832510737</v>
      </c>
      <c r="G11" s="19">
        <f>IF(26834.52704="","-",26834.52704/1374988.46402*100)</f>
        <v>1.9516183402401022</v>
      </c>
      <c r="H11" s="19">
        <f>IF(OR(1290763.45346="",18869.40418="",20854.2075=""),"-",(20854.2075-18869.40418)/1290763.45346*100)</f>
        <v>0.1537697178115453</v>
      </c>
      <c r="I11" s="19">
        <f>IF(OR(1485800.76581="",26834.52704="",20854.2075=""),"-",(26834.52704-20854.2075)/1485800.76581*100)</f>
        <v>0.40249807898973361</v>
      </c>
    </row>
    <row r="12" spans="1:12" s="2" customFormat="1" x14ac:dyDescent="0.25">
      <c r="A12" s="29" t="s">
        <v>175</v>
      </c>
      <c r="B12" s="30" t="s">
        <v>150</v>
      </c>
      <c r="C12" s="41">
        <v>13543.47618</v>
      </c>
      <c r="D12" s="19">
        <v>16932.138340000001</v>
      </c>
      <c r="E12" s="19">
        <f>IF(OR(13543.47618="",16932.13834=""),"-",16932.13834/13543.47618*100)</f>
        <v>125.02062332419595</v>
      </c>
      <c r="F12" s="19">
        <f>IF(13543.47618="","-",13543.47618/1485800.76581*100)</f>
        <v>0.91152706955408191</v>
      </c>
      <c r="G12" s="19">
        <f>IF(16932.13834="","-",16932.13834/1374988.46402*100)</f>
        <v>1.2314385744369207</v>
      </c>
      <c r="H12" s="19">
        <f>IF(OR(1290763.45346="",12832.81946="",13543.47618=""),"-",(13543.47618-12832.81946)/1290763.45346*100)</f>
        <v>5.5057084091978584E-2</v>
      </c>
      <c r="I12" s="19">
        <f>IF(OR(1485800.76581="",16932.13834="",13543.47618=""),"-",(16932.13834-13543.47618)/1485800.76581*100)</f>
        <v>0.2280697545712084</v>
      </c>
    </row>
    <row r="13" spans="1:12" s="2" customFormat="1" x14ac:dyDescent="0.25">
      <c r="A13" s="29" t="s">
        <v>176</v>
      </c>
      <c r="B13" s="30" t="s">
        <v>151</v>
      </c>
      <c r="C13" s="41">
        <v>31880.11045</v>
      </c>
      <c r="D13" s="19">
        <v>22059.135620000001</v>
      </c>
      <c r="E13" s="19">
        <f>IF(OR(31880.11045="",22059.13562=""),"-",22059.13562/31880.11045*100)</f>
        <v>69.194037626052207</v>
      </c>
      <c r="F13" s="19">
        <f>IF(31880.11045="","-",31880.11045/1485800.76581*100)</f>
        <v>2.1456517713275116</v>
      </c>
      <c r="G13" s="19">
        <f>IF(22059.13562="","-",22059.13562/1374988.46402*100)</f>
        <v>1.6043142322450161</v>
      </c>
      <c r="H13" s="19">
        <f>IF(OR(1290763.45346="",26566.87131="",31880.11045=""),"-",(31880.11045-26566.87131)/1290763.45346*100)</f>
        <v>0.41163538723980891</v>
      </c>
      <c r="I13" s="19">
        <f>IF(OR(1485800.76581="",22059.13562="",31880.11045=""),"-",(22059.13562-31880.11045)/1485800.76581*100)</f>
        <v>-0.66098867735109768</v>
      </c>
    </row>
    <row r="14" spans="1:12" s="2" customFormat="1" x14ac:dyDescent="0.25">
      <c r="A14" s="29" t="s">
        <v>177</v>
      </c>
      <c r="B14" s="30" t="s">
        <v>152</v>
      </c>
      <c r="C14" s="41">
        <v>38439.095500000003</v>
      </c>
      <c r="D14" s="19">
        <v>44409.644780000002</v>
      </c>
      <c r="E14" s="19">
        <f>IF(OR(38439.0955="",44409.64478=""),"-",44409.64478/38439.0955*100)</f>
        <v>115.53249160090149</v>
      </c>
      <c r="F14" s="19">
        <f>IF(38439.0955="","-",38439.0955/1485800.76581*100)</f>
        <v>2.5870962234323875</v>
      </c>
      <c r="G14" s="19">
        <f>IF(44409.64478="","-",44409.64478/1374988.46402*100)</f>
        <v>3.2298194451872897</v>
      </c>
      <c r="H14" s="19">
        <f>IF(OR(1290763.45346="",34127.97841="",38439.0955=""),"-",(38439.0955-34127.97841)/1290763.45346*100)</f>
        <v>0.33399745541630327</v>
      </c>
      <c r="I14" s="19">
        <f>IF(OR(1485800.76581="",44409.64478="",38439.0955=""),"-",(44409.64478-38439.0955)/1485800.76581*100)</f>
        <v>0.40184050361187496</v>
      </c>
    </row>
    <row r="15" spans="1:12" s="2" customFormat="1" x14ac:dyDescent="0.25">
      <c r="A15" s="29" t="s">
        <v>178</v>
      </c>
      <c r="B15" s="30" t="s">
        <v>110</v>
      </c>
      <c r="C15" s="41">
        <v>6270.0979399999997</v>
      </c>
      <c r="D15" s="19">
        <v>3720.6524399999998</v>
      </c>
      <c r="E15" s="19">
        <f>IF(OR(6270.09794="",3720.65244=""),"-",3720.65244/6270.09794*100)</f>
        <v>59.339622372788646</v>
      </c>
      <c r="F15" s="19">
        <f>IF(6270.09794="","-",6270.09794/1485800.76581*100)</f>
        <v>0.42200125913798336</v>
      </c>
      <c r="G15" s="19">
        <f>IF(3720.65244="","-",3720.65244/1374988.46402*100)</f>
        <v>0.27059517496765562</v>
      </c>
      <c r="H15" s="19">
        <f>IF(OR(1290763.45346="",3305.0958="",6270.09794=""),"-",(6270.09794-3305.0958)/1290763.45346*100)</f>
        <v>0.22970917963721871</v>
      </c>
      <c r="I15" s="19">
        <f>IF(OR(1485800.76581="",3720.65244="",6270.09794=""),"-",(3720.65244-6270.09794)/1485800.76581*100)</f>
        <v>-0.17158730555709081</v>
      </c>
    </row>
    <row r="16" spans="1:12" s="2" customFormat="1" x14ac:dyDescent="0.25">
      <c r="A16" s="29" t="s">
        <v>179</v>
      </c>
      <c r="B16" s="30" t="s">
        <v>153</v>
      </c>
      <c r="C16" s="41">
        <v>11577.30587</v>
      </c>
      <c r="D16" s="19">
        <v>13306.272199999999</v>
      </c>
      <c r="E16" s="19">
        <f>IF(OR(11577.30587="",13306.2722=""),"-",13306.2722/11577.30587*100)</f>
        <v>114.93409908500584</v>
      </c>
      <c r="F16" s="19">
        <f>IF(11577.30587="","-",11577.30587/1485800.76581*100)</f>
        <v>0.77919638597631957</v>
      </c>
      <c r="G16" s="19">
        <f>IF(13306.2722="","-",13306.2722/1374988.46402*100)</f>
        <v>0.96773700639618243</v>
      </c>
      <c r="H16" s="19">
        <f>IF(OR(1290763.45346="",9228.27345="",11577.30587=""),"-",(11577.30587-9228.27345)/1290763.45346*100)</f>
        <v>0.18198783159712345</v>
      </c>
      <c r="I16" s="19">
        <f>IF(OR(1485800.76581="",13306.2722="",11577.30587=""),"-",(13306.2722-11577.30587)/1485800.76581*100)</f>
        <v>0.11636596034848823</v>
      </c>
    </row>
    <row r="17" spans="1:9" s="2" customFormat="1" x14ac:dyDescent="0.25">
      <c r="A17" s="29" t="s">
        <v>180</v>
      </c>
      <c r="B17" s="30" t="s">
        <v>111</v>
      </c>
      <c r="C17" s="41">
        <v>7501.5199700000003</v>
      </c>
      <c r="D17" s="19">
        <v>11602.183569999999</v>
      </c>
      <c r="E17" s="19">
        <f>IF(OR(7501.51997="",11602.18357=""),"-",11602.18357/7501.51997*100)</f>
        <v>154.66443622624922</v>
      </c>
      <c r="F17" s="19">
        <f>IF(7501.51997="","-",7501.51997/1485800.76581*100)</f>
        <v>0.50488061001304352</v>
      </c>
      <c r="G17" s="19">
        <f>IF(11602.18357="","-",11602.18357/1374988.46402*100)</f>
        <v>0.84380224806244186</v>
      </c>
      <c r="H17" s="19">
        <f>IF(OR(1290763.45346="",6056.34447="",7501.51997=""),"-",(7501.51997-6056.34447)/1290763.45346*100)</f>
        <v>0.1119628461842552</v>
      </c>
      <c r="I17" s="19">
        <f>IF(OR(1485800.76581="",11602.18357="",7501.51997=""),"-",(11602.18357-7501.51997)/1485800.76581*100)</f>
        <v>0.27599013907927816</v>
      </c>
    </row>
    <row r="18" spans="1:9" s="2" customFormat="1" x14ac:dyDescent="0.25">
      <c r="A18" s="29" t="s">
        <v>181</v>
      </c>
      <c r="B18" s="30" t="s">
        <v>154</v>
      </c>
      <c r="C18" s="41">
        <v>17221.981299999999</v>
      </c>
      <c r="D18" s="19">
        <v>18373.061849999998</v>
      </c>
      <c r="E18" s="19">
        <f>IF(OR(17221.9813="",18373.06185=""),"-",18373.06185/17221.9813*100)</f>
        <v>106.6837870158412</v>
      </c>
      <c r="F18" s="19">
        <f>IF(17221.9813="","-",17221.9813/1485800.76581*100)</f>
        <v>1.1591043494052351</v>
      </c>
      <c r="G18" s="19">
        <f>IF(18373.06185="","-",18373.06185/1374988.46402*100)</f>
        <v>1.3362338907399554</v>
      </c>
      <c r="H18" s="19">
        <f>IF(OR(1290763.45346="",15654.56094="",17221.9813=""),"-",(17221.9813-15654.56094)/1290763.45346*100)</f>
        <v>0.12143358690536193</v>
      </c>
      <c r="I18" s="19">
        <f>IF(OR(1485800.76581="",18373.06185="",17221.9813=""),"-",(18373.06185-17221.9813)/1485800.76581*100)</f>
        <v>7.7472066005597667E-2</v>
      </c>
    </row>
    <row r="19" spans="1:9" s="2" customFormat="1" x14ac:dyDescent="0.25">
      <c r="A19" s="27" t="s">
        <v>182</v>
      </c>
      <c r="B19" s="28" t="s">
        <v>155</v>
      </c>
      <c r="C19" s="42">
        <v>16361.274820000001</v>
      </c>
      <c r="D19" s="18">
        <v>17586.530360000001</v>
      </c>
      <c r="E19" s="18">
        <f>IF(16361.27482="","-",17586.53036/16361.27482*100)</f>
        <v>107.48875349555433</v>
      </c>
      <c r="F19" s="18">
        <f>IF(16361.27482="","-",16361.27482/1485800.76581*100)</f>
        <v>1.1011755543873663</v>
      </c>
      <c r="G19" s="18">
        <f>IF(17586.53036="","-",17586.53036/1374988.46402*100)</f>
        <v>1.2790311206381288</v>
      </c>
      <c r="H19" s="18">
        <f>IF(1290763.45346="","-",(16361.27482-14010.09335)/1290763.45346*100)</f>
        <v>0.18215432608488114</v>
      </c>
      <c r="I19" s="18">
        <f>IF(1485800.76581="","-",(17586.53036-16361.27482)/1485800.76581*100)</f>
        <v>8.2464322821373628E-2</v>
      </c>
    </row>
    <row r="20" spans="1:9" s="2" customFormat="1" x14ac:dyDescent="0.25">
      <c r="A20" s="29" t="s">
        <v>183</v>
      </c>
      <c r="B20" s="30" t="s">
        <v>156</v>
      </c>
      <c r="C20" s="41">
        <v>10679.070959999999</v>
      </c>
      <c r="D20" s="19">
        <v>11161.68332</v>
      </c>
      <c r="E20" s="19">
        <f>IF(OR(10679.07096="",11161.68332=""),"-",11161.68332/10679.07096*100)</f>
        <v>104.51923544480314</v>
      </c>
      <c r="F20" s="19">
        <f>IF(10679.07096="","-",10679.07096/1485800.76581*100)</f>
        <v>0.71874178596066274</v>
      </c>
      <c r="G20" s="19">
        <f>IF(11161.68332="","-",11161.68332/1374988.46402*100)</f>
        <v>0.81176559746305232</v>
      </c>
      <c r="H20" s="19">
        <f>IF(OR(1290763.45346="",9347.76793="",10679.07096=""),"-",(10679.07096-9347.76793)/1290763.45346*100)</f>
        <v>0.10314074406362601</v>
      </c>
      <c r="I20" s="19">
        <f>IF(OR(1485800.76581="",11161.68332="",10679.07096=""),"-",(11161.68332-10679.07096)/1485800.76581*100)</f>
        <v>3.2481633547745532E-2</v>
      </c>
    </row>
    <row r="21" spans="1:9" s="2" customFormat="1" x14ac:dyDescent="0.25">
      <c r="A21" s="29" t="s">
        <v>184</v>
      </c>
      <c r="B21" s="30" t="s">
        <v>157</v>
      </c>
      <c r="C21" s="41">
        <v>5682.2038599999996</v>
      </c>
      <c r="D21" s="19">
        <v>6424.8470399999997</v>
      </c>
      <c r="E21" s="19">
        <f>IF(OR(5682.20386="",6424.84704=""),"-",6424.84704/5682.20386*100)</f>
        <v>113.06963280968945</v>
      </c>
      <c r="F21" s="19">
        <f>IF(5682.20386="","-",5682.20386/1485800.76581*100)</f>
        <v>0.38243376842670329</v>
      </c>
      <c r="G21" s="19">
        <f>IF(6424.84704="","-",6424.84704/1374988.46402*100)</f>
        <v>0.4672655231750763</v>
      </c>
      <c r="H21" s="19">
        <f>IF(OR(1290763.45346="",4662.32542="",5682.20386=""),"-",(5682.20386-4662.32542)/1290763.45346*100)</f>
        <v>7.9013582021254913E-2</v>
      </c>
      <c r="I21" s="19">
        <f>IF(OR(1485800.76581="",6424.84704="",5682.20386=""),"-",(6424.84704-5682.20386)/1485800.76581*100)</f>
        <v>4.9982689273628172E-2</v>
      </c>
    </row>
    <row r="22" spans="1:9" s="2" customFormat="1" x14ac:dyDescent="0.25">
      <c r="A22" s="27" t="s">
        <v>185</v>
      </c>
      <c r="B22" s="28" t="s">
        <v>17</v>
      </c>
      <c r="C22" s="42">
        <v>53384.695050000002</v>
      </c>
      <c r="D22" s="18">
        <v>47333.286930000002</v>
      </c>
      <c r="E22" s="18">
        <f>IF(53384.69505="","-",47333.28693/53384.69505*100)</f>
        <v>88.664526201128879</v>
      </c>
      <c r="F22" s="18">
        <f>IF(53384.69505="","-",53384.69505/1485800.76581*100)</f>
        <v>3.5929914883908927</v>
      </c>
      <c r="G22" s="18">
        <f>IF(47333.28693="","-",47333.28693/1374988.46402*100)</f>
        <v>3.4424497491137864</v>
      </c>
      <c r="H22" s="18">
        <f>IF(1290763.45346="","-",(53384.69505-30721.73227)/1290763.45346*100)</f>
        <v>1.7557797069052448</v>
      </c>
      <c r="I22" s="18">
        <f>IF(1485800.76581="","-",(47333.28693-53384.69505)/1485800.76581*100)</f>
        <v>-0.40728260876221922</v>
      </c>
    </row>
    <row r="23" spans="1:9" s="2" customFormat="1" x14ac:dyDescent="0.25">
      <c r="A23" s="29">
        <v>21</v>
      </c>
      <c r="B23" s="30" t="s">
        <v>308</v>
      </c>
      <c r="C23" s="41" t="s">
        <v>261</v>
      </c>
      <c r="D23" s="19">
        <v>0.11362999999999999</v>
      </c>
      <c r="E23" s="19" t="str">
        <f>IF(OR(""="",0.11363=""),"-",0.11363/""*100)</f>
        <v>-</v>
      </c>
      <c r="F23" s="19" t="str">
        <f>IF(""="","-",""/1485800.76581*100)</f>
        <v>-</v>
      </c>
      <c r="G23" s="19">
        <f>IF(0.11363="","-",0.11363/1374988.46402*100)</f>
        <v>8.2640693339189476E-6</v>
      </c>
      <c r="H23" s="19" t="str">
        <f>IF(OR(1290763.45346="",""="",""=""),"-",(""-"")/1290763.45346*100)</f>
        <v>-</v>
      </c>
      <c r="I23" s="19" t="str">
        <f>IF(OR(1485800.76581="",0.11363="",""=""),"-",(0.11363-"")/1485800.76581*100)</f>
        <v>-</v>
      </c>
    </row>
    <row r="24" spans="1:9" s="2" customFormat="1" x14ac:dyDescent="0.25">
      <c r="A24" s="29" t="s">
        <v>187</v>
      </c>
      <c r="B24" s="30" t="s">
        <v>158</v>
      </c>
      <c r="C24" s="41">
        <v>34158.982479999999</v>
      </c>
      <c r="D24" s="19">
        <v>25323.353660000001</v>
      </c>
      <c r="E24" s="19">
        <f>IF(OR(34158.98248="",25323.35366=""),"-",25323.35366/34158.98248*100)</f>
        <v>74.133805580499256</v>
      </c>
      <c r="F24" s="19">
        <f>IF(34158.98248="","-",34158.98248/1485800.76581*100)</f>
        <v>2.2990284610183163</v>
      </c>
      <c r="G24" s="19">
        <f>IF(25323.35366="","-",25323.35366/1374988.46402*100)</f>
        <v>1.8417138996179721</v>
      </c>
      <c r="H24" s="19">
        <f>IF(OR(1290763.45346="",11157.71184="",34158.98248=""),"-",(34158.98248-11157.71184)/1290763.45346*100)</f>
        <v>1.7819896107488291</v>
      </c>
      <c r="I24" s="19">
        <f>IF(OR(1485800.76581="",25323.35366="",34158.98248=""),"-",(25323.35366-34158.98248)/1485800.76581*100)</f>
        <v>-0.5946711714866536</v>
      </c>
    </row>
    <row r="25" spans="1:9" s="2" customFormat="1" x14ac:dyDescent="0.25">
      <c r="A25" s="29" t="s">
        <v>240</v>
      </c>
      <c r="B25" s="30" t="s">
        <v>159</v>
      </c>
      <c r="C25" s="41">
        <v>719.45484999999996</v>
      </c>
      <c r="D25" s="19">
        <v>610.36270000000002</v>
      </c>
      <c r="E25" s="19">
        <f>IF(OR(719.45485="",610.3627=""),"-",610.3627/719.45485*100)</f>
        <v>84.836831664975236</v>
      </c>
      <c r="F25" s="19">
        <f>IF(719.45485="","-",719.45485/1485800.76581*100)</f>
        <v>4.8422027135501006E-2</v>
      </c>
      <c r="G25" s="19">
        <f>IF(610.3627="","-",610.3627/1374988.46402*100)</f>
        <v>4.4390386972084583E-2</v>
      </c>
      <c r="H25" s="19">
        <f>IF(OR(1290763.45346="",396.28355="",719.45485=""),"-",(719.45485-396.28355)/1290763.45346*100)</f>
        <v>2.503722112163248E-2</v>
      </c>
      <c r="I25" s="19">
        <f>IF(OR(1485800.76581="",610.3627="",719.45485=""),"-",(610.3627-719.45485)/1485800.76581*100)</f>
        <v>-7.34231348578739E-3</v>
      </c>
    </row>
    <row r="26" spans="1:9" s="2" customFormat="1" x14ac:dyDescent="0.25">
      <c r="A26" s="29" t="s">
        <v>188</v>
      </c>
      <c r="B26" s="30" t="s">
        <v>160</v>
      </c>
      <c r="C26" s="41">
        <v>6113.9973799999998</v>
      </c>
      <c r="D26" s="19">
        <v>5608.4392399999997</v>
      </c>
      <c r="E26" s="19">
        <f>IF(OR(6113.99738="",5608.43924=""),"-",5608.43924/6113.99738*100)</f>
        <v>91.731135808893654</v>
      </c>
      <c r="F26" s="19">
        <f>IF(6113.99738="","-",6113.99738/1485800.76581*100)</f>
        <v>0.41149510221627122</v>
      </c>
      <c r="G26" s="19">
        <f>IF(5608.43924="","-",5608.43924/1374988.46402*100)</f>
        <v>0.40788991229808758</v>
      </c>
      <c r="H26" s="19">
        <f>IF(OR(1290763.45346="",7911.1049="",6113.99738=""),"-",(6113.99738-7911.1049)/1290763.45346*100)</f>
        <v>-0.13922826178434961</v>
      </c>
      <c r="I26" s="19">
        <f>IF(OR(1485800.76581="",5608.43924="",6113.99738=""),"-",(5608.43924-6113.99738)/1485800.76581*100)</f>
        <v>-3.4025971155317698E-2</v>
      </c>
    </row>
    <row r="27" spans="1:9" s="2" customFormat="1" x14ac:dyDescent="0.25">
      <c r="A27" s="29" t="s">
        <v>189</v>
      </c>
      <c r="B27" s="30" t="s">
        <v>112</v>
      </c>
      <c r="C27" s="41">
        <v>11.03402</v>
      </c>
      <c r="D27" s="19">
        <v>30.135190000000001</v>
      </c>
      <c r="E27" s="19" t="s">
        <v>340</v>
      </c>
      <c r="F27" s="19">
        <f>IF(11.03402="","-",11.03402/1485800.76581*100)</f>
        <v>7.4263119618091515E-4</v>
      </c>
      <c r="G27" s="19">
        <f>IF(30.13519="","-",30.13519/1374988.46402*100)</f>
        <v>2.1916685694871158E-3</v>
      </c>
      <c r="H27" s="19">
        <f>IF(OR(1290763.45346="",65.99788="",11.03402=""),"-",(11.03402-65.99788)/1290763.45346*100)</f>
        <v>-4.2582442083144469E-3</v>
      </c>
      <c r="I27" s="19">
        <f>IF(OR(1485800.76581="",30.13519="",11.03402=""),"-",(30.13519-11.03402)/1485800.76581*100)</f>
        <v>1.285580842299997E-3</v>
      </c>
    </row>
    <row r="28" spans="1:9" s="2" customFormat="1" ht="24" x14ac:dyDescent="0.25">
      <c r="A28" s="29" t="s">
        <v>190</v>
      </c>
      <c r="B28" s="30" t="s">
        <v>113</v>
      </c>
      <c r="C28" s="41">
        <v>1225.0636400000001</v>
      </c>
      <c r="D28" s="19">
        <v>1447.1679300000001</v>
      </c>
      <c r="E28" s="19">
        <f>IF(OR(1225.06364="",1447.16793=""),"-",1447.16793/1225.06364*100)</f>
        <v>118.13002057591065</v>
      </c>
      <c r="F28" s="19">
        <f>IF(1225.06364="","-",1225.06364/1485800.76581*100)</f>
        <v>8.2451407227007556E-2</v>
      </c>
      <c r="G28" s="19">
        <f>IF(1447.16793="","-",1447.16793/1374988.46402*100)</f>
        <v>0.10524945974957287</v>
      </c>
      <c r="H28" s="19">
        <f>IF(OR(1290763.45346="",1048.92665="",1225.06364=""),"-",(1225.06364-1048.92665)/1290763.45346*100)</f>
        <v>1.364595422405631E-2</v>
      </c>
      <c r="I28" s="19">
        <f>IF(OR(1485800.76581="",1447.16793="",1225.06364=""),"-",(1447.16793-1225.06364)/1485800.76581*100)</f>
        <v>1.4948457095384352E-2</v>
      </c>
    </row>
    <row r="29" spans="1:9" s="2" customFormat="1" ht="24" x14ac:dyDescent="0.25">
      <c r="A29" s="29" t="s">
        <v>191</v>
      </c>
      <c r="B29" s="30" t="s">
        <v>114</v>
      </c>
      <c r="C29" s="41">
        <v>2637.3747100000001</v>
      </c>
      <c r="D29" s="19">
        <v>4170.5243499999997</v>
      </c>
      <c r="E29" s="19">
        <f>IF(OR(2637.37471="",4170.52435=""),"-",4170.52435/2637.37471*100)</f>
        <v>158.1316577499145</v>
      </c>
      <c r="F29" s="19">
        <f>IF(2637.37471="","-",2637.37471/1485800.76581*100)</f>
        <v>0.17750527329700275</v>
      </c>
      <c r="G29" s="19">
        <f>IF(4170.52435="","-",4170.52435/1374988.46402*100)</f>
        <v>0.30331340655810307</v>
      </c>
      <c r="H29" s="19">
        <f>IF(OR(1290763.45346="",2813.87692="",2637.37471=""),"-",(2637.37471-2813.87692)/1290763.45346*100)</f>
        <v>-1.3674249106361905E-2</v>
      </c>
      <c r="I29" s="19">
        <f>IF(OR(1485800.76581="",4170.52435="",2637.37471=""),"-",(4170.52435-2637.37471)/1485800.76581*100)</f>
        <v>0.10318675796106398</v>
      </c>
    </row>
    <row r="30" spans="1:9" s="2" customFormat="1" x14ac:dyDescent="0.25">
      <c r="A30" s="29" t="s">
        <v>192</v>
      </c>
      <c r="B30" s="30" t="s">
        <v>115</v>
      </c>
      <c r="C30" s="41">
        <v>372.50772000000001</v>
      </c>
      <c r="D30" s="19">
        <v>66.198909999999998</v>
      </c>
      <c r="E30" s="19">
        <f>IF(OR(372.50772="",66.19891=""),"-",66.19891/372.50772*100)</f>
        <v>17.771151158961214</v>
      </c>
      <c r="F30" s="19">
        <f>IF(372.50772="","-",372.50772/1485800.76581*100)</f>
        <v>2.5071175663106047E-2</v>
      </c>
      <c r="G30" s="19">
        <f>IF(66.19891="","-",66.19891/1374988.46402*100)</f>
        <v>4.8145065745829486E-3</v>
      </c>
      <c r="H30" s="19">
        <f>IF(OR(1290763.45346="",119.14673="",372.50772=""),"-",(372.50772-119.14673)/1290763.45346*100)</f>
        <v>1.962877003689906E-2</v>
      </c>
      <c r="I30" s="19">
        <f>IF(OR(1485800.76581="",66.19891="",372.50772=""),"-",(66.19891-372.50772)/1485800.76581*100)</f>
        <v>-2.0615739138686775E-2</v>
      </c>
    </row>
    <row r="31" spans="1:9" s="2" customFormat="1" x14ac:dyDescent="0.25">
      <c r="A31" s="29" t="s">
        <v>193</v>
      </c>
      <c r="B31" s="30" t="s">
        <v>116</v>
      </c>
      <c r="C31" s="41">
        <v>8146.2802499999998</v>
      </c>
      <c r="D31" s="19">
        <v>10076.991319999999</v>
      </c>
      <c r="E31" s="19">
        <f>IF(OR(8146.28025="",10076.99132=""),"-",10076.99132/8146.28025*100)</f>
        <v>123.70052356104493</v>
      </c>
      <c r="F31" s="19">
        <f>IF(8146.28025="","-",8146.28025/1485800.76581*100)</f>
        <v>0.54827541063750684</v>
      </c>
      <c r="G31" s="19">
        <f>IF(10076.99132="","-",10076.99132/1374988.46402*100)</f>
        <v>0.73287824470456231</v>
      </c>
      <c r="H31" s="19">
        <f>IF(OR(1290763.45346="",7208.6838="",8146.28025=""),"-",(8146.28025-7208.6838)/1290763.45346*100)</f>
        <v>7.2638905872853307E-2</v>
      </c>
      <c r="I31" s="19">
        <f>IF(OR(1485800.76581="",10076.99132="",8146.28025=""),"-",(10076.99132-8146.28025)/1485800.76581*100)</f>
        <v>0.12994414287755815</v>
      </c>
    </row>
    <row r="32" spans="1:9" s="2" customFormat="1" x14ac:dyDescent="0.25">
      <c r="A32" s="27" t="s">
        <v>194</v>
      </c>
      <c r="B32" s="28" t="s">
        <v>117</v>
      </c>
      <c r="C32" s="42">
        <v>480999.89280999999</v>
      </c>
      <c r="D32" s="18">
        <v>334908.12724</v>
      </c>
      <c r="E32" s="18">
        <f>IF(480999.89281="","-",334908.12724/480999.89281*100)</f>
        <v>69.627484797027222</v>
      </c>
      <c r="F32" s="18">
        <f>IF(480999.89281="","-",480999.89281/1485800.76581*100)</f>
        <v>32.373108419268974</v>
      </c>
      <c r="G32" s="18">
        <f>IF(334908.12724="","-",334908.12724/1374988.46402*100)</f>
        <v>24.357159060145289</v>
      </c>
      <c r="H32" s="18">
        <f>IF(1290763.45346="","-",(480999.89281-348323.75022)/1290763.45346*100)</f>
        <v>10.278888996612853</v>
      </c>
      <c r="I32" s="18">
        <f>IF(1485800.76581="","-",(334908.12724-480999.89281)/1485800.76581*100)</f>
        <v>-9.8325272763173288</v>
      </c>
    </row>
    <row r="33" spans="1:9" s="2" customFormat="1" x14ac:dyDescent="0.25">
      <c r="A33" s="29" t="s">
        <v>195</v>
      </c>
      <c r="B33" s="30" t="s">
        <v>161</v>
      </c>
      <c r="C33" s="41">
        <v>4575.7051499999998</v>
      </c>
      <c r="D33" s="19">
        <v>1667.46127</v>
      </c>
      <c r="E33" s="19">
        <f>IF(OR(4575.70515="",1667.46127=""),"-",1667.46127/4575.70515*100)</f>
        <v>36.441624084978471</v>
      </c>
      <c r="F33" s="19">
        <f>IF(4575.70515="","-",4575.70515/1485800.76581*100)</f>
        <v>0.30796222853644217</v>
      </c>
      <c r="G33" s="19">
        <f>IF(1667.46127="","-",1667.46127/1374988.46402*100)</f>
        <v>0.12127092798472713</v>
      </c>
      <c r="H33" s="19">
        <f>IF(OR(1290763.45346="",3426.71948="",4575.70515=""),"-",(4575.70515-3426.71948)/1290763.45346*100)</f>
        <v>8.9015974764395975E-2</v>
      </c>
      <c r="I33" s="19">
        <f>IF(OR(1485800.76581="",1667.46127="",4575.70515=""),"-",(1667.46127-4575.70515)/1485800.76581*100)</f>
        <v>-0.19573579088946963</v>
      </c>
    </row>
    <row r="34" spans="1:9" s="2" customFormat="1" x14ac:dyDescent="0.25">
      <c r="A34" s="29" t="s">
        <v>196</v>
      </c>
      <c r="B34" s="30" t="s">
        <v>118</v>
      </c>
      <c r="C34" s="41">
        <v>274737.50996</v>
      </c>
      <c r="D34" s="19">
        <v>155634.9711</v>
      </c>
      <c r="E34" s="19">
        <f>IF(OR(274737.50996="",155634.9711=""),"-",155634.9711/274737.50996*100)</f>
        <v>56.648606563646673</v>
      </c>
      <c r="F34" s="19">
        <f>IF(274737.50996="","-",274737.50996/1485800.76581*100)</f>
        <v>18.490871473620754</v>
      </c>
      <c r="G34" s="19">
        <f>IF(155634.9711="","-",155634.9711/1374988.46402*100)</f>
        <v>11.319001953294656</v>
      </c>
      <c r="H34" s="19">
        <f>IF(OR(1290763.45346="",122298.75684="",274737.50996=""),"-",(274737.50996-122298.75684)/1290763.45346*100)</f>
        <v>11.809968179016465</v>
      </c>
      <c r="I34" s="19">
        <f>IF(OR(1485800.76581="",155634.9711="",274737.50996=""),"-",(155634.9711-274737.50996)/1485800.76581*100)</f>
        <v>-8.0160504423397576</v>
      </c>
    </row>
    <row r="35" spans="1:9" s="2" customFormat="1" x14ac:dyDescent="0.25">
      <c r="A35" s="29" t="s">
        <v>241</v>
      </c>
      <c r="B35" s="30" t="s">
        <v>162</v>
      </c>
      <c r="C35" s="41">
        <v>190832.64019000001</v>
      </c>
      <c r="D35" s="19">
        <v>162648.56456</v>
      </c>
      <c r="E35" s="19">
        <f>IF(OR(190832.64019="",162648.56456=""),"-",162648.56456/190832.64019*100)</f>
        <v>85.230998427764291</v>
      </c>
      <c r="F35" s="19">
        <f>IF(190832.64019="","-",190832.64019/1485800.76581*100)</f>
        <v>12.843757021888837</v>
      </c>
      <c r="G35" s="19">
        <f>IF(162648.56456="","-",162648.56456/1374988.46402*100)</f>
        <v>11.829085757161245</v>
      </c>
      <c r="H35" s="19">
        <f>IF(OR(1290763.45346="",222597.2389="",190832.64019=""),"-",(190832.64019-222597.2389)/1290763.45346*100)</f>
        <v>-2.4609155631771502</v>
      </c>
      <c r="I35" s="19">
        <f>IF(OR(1485800.76581="",162648.56456="",190832.64019=""),"-",(162648.56456-190832.64019)/1485800.76581*100)</f>
        <v>-1.8968946764968964</v>
      </c>
    </row>
    <row r="36" spans="1:9" s="2" customFormat="1" x14ac:dyDescent="0.25">
      <c r="A36" s="29" t="s">
        <v>246</v>
      </c>
      <c r="B36" s="30" t="s">
        <v>248</v>
      </c>
      <c r="C36" s="41">
        <v>10854.03751</v>
      </c>
      <c r="D36" s="19">
        <v>14957.13031</v>
      </c>
      <c r="E36" s="19">
        <f>IF(OR(10854.03751="",14957.13031=""),"-",14957.13031/10854.03751*100)</f>
        <v>137.80245642434673</v>
      </c>
      <c r="F36" s="19">
        <f>IF(10854.03751="","-",10854.03751/1485800.76581*100)</f>
        <v>0.73051769522293974</v>
      </c>
      <c r="G36" s="19">
        <f>IF(14957.13031="","-",14957.13031/1374988.46402*100)</f>
        <v>1.0878004217046608</v>
      </c>
      <c r="H36" s="19">
        <f>IF(OR(1290763.45346="",1.035="",10854.03751=""),"-",(10854.03751-1.035)/1290763.45346*100)</f>
        <v>0.84082040600914243</v>
      </c>
      <c r="I36" s="19">
        <f>IF(OR(1485800.76581="",14957.13031="",10854.03751=""),"-",(14957.13031-10854.03751)/1485800.76581*100)</f>
        <v>0.27615363340879395</v>
      </c>
    </row>
    <row r="37" spans="1:9" s="2" customFormat="1" x14ac:dyDescent="0.25">
      <c r="A37" s="27" t="s">
        <v>197</v>
      </c>
      <c r="B37" s="28" t="s">
        <v>119</v>
      </c>
      <c r="C37" s="42">
        <v>4547.53269</v>
      </c>
      <c r="D37" s="18">
        <v>8239.1376299999993</v>
      </c>
      <c r="E37" s="18">
        <f>IF(4547.53269="","-",8239.13763/4547.53269*100)</f>
        <v>181.17819467505575</v>
      </c>
      <c r="F37" s="18">
        <f>IF(4547.53269="","-",4547.53269/1485800.76581*100)</f>
        <v>0.30606611563568986</v>
      </c>
      <c r="G37" s="18">
        <f>IF(8239.13763="","-",8239.13763/1374988.46402*100)</f>
        <v>0.59921503675103971</v>
      </c>
      <c r="H37" s="18">
        <f>IF(1290763.45346="","-",(4547.53269-1531.5468)/1290763.45346*100)</f>
        <v>0.23365907067754327</v>
      </c>
      <c r="I37" s="18">
        <f>IF(1485800.76581="","-",(8239.13763-4547.53269)/1485800.76581*100)</f>
        <v>0.24845894718512154</v>
      </c>
    </row>
    <row r="38" spans="1:9" s="2" customFormat="1" x14ac:dyDescent="0.25">
      <c r="A38" s="29" t="s">
        <v>198</v>
      </c>
      <c r="B38" s="30" t="s">
        <v>165</v>
      </c>
      <c r="C38" s="41">
        <v>467.74122999999997</v>
      </c>
      <c r="D38" s="19">
        <v>388.27343999999999</v>
      </c>
      <c r="E38" s="19">
        <f>IF(OR(467.74123="",388.27344=""),"-",388.27344/467.74123*100)</f>
        <v>83.010308926583193</v>
      </c>
      <c r="F38" s="19">
        <f>IF(467.74123="","-",467.74123/1485800.76581*100)</f>
        <v>3.1480750364602607E-2</v>
      </c>
      <c r="G38" s="19">
        <f>IF(388.27344="","-",388.27344/1374988.46402*100)</f>
        <v>2.8238305277472661E-2</v>
      </c>
      <c r="H38" s="19">
        <f>IF(OR(1290763.45346="",233.35606="",467.74123=""),"-",(467.74123-233.35606)/1290763.45346*100)</f>
        <v>1.8158646293533552E-2</v>
      </c>
      <c r="I38" s="19">
        <f>IF(OR(1485800.76581="",388.27344="",467.74123=""),"-",(388.27344-467.74123)/1485800.76581*100)</f>
        <v>-5.3484822345395196E-3</v>
      </c>
    </row>
    <row r="39" spans="1:9" s="2" customFormat="1" ht="24" x14ac:dyDescent="0.25">
      <c r="A39" s="29" t="s">
        <v>199</v>
      </c>
      <c r="B39" s="30" t="s">
        <v>120</v>
      </c>
      <c r="C39" s="41">
        <v>3911.2573000000002</v>
      </c>
      <c r="D39" s="19">
        <v>7432.0856899999999</v>
      </c>
      <c r="E39" s="19" t="s">
        <v>294</v>
      </c>
      <c r="F39" s="19">
        <f>IF(3911.2573="","-",3911.2573/1485800.76581*100)</f>
        <v>0.26324238013619122</v>
      </c>
      <c r="G39" s="19">
        <f>IF(7432.08569="","-",7432.08569/1374988.46402*100)</f>
        <v>0.54051985776455913</v>
      </c>
      <c r="H39" s="19">
        <f>IF(OR(1290763.45346="",1029.46913="",3911.2573=""),"-",(3911.2573-1029.46913)/1290763.45346*100)</f>
        <v>0.22326229970914693</v>
      </c>
      <c r="I39" s="19">
        <f>IF(OR(1485800.76581="",7432.08569="",3911.2573=""),"-",(7432.08569-3911.2573)/1485800.76581*100)</f>
        <v>0.23696504073886263</v>
      </c>
    </row>
    <row r="40" spans="1:9" s="2" customFormat="1" ht="36" x14ac:dyDescent="0.25">
      <c r="A40" s="29" t="s">
        <v>200</v>
      </c>
      <c r="B40" s="30" t="s">
        <v>163</v>
      </c>
      <c r="C40" s="41">
        <v>168.53416000000001</v>
      </c>
      <c r="D40" s="19">
        <v>418.77850000000001</v>
      </c>
      <c r="E40" s="19" t="s">
        <v>320</v>
      </c>
      <c r="F40" s="19">
        <f>IF(168.53416="","-",168.53416/1485800.76581*100)</f>
        <v>1.1342985134896053E-2</v>
      </c>
      <c r="G40" s="19">
        <f>IF(418.7785="","-",418.7785/1374988.46402*100)</f>
        <v>3.0456873709007973E-2</v>
      </c>
      <c r="H40" s="19">
        <f>IF(OR(1290763.45346="",268.72161="",168.53416=""),"-",(168.53416-268.72161)/1290763.45346*100)</f>
        <v>-7.7618753251371582E-3</v>
      </c>
      <c r="I40" s="19">
        <f>IF(OR(1485800.76581="",418.7785="",168.53416=""),"-",(418.7785-168.53416)/1485800.76581*100)</f>
        <v>1.6842388680798438E-2</v>
      </c>
    </row>
    <row r="41" spans="1:9" s="2" customFormat="1" ht="24" x14ac:dyDescent="0.25">
      <c r="A41" s="27" t="s">
        <v>201</v>
      </c>
      <c r="B41" s="28" t="s">
        <v>121</v>
      </c>
      <c r="C41" s="42">
        <v>182292.38342999999</v>
      </c>
      <c r="D41" s="18">
        <v>156937.46679000001</v>
      </c>
      <c r="E41" s="18">
        <f>IF(182292.38343="","-",156937.46679/182292.38343*100)</f>
        <v>86.091071846818963</v>
      </c>
      <c r="F41" s="18">
        <f>IF(182292.38343="","-",182292.38343/1485800.76581*100)</f>
        <v>12.268965504982853</v>
      </c>
      <c r="G41" s="18">
        <f>IF(156937.46679="","-",156937.46679/1374988.46402*100)</f>
        <v>11.413729707314639</v>
      </c>
      <c r="H41" s="18">
        <f>IF(1290763.45346="","-",(182292.38343-173947.79221)/1290763.45346*100)</f>
        <v>0.6464849308857944</v>
      </c>
      <c r="I41" s="18">
        <f>IF(1485800.76581="","-",(156937.46679-182292.38343)/1485800.76581*100)</f>
        <v>-1.7064815972266296</v>
      </c>
    </row>
    <row r="42" spans="1:9" s="2" customFormat="1" x14ac:dyDescent="0.25">
      <c r="A42" s="29" t="s">
        <v>202</v>
      </c>
      <c r="B42" s="30" t="s">
        <v>18</v>
      </c>
      <c r="C42" s="41">
        <v>2358.0061700000001</v>
      </c>
      <c r="D42" s="19">
        <v>2525.9815400000002</v>
      </c>
      <c r="E42" s="19">
        <f>IF(OR(2358.00617="",2525.98154=""),"-",2525.98154/2358.00617*100)</f>
        <v>107.1236187647465</v>
      </c>
      <c r="F42" s="19">
        <f>IF(2358.00617="","-",2358.00617/1485800.76581*100)</f>
        <v>0.15870271602091335</v>
      </c>
      <c r="G42" s="19">
        <f>IF(2525.98154="","-",2525.98154/1374988.46402*100)</f>
        <v>0.18370928964850269</v>
      </c>
      <c r="H42" s="19">
        <f>IF(OR(1290763.45346="",2802.43527="",2358.00617=""),"-",(2358.00617-2802.43527)/1290763.45346*100)</f>
        <v>-3.4431490821085015E-2</v>
      </c>
      <c r="I42" s="19">
        <f>IF(OR(1485800.76581="",2525.98154="",2358.00617=""),"-",(2525.98154-2358.00617)/1485800.76581*100)</f>
        <v>1.1305376458628122E-2</v>
      </c>
    </row>
    <row r="43" spans="1:9" s="2" customFormat="1" x14ac:dyDescent="0.25">
      <c r="A43" s="29" t="s">
        <v>203</v>
      </c>
      <c r="B43" s="30" t="s">
        <v>19</v>
      </c>
      <c r="C43" s="41">
        <v>6440.2724399999997</v>
      </c>
      <c r="D43" s="19">
        <v>3347.5924</v>
      </c>
      <c r="E43" s="19">
        <f>IF(OR(6440.27244="",3347.5924=""),"-",3347.5924/6440.27244*100)</f>
        <v>51.979049507414942</v>
      </c>
      <c r="F43" s="19">
        <f>IF(6440.27244="","-",6440.27244/1485800.76581*100)</f>
        <v>0.43345464534668054</v>
      </c>
      <c r="G43" s="19">
        <f>IF(3347.5924="","-",3347.5924/1374988.46402*100)</f>
        <v>0.24346330806389277</v>
      </c>
      <c r="H43" s="19">
        <f>IF(OR(1290763.45346="",3095.01808="",6440.27244=""),"-",(6440.27244-3095.01808)/1290763.45346*100)</f>
        <v>0.2591686610767267</v>
      </c>
      <c r="I43" s="19">
        <f>IF(OR(1485800.76581="",3347.5924="",6440.27244=""),"-",(3347.5924-6440.27244)/1485800.76581*100)</f>
        <v>-0.2081490406497396</v>
      </c>
    </row>
    <row r="44" spans="1:9" s="2" customFormat="1" x14ac:dyDescent="0.25">
      <c r="A44" s="29" t="s">
        <v>204</v>
      </c>
      <c r="B44" s="30" t="s">
        <v>122</v>
      </c>
      <c r="C44" s="41">
        <v>5107.1945999999998</v>
      </c>
      <c r="D44" s="19">
        <v>5752.4680600000002</v>
      </c>
      <c r="E44" s="19">
        <f>IF(OR(5107.1946="",5752.46806=""),"-",5752.46806/5107.1946*100)</f>
        <v>112.63459708388635</v>
      </c>
      <c r="F44" s="19">
        <f>IF(5107.1946="","-",5107.1946/1485800.76581*100)</f>
        <v>0.34373347473782995</v>
      </c>
      <c r="G44" s="19">
        <f>IF(5752.46806="","-",5752.46806/1374988.46402*100)</f>
        <v>0.41836482345326259</v>
      </c>
      <c r="H44" s="19">
        <f>IF(OR(1290763.45346="",6251.17097="",5107.1946=""),"-",(5107.1946-6251.17097)/1290763.45346*100)</f>
        <v>-8.8627886614970036E-2</v>
      </c>
      <c r="I44" s="19">
        <f>IF(OR(1485800.76581="",5752.46806="",5107.1946=""),"-",(5752.46806-5107.1946)/1485800.76581*100)</f>
        <v>4.3429339575567029E-2</v>
      </c>
    </row>
    <row r="45" spans="1:9" s="2" customFormat="1" x14ac:dyDescent="0.25">
      <c r="A45" s="29" t="s">
        <v>205</v>
      </c>
      <c r="B45" s="30" t="s">
        <v>123</v>
      </c>
      <c r="C45" s="41">
        <v>50004.707130000003</v>
      </c>
      <c r="D45" s="19">
        <v>51390.700499999999</v>
      </c>
      <c r="E45" s="19">
        <f>IF(OR(50004.70713="",51390.7005=""),"-",51390.7005/50004.70713*100)</f>
        <v>102.77172580252645</v>
      </c>
      <c r="F45" s="19">
        <f>IF(50004.70713="","-",50004.70713/1485800.76581*100)</f>
        <v>3.3655055429143896</v>
      </c>
      <c r="G45" s="19">
        <f>IF(51390.7005="","-",51390.7005/1374988.46402*100)</f>
        <v>3.7375368481093298</v>
      </c>
      <c r="H45" s="19">
        <f>IF(OR(1290763.45346="",51034.47865="",50004.70713=""),"-",(50004.70713-51034.47865)/1290763.45346*100)</f>
        <v>-7.978003384273126E-2</v>
      </c>
      <c r="I45" s="19">
        <f>IF(OR(1485800.76581="",51390.7005="",50004.70713=""),"-",(51390.7005-50004.70713)/1485800.76581*100)</f>
        <v>9.3282585518416228E-2</v>
      </c>
    </row>
    <row r="46" spans="1:9" s="2" customFormat="1" ht="24" x14ac:dyDescent="0.25">
      <c r="A46" s="29" t="s">
        <v>206</v>
      </c>
      <c r="B46" s="30" t="s">
        <v>124</v>
      </c>
      <c r="C46" s="41">
        <v>25938.870220000001</v>
      </c>
      <c r="D46" s="19">
        <v>30846.085920000001</v>
      </c>
      <c r="E46" s="19">
        <f>IF(OR(25938.87022="",30846.08592=""),"-",30846.08592/25938.87022*100)</f>
        <v>118.9183864153664</v>
      </c>
      <c r="F46" s="19">
        <f>IF(25938.87022="","-",25938.87022/1485800.76581*100)</f>
        <v>1.745783877413682</v>
      </c>
      <c r="G46" s="19">
        <f>IF(30846.08592="","-",30846.08592/1374988.46402*100)</f>
        <v>2.2433705247109135</v>
      </c>
      <c r="H46" s="19">
        <f>IF(OR(1290763.45346="",21321.54083="",25938.87022=""),"-",(25938.87022-21321.54083)/1290763.45346*100)</f>
        <v>0.35772080295757203</v>
      </c>
      <c r="I46" s="19">
        <f>IF(OR(1485800.76581="",30846.08592="",25938.87022=""),"-",(30846.08592-25938.87022)/1485800.76581*100)</f>
        <v>0.33027413990628685</v>
      </c>
    </row>
    <row r="47" spans="1:9" s="2" customFormat="1" x14ac:dyDescent="0.25">
      <c r="A47" s="29" t="s">
        <v>207</v>
      </c>
      <c r="B47" s="30" t="s">
        <v>125</v>
      </c>
      <c r="C47" s="41">
        <v>39465.207269999999</v>
      </c>
      <c r="D47" s="19">
        <v>16550.691640000001</v>
      </c>
      <c r="E47" s="19">
        <f>IF(OR(39465.20727="",16550.69164=""),"-",16550.69164/39465.20727*100)</f>
        <v>41.937424848092029</v>
      </c>
      <c r="F47" s="19">
        <f>IF(39465.20727="","-",39465.20727/1485800.76581*100)</f>
        <v>2.6561574188235881</v>
      </c>
      <c r="G47" s="19">
        <f>IF(16550.69164="","-",16550.69164/1374988.46402*100)</f>
        <v>1.2036967635067564</v>
      </c>
      <c r="H47" s="19">
        <f>IF(OR(1290763.45346="",31175.21552="",39465.20727=""),"-",(39465.20727-31175.21552)/1290763.45346*100)</f>
        <v>0.64225491725675821</v>
      </c>
      <c r="I47" s="19">
        <f>IF(OR(1485800.76581="",16550.69164="",39465.20727=""),"-",(16550.69164-39465.20727)/1485800.76581*100)</f>
        <v>-1.5422333974574247</v>
      </c>
    </row>
    <row r="48" spans="1:9" s="2" customFormat="1" x14ac:dyDescent="0.25">
      <c r="A48" s="29" t="s">
        <v>208</v>
      </c>
      <c r="B48" s="30" t="s">
        <v>20</v>
      </c>
      <c r="C48" s="41">
        <v>8021.07377</v>
      </c>
      <c r="D48" s="19">
        <v>7162.4102000000003</v>
      </c>
      <c r="E48" s="19">
        <f>IF(OR(8021.07377="",7162.4102=""),"-",7162.4102/8021.07377*100)</f>
        <v>89.294904963827562</v>
      </c>
      <c r="F48" s="19">
        <f>IF(8021.07377="","-",8021.07377/1485800.76581*100)</f>
        <v>0.53984854191586229</v>
      </c>
      <c r="G48" s="19">
        <f>IF(7162.4102="","-",7162.4102/1374988.46402*100)</f>
        <v>0.52090693030685808</v>
      </c>
      <c r="H48" s="19">
        <f>IF(OR(1290763.45346="",10880.24121="",8021.07377=""),"-",(8021.07377-10880.24121)/1290763.45346*100)</f>
        <v>-0.22150979192475284</v>
      </c>
      <c r="I48" s="19">
        <f>IF(OR(1485800.76581="",7162.4102="",8021.07377=""),"-",(7162.4102-8021.07377)/1485800.76581*100)</f>
        <v>-5.7791299463484269E-2</v>
      </c>
    </row>
    <row r="49" spans="1:9" s="2" customFormat="1" x14ac:dyDescent="0.25">
      <c r="A49" s="29" t="s">
        <v>209</v>
      </c>
      <c r="B49" s="30" t="s">
        <v>21</v>
      </c>
      <c r="C49" s="41">
        <v>19487.86694</v>
      </c>
      <c r="D49" s="19">
        <v>19300.434949999999</v>
      </c>
      <c r="E49" s="19">
        <f>IF(OR(19487.86694="",19300.43495=""),"-",19300.43495/19487.86694*100)</f>
        <v>99.038211875229479</v>
      </c>
      <c r="F49" s="19">
        <f>IF(19487.86694="","-",19487.86694/1485800.76581*100)</f>
        <v>1.3116070060292357</v>
      </c>
      <c r="G49" s="19">
        <f>IF(19300.43495="","-",19300.43495/1374988.46402*100)</f>
        <v>1.4036797729612998</v>
      </c>
      <c r="H49" s="19">
        <f>IF(OR(1290763.45346="",20405.77046="",19487.86694=""),"-",(19487.86694-20405.77046)/1290763.45346*100)</f>
        <v>-7.1113225087019796E-2</v>
      </c>
      <c r="I49" s="19">
        <f>IF(OR(1485800.76581="",19300.43495="",19487.86694=""),"-",(19300.43495-19487.86694)/1485800.76581*100)</f>
        <v>-1.2614880427647406E-2</v>
      </c>
    </row>
    <row r="50" spans="1:9" s="2" customFormat="1" x14ac:dyDescent="0.25">
      <c r="A50" s="29" t="s">
        <v>210</v>
      </c>
      <c r="B50" s="30" t="s">
        <v>126</v>
      </c>
      <c r="C50" s="41">
        <v>25469.18489</v>
      </c>
      <c r="D50" s="19">
        <v>20061.101579999999</v>
      </c>
      <c r="E50" s="19">
        <f>IF(OR(25469.18489="",20061.10158=""),"-",20061.10158/25469.18489*100)</f>
        <v>78.766170439465526</v>
      </c>
      <c r="F50" s="19">
        <f>IF(25469.18489="","-",25469.18489/1485800.76581*100)</f>
        <v>1.7141722817806737</v>
      </c>
      <c r="G50" s="19">
        <f>IF(20061.10158="","-",20061.10158/1374988.46402*100)</f>
        <v>1.4590014465538235</v>
      </c>
      <c r="H50" s="19">
        <f>IF(OR(1290763.45346="",26981.92122="",25469.18489=""),"-",(25469.18489-26981.92122)/1290763.45346*100)</f>
        <v>-0.1171970221147014</v>
      </c>
      <c r="I50" s="19">
        <f>IF(OR(1485800.76581="",20061.10158="",25469.18489=""),"-",(20061.10158-25469.18489)/1485800.76581*100)</f>
        <v>-0.36398442068723308</v>
      </c>
    </row>
    <row r="51" spans="1:9" s="2" customFormat="1" ht="24" x14ac:dyDescent="0.25">
      <c r="A51" s="27" t="s">
        <v>211</v>
      </c>
      <c r="B51" s="28" t="s">
        <v>289</v>
      </c>
      <c r="C51" s="42">
        <v>173749.53195999999</v>
      </c>
      <c r="D51" s="18">
        <v>178168.04701000001</v>
      </c>
      <c r="E51" s="18">
        <f>IF(173749.53196="","-",178168.04701/173749.53196*100)</f>
        <v>102.54303709492423</v>
      </c>
      <c r="F51" s="18">
        <f>IF(173749.53196="","-",173749.53196/1485800.76581*100)</f>
        <v>11.693999354299606</v>
      </c>
      <c r="G51" s="18">
        <f>IF(178168.04701="","-",178168.04701/1374988.46402*100)</f>
        <v>12.957784859452351</v>
      </c>
      <c r="H51" s="18">
        <f>IF(1290763.45346="","-",(173749.53196-184419.69197)/1290763.45346*100)</f>
        <v>-0.82665495226083141</v>
      </c>
      <c r="I51" s="18">
        <f>IF(1485800.76581="","-",(178168.04701-173749.53196)/1485800.76581*100)</f>
        <v>0.29738274146003796</v>
      </c>
    </row>
    <row r="52" spans="1:9" s="2" customFormat="1" x14ac:dyDescent="0.25">
      <c r="A52" s="29" t="s">
        <v>212</v>
      </c>
      <c r="B52" s="30" t="s">
        <v>127</v>
      </c>
      <c r="C52" s="41">
        <v>7915.7529500000001</v>
      </c>
      <c r="D52" s="19">
        <v>6118.75342</v>
      </c>
      <c r="E52" s="19">
        <f>IF(OR(7915.75295="",6118.75342=""),"-",6118.75342/7915.75295*100)</f>
        <v>77.2984384258733</v>
      </c>
      <c r="F52" s="19">
        <f>IF(7915.75295="","-",7915.75295/1485800.76581*100)</f>
        <v>0.53276005317473663</v>
      </c>
      <c r="G52" s="19">
        <f>IF(6118.75342="","-",6118.75342/1374988.46402*100)</f>
        <v>0.44500398222330095</v>
      </c>
      <c r="H52" s="19">
        <f>IF(OR(1290763.45346="",8386.0132="",7915.75295=""),"-",(7915.75295-8386.0132)/1290763.45346*100)</f>
        <v>-3.6432721172839778E-2</v>
      </c>
      <c r="I52" s="19">
        <f>IF(OR(1485800.76581="",6118.75342="",7915.75295=""),"-",(6118.75342-7915.75295)/1485800.76581*100)</f>
        <v>-0.12094485151381293</v>
      </c>
    </row>
    <row r="53" spans="1:9" s="2" customFormat="1" x14ac:dyDescent="0.25">
      <c r="A53" s="29" t="s">
        <v>213</v>
      </c>
      <c r="B53" s="30" t="s">
        <v>22</v>
      </c>
      <c r="C53" s="41">
        <v>11296.76692</v>
      </c>
      <c r="D53" s="19">
        <v>12757.41858</v>
      </c>
      <c r="E53" s="19">
        <f>IF(OR(11296.76692="",12757.41858=""),"-",12757.41858/11296.76692*100)</f>
        <v>112.92982027817212</v>
      </c>
      <c r="F53" s="19">
        <f>IF(11296.76692="","-",11296.76692/1485800.76581*100)</f>
        <v>0.7603150556892766</v>
      </c>
      <c r="G53" s="19">
        <f>IF(12757.41858="","-",12757.41858/1374988.46402*100)</f>
        <v>0.92782004459162037</v>
      </c>
      <c r="H53" s="19">
        <f>IF(OR(1290763.45346="",13085.88209="",11296.76692=""),"-",(11296.76692-13085.88209)/1290763.45346*100)</f>
        <v>-0.138609066223879</v>
      </c>
      <c r="I53" s="19">
        <f>IF(OR(1485800.76581="",12757.41858="",11296.76692=""),"-",(12757.41858-11296.76692)/1485800.76581*100)</f>
        <v>9.8307370248507692E-2</v>
      </c>
    </row>
    <row r="54" spans="1:9" s="2" customFormat="1" x14ac:dyDescent="0.25">
      <c r="A54" s="29" t="s">
        <v>214</v>
      </c>
      <c r="B54" s="30" t="s">
        <v>128</v>
      </c>
      <c r="C54" s="41">
        <v>14163.74921</v>
      </c>
      <c r="D54" s="19">
        <v>14967.98113</v>
      </c>
      <c r="E54" s="19">
        <f>IF(OR(14163.74921="",14967.98113=""),"-",14967.98113/14163.74921*100)</f>
        <v>105.67810053733646</v>
      </c>
      <c r="F54" s="19">
        <f>IF(14163.74921="","-",14163.74921/1485800.76581*100)</f>
        <v>0.95327378582137701</v>
      </c>
      <c r="G54" s="19">
        <f>IF(14967.98113="","-",14967.98113/1374988.46402*100)</f>
        <v>1.0885895788709889</v>
      </c>
      <c r="H54" s="19">
        <f>IF(OR(1290763.45346="",15389.36305="",14163.74921=""),"-",(14163.74921-15389.36305)/1290763.45346*100)</f>
        <v>-9.4952629524382576E-2</v>
      </c>
      <c r="I54" s="19">
        <f>IF(OR(1485800.76581="",14967.98113="",14163.74921=""),"-",(14967.98113-14163.74921)/1485800.76581*100)</f>
        <v>5.4127843955011329E-2</v>
      </c>
    </row>
    <row r="55" spans="1:9" s="2" customFormat="1" ht="24" x14ac:dyDescent="0.25">
      <c r="A55" s="29" t="s">
        <v>215</v>
      </c>
      <c r="B55" s="30" t="s">
        <v>129</v>
      </c>
      <c r="C55" s="41">
        <v>18369.918119999998</v>
      </c>
      <c r="D55" s="19">
        <v>22105.146509999999</v>
      </c>
      <c r="E55" s="19">
        <f>IF(OR(18369.91812="",22105.14651=""),"-",22105.14651/18369.91812*100)</f>
        <v>120.33339705490206</v>
      </c>
      <c r="F55" s="19">
        <f>IF(18369.91812="","-",18369.91812/1485800.76581*100)</f>
        <v>1.2363648305151762</v>
      </c>
      <c r="G55" s="19">
        <f>IF(22105.14651="","-",22105.14651/1374988.46402*100)</f>
        <v>1.6076605068650571</v>
      </c>
      <c r="H55" s="19">
        <f>IF(OR(1290763.45346="",19797.71984="",18369.91812=""),"-",(18369.91812-19797.71984)/1290763.45346*100)</f>
        <v>-0.11061683813348298</v>
      </c>
      <c r="I55" s="19">
        <f>IF(OR(1485800.76581="",22105.14651="",18369.91812=""),"-",(22105.14651-18369.91812)/1485800.76581*100)</f>
        <v>0.25139497003581773</v>
      </c>
    </row>
    <row r="56" spans="1:9" s="2" customFormat="1" ht="24" x14ac:dyDescent="0.25">
      <c r="A56" s="29" t="s">
        <v>216</v>
      </c>
      <c r="B56" s="30" t="s">
        <v>130</v>
      </c>
      <c r="C56" s="41">
        <v>47320.442020000002</v>
      </c>
      <c r="D56" s="19">
        <v>41427.30674</v>
      </c>
      <c r="E56" s="19">
        <f>IF(OR(47320.44202="",41427.30674=""),"-",41427.30674/47320.44202*100)</f>
        <v>87.546322417044905</v>
      </c>
      <c r="F56" s="19">
        <f>IF(47320.44202="","-",47320.44202/1485800.76581*100)</f>
        <v>3.1848443686999155</v>
      </c>
      <c r="G56" s="19">
        <f>IF(41427.30674="","-",41427.30674/1374988.46402*100)</f>
        <v>3.0129203134461653</v>
      </c>
      <c r="H56" s="19">
        <f>IF(OR(1290763.45346="",48209.46496="",47320.44202=""),"-",(47320.44202-48209.46496)/1290763.45346*100)</f>
        <v>-6.887574463135708E-2</v>
      </c>
      <c r="I56" s="19">
        <f>IF(OR(1485800.76581="",41427.30674="",47320.44202=""),"-",(41427.30674-47320.44202)/1485800.76581*100)</f>
        <v>-0.39663024919678896</v>
      </c>
    </row>
    <row r="57" spans="1:9" s="2" customFormat="1" x14ac:dyDescent="0.25">
      <c r="A57" s="29" t="s">
        <v>217</v>
      </c>
      <c r="B57" s="30" t="s">
        <v>23</v>
      </c>
      <c r="C57" s="41">
        <v>24700.81654</v>
      </c>
      <c r="D57" s="19">
        <v>23590.415499999999</v>
      </c>
      <c r="E57" s="19">
        <f>IF(OR(24700.81654="",23590.4155=""),"-",23590.4155/24700.81654*100)</f>
        <v>95.504597841120599</v>
      </c>
      <c r="F57" s="19">
        <f>IF(24700.81654="","-",24700.81654/1485800.76581*100)</f>
        <v>1.6624581914610932</v>
      </c>
      <c r="G57" s="19">
        <f>IF(23590.4155="","-",23590.4155/1374988.46402*100)</f>
        <v>1.7156809760446732</v>
      </c>
      <c r="H57" s="19">
        <f>IF(OR(1290763.45346="",22563.14416="",24700.81654=""),"-",(24700.81654-22563.14416)/1290763.45346*100)</f>
        <v>0.1656130233831605</v>
      </c>
      <c r="I57" s="19">
        <f>IF(OR(1485800.76581="",23590.4155="",24700.81654=""),"-",(23590.4155-24700.81654)/1485800.76581*100)</f>
        <v>-7.4734181429409463E-2</v>
      </c>
    </row>
    <row r="58" spans="1:9" s="2" customFormat="1" x14ac:dyDescent="0.25">
      <c r="A58" s="29" t="s">
        <v>218</v>
      </c>
      <c r="B58" s="30" t="s">
        <v>131</v>
      </c>
      <c r="C58" s="41">
        <v>18269.238600000001</v>
      </c>
      <c r="D58" s="19">
        <v>23952.854609999999</v>
      </c>
      <c r="E58" s="19">
        <f>IF(OR(18269.2386="",23952.85461=""),"-",23952.85461/18269.2386*100)</f>
        <v>131.11030587777205</v>
      </c>
      <c r="F58" s="19">
        <f>IF(18269.2386="","-",18269.2386/1485800.76581*100)</f>
        <v>1.2295887187835937</v>
      </c>
      <c r="G58" s="19">
        <f>IF(23952.85461="","-",23952.85461/1374988.46402*100)</f>
        <v>1.7420404051951079</v>
      </c>
      <c r="H58" s="19">
        <f>IF(OR(1290763.45346="",23195.58638="",18269.2386=""),"-",(18269.2386-23195.58638)/1290763.45346*100)</f>
        <v>-0.38166154819417225</v>
      </c>
      <c r="I58" s="19">
        <f>IF(OR(1485800.76581="",23952.85461="",18269.2386=""),"-",(23952.85461-18269.2386)/1485800.76581*100)</f>
        <v>0.38252881145215423</v>
      </c>
    </row>
    <row r="59" spans="1:9" s="2" customFormat="1" x14ac:dyDescent="0.25">
      <c r="A59" s="29" t="s">
        <v>219</v>
      </c>
      <c r="B59" s="30" t="s">
        <v>24</v>
      </c>
      <c r="C59" s="41">
        <v>5086.2045200000002</v>
      </c>
      <c r="D59" s="19">
        <v>4302.2633400000004</v>
      </c>
      <c r="E59" s="19">
        <f>IF(OR(5086.20452="",4302.26334=""),"-",4302.26334/5086.20452*100)</f>
        <v>84.586911971050668</v>
      </c>
      <c r="F59" s="19">
        <f>IF(5086.20452="","-",5086.20452/1485800.76581*100)</f>
        <v>0.34232076312245013</v>
      </c>
      <c r="G59" s="19">
        <f>IF(4302.26334="","-",4302.26334/1374988.46402*100)</f>
        <v>0.31289450439617805</v>
      </c>
      <c r="H59" s="19">
        <f>IF(OR(1290763.45346="",4961.9813="",5086.20452=""),"-",(5086.20452-4961.9813)/1290763.45346*100)</f>
        <v>9.6240112521786287E-3</v>
      </c>
      <c r="I59" s="19">
        <f>IF(OR(1485800.76581="",4302.26334="",5086.20452=""),"-",(4302.26334-5086.20452)/1485800.76581*100)</f>
        <v>-5.2762200561434359E-2</v>
      </c>
    </row>
    <row r="60" spans="1:9" s="2" customFormat="1" x14ac:dyDescent="0.25">
      <c r="A60" s="29" t="s">
        <v>220</v>
      </c>
      <c r="B60" s="30" t="s">
        <v>25</v>
      </c>
      <c r="C60" s="41">
        <v>26626.643080000002</v>
      </c>
      <c r="D60" s="19">
        <v>28945.907179999998</v>
      </c>
      <c r="E60" s="19">
        <f>IF(OR(26626.64308="",28945.90718=""),"-",28945.90718/26626.64308*100)</f>
        <v>108.71031354959672</v>
      </c>
      <c r="F60" s="19">
        <f>IF(26626.64308="","-",26626.64308/1485800.76581*100)</f>
        <v>1.7920735870319873</v>
      </c>
      <c r="G60" s="19">
        <f>IF(28945.90718="","-",28945.90718/1374988.46402*100)</f>
        <v>2.1051745478192578</v>
      </c>
      <c r="H60" s="19">
        <f>IF(OR(1290763.45346="",28830.53699="",26626.64308=""),"-",(26626.64308-28830.53699)/1290763.45346*100)</f>
        <v>-0.17074343901605488</v>
      </c>
      <c r="I60" s="19">
        <f>IF(OR(1485800.76581="",28945.90718="",26626.64308=""),"-",(28945.90718-26626.64308)/1485800.76581*100)</f>
        <v>0.15609522846999108</v>
      </c>
    </row>
    <row r="61" spans="1:9" s="2" customFormat="1" x14ac:dyDescent="0.25">
      <c r="A61" s="27" t="s">
        <v>221</v>
      </c>
      <c r="B61" s="28" t="s">
        <v>132</v>
      </c>
      <c r="C61" s="42">
        <v>292397.72931999998</v>
      </c>
      <c r="D61" s="18">
        <v>328163.57828999998</v>
      </c>
      <c r="E61" s="18">
        <f>IF(292397.72932="","-",328163.57829/292397.72932*100)</f>
        <v>112.23191748211488</v>
      </c>
      <c r="F61" s="18">
        <f>IF(292397.72932="","-",292397.72932/1485800.76581*100)</f>
        <v>19.6794708986838</v>
      </c>
      <c r="G61" s="18">
        <f>IF(328163.57829="","-",328163.57829/1374988.46402*100)</f>
        <v>23.866642293896849</v>
      </c>
      <c r="H61" s="18">
        <f>IF(1290763.45346="","-",(292397.72932-277027.11344)/1290763.45346*100)</f>
        <v>1.1908158569874108</v>
      </c>
      <c r="I61" s="18">
        <f>IF(1485800.76581="","-",(328163.57829-292397.72932)/1485800.76581*100)</f>
        <v>2.4071766412438116</v>
      </c>
    </row>
    <row r="62" spans="1:9" s="2" customFormat="1" x14ac:dyDescent="0.25">
      <c r="A62" s="29" t="s">
        <v>222</v>
      </c>
      <c r="B62" s="30" t="s">
        <v>133</v>
      </c>
      <c r="C62" s="41">
        <v>6556.4524799999999</v>
      </c>
      <c r="D62" s="19">
        <v>3693.8163800000002</v>
      </c>
      <c r="E62" s="19">
        <f>IF(OR(6556.45248="",3693.81638=""),"-",3693.81638/6556.45248*100)</f>
        <v>56.338643363430585</v>
      </c>
      <c r="F62" s="19">
        <f>IF(6556.45248="","-",6556.45248/1485800.76581*100)</f>
        <v>0.44127400058416855</v>
      </c>
      <c r="G62" s="19">
        <f>IF(3693.81638="","-",3693.81638/1374988.46402*100)</f>
        <v>0.26864344513848015</v>
      </c>
      <c r="H62" s="19">
        <f>IF(OR(1290763.45346="",3411.59451="",6556.45248=""),"-",(6556.45248-3411.59451)/1290763.45346*100)</f>
        <v>0.24364324552031152</v>
      </c>
      <c r="I62" s="19">
        <f>IF(OR(1485800.76581="",3693.81638="",6556.45248=""),"-",(3693.81638-6556.45248)/1485800.76581*100)</f>
        <v>-0.19266621513951121</v>
      </c>
    </row>
    <row r="63" spans="1:9" s="2" customFormat="1" x14ac:dyDescent="0.25">
      <c r="A63" s="29" t="s">
        <v>223</v>
      </c>
      <c r="B63" s="30" t="s">
        <v>134</v>
      </c>
      <c r="C63" s="41">
        <v>30918.717199999999</v>
      </c>
      <c r="D63" s="19">
        <v>31497.624500000002</v>
      </c>
      <c r="E63" s="19">
        <f>IF(OR(30918.7172="",31497.6245=""),"-",31497.6245/30918.7172*100)</f>
        <v>101.87235225916812</v>
      </c>
      <c r="F63" s="19">
        <f>IF(30918.7172="","-",30918.7172/1485800.76581*100)</f>
        <v>2.0809463766256933</v>
      </c>
      <c r="G63" s="19">
        <f>IF(31497.6245="","-",31497.6245/1374988.46402*100)</f>
        <v>2.2907555462619396</v>
      </c>
      <c r="H63" s="19">
        <f>IF(OR(1290763.45346="",40787.02995="",30918.7172=""),"-",(30918.7172-40787.02995)/1290763.45346*100)</f>
        <v>-0.76453301521259798</v>
      </c>
      <c r="I63" s="19">
        <f>IF(OR(1485800.76581="",31497.6245="",30918.7172=""),"-",(31497.6245-30918.7172)/1485800.76581*100)</f>
        <v>3.8962646494828342E-2</v>
      </c>
    </row>
    <row r="64" spans="1:9" s="2" customFormat="1" x14ac:dyDescent="0.25">
      <c r="A64" s="29" t="s">
        <v>224</v>
      </c>
      <c r="B64" s="30" t="s">
        <v>135</v>
      </c>
      <c r="C64" s="41">
        <v>1868.8679199999999</v>
      </c>
      <c r="D64" s="19">
        <v>2487.5970299999999</v>
      </c>
      <c r="E64" s="19">
        <f>IF(OR(1868.86792="",2487.59703=""),"-",2487.59703/1868.86792*100)</f>
        <v>133.10716093837172</v>
      </c>
      <c r="F64" s="19">
        <f>IF(1868.86792="","-",1868.86792/1485800.76581*100)</f>
        <v>0.12578186544285205</v>
      </c>
      <c r="G64" s="19">
        <f>IF(2487.59703="","-",2487.59703/1374988.46402*100)</f>
        <v>0.18091766550005153</v>
      </c>
      <c r="H64" s="19">
        <f>IF(OR(1290763.45346="",2196.56996="",1868.86792=""),"-",(1868.86792-2196.56996)/1290763.45346*100)</f>
        <v>-2.5388233538962312E-2</v>
      </c>
      <c r="I64" s="19">
        <f>IF(OR(1485800.76581="",2487.59703="",1868.86792=""),"-",(2487.59703-1868.86792)/1485800.76581*100)</f>
        <v>4.1642804623451199E-2</v>
      </c>
    </row>
    <row r="65" spans="1:9" s="2" customFormat="1" ht="24" x14ac:dyDescent="0.25">
      <c r="A65" s="29" t="s">
        <v>225</v>
      </c>
      <c r="B65" s="30" t="s">
        <v>136</v>
      </c>
      <c r="C65" s="41">
        <v>28929.783309999999</v>
      </c>
      <c r="D65" s="19">
        <v>35460.660810000001</v>
      </c>
      <c r="E65" s="19">
        <f>IF(OR(28929.78331="",35460.66081=""),"-",35460.66081/28929.78331*100)</f>
        <v>122.57492712619977</v>
      </c>
      <c r="F65" s="19">
        <f>IF(28929.78331="","-",28929.78331/1485800.76581*100)</f>
        <v>1.9470836181881102</v>
      </c>
      <c r="G65" s="19">
        <f>IF(35460.66081="","-",35460.66081/1374988.46402*100)</f>
        <v>2.5789787869437868</v>
      </c>
      <c r="H65" s="19">
        <f>IF(OR(1290763.45346="",33179.46257="",28929.78331=""),"-",(28929.78331-33179.46257)/1290763.45346*100)</f>
        <v>-0.32923764990466547</v>
      </c>
      <c r="I65" s="19">
        <f>IF(OR(1485800.76581="",35460.66081="",28929.78331=""),"-",(35460.66081-28929.78331)/1485800.76581*100)</f>
        <v>0.43955270789213963</v>
      </c>
    </row>
    <row r="66" spans="1:9" s="2" customFormat="1" ht="24" x14ac:dyDescent="0.25">
      <c r="A66" s="29" t="s">
        <v>226</v>
      </c>
      <c r="B66" s="30" t="s">
        <v>137</v>
      </c>
      <c r="C66" s="41">
        <v>14709.971949999999</v>
      </c>
      <c r="D66" s="19">
        <v>16927.07834</v>
      </c>
      <c r="E66" s="19">
        <f>IF(OR(14709.97195="",16927.07834=""),"-",16927.07834/14709.97195*100)</f>
        <v>115.07213200362358</v>
      </c>
      <c r="F66" s="19">
        <f>IF(14709.97195="","-",14709.97195/1485800.76581*100)</f>
        <v>0.9900366380536022</v>
      </c>
      <c r="G66" s="19">
        <f>IF(16927.07834="","-",16927.07834/1374988.46402*100)</f>
        <v>1.231070571349447</v>
      </c>
      <c r="H66" s="19">
        <f>IF(OR(1290763.45346="",13605.11706="",14709.97195=""),"-",(14709.97195-13605.11706)/1290763.45346*100)</f>
        <v>8.5597007494931945E-2</v>
      </c>
      <c r="I66" s="19">
        <f>IF(OR(1485800.76581="",16927.07834="",14709.97195=""),"-",(16927.07834-14709.97195)/1485800.76581*100)</f>
        <v>0.14921962897167587</v>
      </c>
    </row>
    <row r="67" spans="1:9" s="2" customFormat="1" ht="24" x14ac:dyDescent="0.25">
      <c r="A67" s="29" t="s">
        <v>227</v>
      </c>
      <c r="B67" s="30" t="s">
        <v>138</v>
      </c>
      <c r="C67" s="41">
        <v>30260.953239999999</v>
      </c>
      <c r="D67" s="19">
        <v>39598.55558</v>
      </c>
      <c r="E67" s="19">
        <f>IF(OR(30260.95324="",39598.55558=""),"-",39598.55558/30260.95324*100)</f>
        <v>130.85693390404248</v>
      </c>
      <c r="F67" s="19">
        <f>IF(30260.95324="","-",30260.95324/1485800.76581*100)</f>
        <v>2.0366763792521616</v>
      </c>
      <c r="G67" s="19">
        <f>IF(39598.55558="","-",39598.55558/1374988.46402*100)</f>
        <v>2.8799191132285755</v>
      </c>
      <c r="H67" s="19">
        <f>IF(OR(1290763.45346="",29871.23222="",30260.95324=""),"-",(30260.95324-29871.23222)/1290763.45346*100)</f>
        <v>3.0193062792048943E-2</v>
      </c>
      <c r="I67" s="19">
        <f>IF(OR(1485800.76581="",39598.55558="",30260.95324=""),"-",(39598.55558-30260.95324)/1485800.76581*100)</f>
        <v>0.62845588418508513</v>
      </c>
    </row>
    <row r="68" spans="1:9" s="2" customFormat="1" ht="36" x14ac:dyDescent="0.25">
      <c r="A68" s="29" t="s">
        <v>228</v>
      </c>
      <c r="B68" s="30" t="s">
        <v>139</v>
      </c>
      <c r="C68" s="41">
        <v>95886.470759999997</v>
      </c>
      <c r="D68" s="19">
        <v>103063.36235</v>
      </c>
      <c r="E68" s="19">
        <f>IF(OR(95886.47076="",103063.36235=""),"-",103063.36235/95886.47076*100)</f>
        <v>107.48478021259483</v>
      </c>
      <c r="F68" s="19">
        <f>IF(95886.47076="","-",95886.47076/1485800.76581*100)</f>
        <v>6.4535214253794297</v>
      </c>
      <c r="G68" s="19">
        <f>IF(103063.36235="","-",103063.36235/1374988.46402*100)</f>
        <v>7.4955801482637652</v>
      </c>
      <c r="H68" s="19">
        <f>IF(OR(1290763.45346="",81142.19752="",95886.47076=""),"-",(95886.47076-81142.19752)/1290763.45346*100)</f>
        <v>1.1422908822276252</v>
      </c>
      <c r="I68" s="19">
        <f>IF(OR(1485800.76581="",103063.36235="",95886.47076=""),"-",(103063.36235-95886.47076)/1485800.76581*100)</f>
        <v>0.48303189466236685</v>
      </c>
    </row>
    <row r="69" spans="1:9" s="2" customFormat="1" x14ac:dyDescent="0.25">
      <c r="A69" s="29" t="s">
        <v>229</v>
      </c>
      <c r="B69" s="30" t="s">
        <v>140</v>
      </c>
      <c r="C69" s="41">
        <v>81983.535010000007</v>
      </c>
      <c r="D69" s="19">
        <v>94203.219200000007</v>
      </c>
      <c r="E69" s="19">
        <f>IF(OR(81983.53501="",94203.2192=""),"-",94203.2192/81983.53501*100)</f>
        <v>114.90504671274482</v>
      </c>
      <c r="F69" s="19">
        <f>IF(81983.53501="","-",81983.53501/1485800.76581*100)</f>
        <v>5.5178013699101722</v>
      </c>
      <c r="G69" s="19">
        <f>IF(94203.2192="","-",94203.2192/1374988.46402*100)</f>
        <v>6.851200694773957</v>
      </c>
      <c r="H69" s="19">
        <f>IF(OR(1290763.45346="",70754.89245="",81983.53501=""),"-",(81983.53501-70754.89245)/1290763.45346*100)</f>
        <v>0.86992256636184484</v>
      </c>
      <c r="I69" s="19">
        <f>IF(OR(1485800.76581="",94203.2192="",81983.53501=""),"-",(94203.2192-81983.53501)/1485800.76581*100)</f>
        <v>0.82243087170158435</v>
      </c>
    </row>
    <row r="70" spans="1:9" s="2" customFormat="1" x14ac:dyDescent="0.25">
      <c r="A70" s="29" t="s">
        <v>230</v>
      </c>
      <c r="B70" s="30" t="s">
        <v>26</v>
      </c>
      <c r="C70" s="41">
        <v>1282.9774500000001</v>
      </c>
      <c r="D70" s="19">
        <v>1231.6641</v>
      </c>
      <c r="E70" s="19">
        <f>IF(OR(1282.97745="",1231.6641=""),"-",1231.6641/1282.97745*100)</f>
        <v>96.000448020345161</v>
      </c>
      <c r="F70" s="19">
        <f>IF(1282.97745="","-",1282.97745/1485800.76581*100)</f>
        <v>8.63492252476106E-2</v>
      </c>
      <c r="G70" s="19">
        <f>IF(1231.6641="","-",1231.6641/1374988.46402*100)</f>
        <v>8.9576322436846614E-2</v>
      </c>
      <c r="H70" s="19">
        <f>IF(OR(1290763.45346="",2079.0172="",1282.97745=""),"-",(1282.97745-2079.0172)/1290763.45346*100)</f>
        <v>-6.167200875312577E-2</v>
      </c>
      <c r="I70" s="19">
        <f>IF(OR(1485800.76581="",1231.6641="",1282.97745=""),"-",(1231.6641-1282.97745)/1485800.76581*100)</f>
        <v>-3.4535821478074223E-3</v>
      </c>
    </row>
    <row r="71" spans="1:9" s="2" customFormat="1" x14ac:dyDescent="0.25">
      <c r="A71" s="27" t="s">
        <v>231</v>
      </c>
      <c r="B71" s="28" t="s">
        <v>27</v>
      </c>
      <c r="C71" s="42">
        <v>119413.59187</v>
      </c>
      <c r="D71" s="18">
        <v>128777.07799000001</v>
      </c>
      <c r="E71" s="18">
        <f>IF(119413.59187="","-",128777.07799/119413.59187*100)</f>
        <v>107.84122307466775</v>
      </c>
      <c r="F71" s="18">
        <f>IF(119413.59187="","-",119413.59187/1485800.76581*100)</f>
        <v>8.0369854840464043</v>
      </c>
      <c r="G71" s="18">
        <f>IF(128777.07799="","-",128777.07799/1374988.46402*100)</f>
        <v>9.3656842482517622</v>
      </c>
      <c r="H71" s="18">
        <f>IF(1290763.45346="","-",(119413.59187-111537.49291)/1290763.45346*100)</f>
        <v>0.61018918213770756</v>
      </c>
      <c r="I71" s="18">
        <f>IF(1485800.76581="","-",(128777.07799-119413.59187)/1485800.76581*100)</f>
        <v>0.63019796028274344</v>
      </c>
    </row>
    <row r="72" spans="1:9" ht="24" x14ac:dyDescent="0.25">
      <c r="A72" s="29" t="s">
        <v>232</v>
      </c>
      <c r="B72" s="30" t="s">
        <v>166</v>
      </c>
      <c r="C72" s="41">
        <v>6667.9818599999999</v>
      </c>
      <c r="D72" s="19">
        <v>6852.7870499999999</v>
      </c>
      <c r="E72" s="19">
        <f>IF(OR(6667.98186="",6852.78705=""),"-",6852.78705/6667.98186*100)</f>
        <v>102.77153108511905</v>
      </c>
      <c r="F72" s="19">
        <f>IF(6667.98186="","-",6667.98186/1485800.76581*100)</f>
        <v>0.44878034884878248</v>
      </c>
      <c r="G72" s="19">
        <f>IF(6852.78705="","-",6852.78705/1374988.46402*100)</f>
        <v>0.49838869411055087</v>
      </c>
      <c r="H72" s="19">
        <f>IF(OR(1290763.45346="",8266.08375="",6667.98186=""),"-",(6667.98186-8266.08375)/1290763.45346*100)</f>
        <v>-0.1238105933132948</v>
      </c>
      <c r="I72" s="19">
        <f>IF(OR(1485800.76581="",6852.78705="",6667.98186=""),"-",(6852.78705-6667.98186)/1485800.76581*100)</f>
        <v>1.2438086872249761E-2</v>
      </c>
    </row>
    <row r="73" spans="1:9" x14ac:dyDescent="0.25">
      <c r="A73" s="29" t="s">
        <v>233</v>
      </c>
      <c r="B73" s="30" t="s">
        <v>141</v>
      </c>
      <c r="C73" s="41">
        <v>9512.6932899999993</v>
      </c>
      <c r="D73" s="19">
        <v>11589.25965</v>
      </c>
      <c r="E73" s="19">
        <f>IF(OR(9512.69329="",11589.25965=""),"-",11589.25965/9512.69329*100)</f>
        <v>121.82942618556768</v>
      </c>
      <c r="F73" s="19">
        <f>IF(9512.69329="","-",9512.69329/1485800.76581*100)</f>
        <v>0.64024016603693523</v>
      </c>
      <c r="G73" s="19">
        <f>IF(11589.25965="","-",11589.25965/1374988.46402*100)</f>
        <v>0.84286231872207384</v>
      </c>
      <c r="H73" s="19">
        <f>IF(OR(1290763.45346="",11411.82929="",9512.69329=""),"-",(9512.69329-11411.82929)/1290763.45346*100)</f>
        <v>-0.14713276820080445</v>
      </c>
      <c r="I73" s="19">
        <f>IF(OR(1485800.76581="",11589.25965="",9512.69329=""),"-",(11589.25965-9512.69329)/1485800.76581*100)</f>
        <v>0.13976075445538882</v>
      </c>
    </row>
    <row r="74" spans="1:9" x14ac:dyDescent="0.25">
      <c r="A74" s="29" t="s">
        <v>234</v>
      </c>
      <c r="B74" s="30" t="s">
        <v>142</v>
      </c>
      <c r="C74" s="41">
        <v>2579.848</v>
      </c>
      <c r="D74" s="19">
        <v>2951.7911399999998</v>
      </c>
      <c r="E74" s="19">
        <f>IF(OR(2579.848="",2951.79114=""),"-",2951.79114/2579.848*100)</f>
        <v>114.41725016357552</v>
      </c>
      <c r="F74" s="19">
        <f>IF(2579.848="","-",2579.848/1485800.76581*100)</f>
        <v>0.17363350856758836</v>
      </c>
      <c r="G74" s="19">
        <f>IF(2951.79114="","-",2951.79114/1374988.46402*100)</f>
        <v>0.21467752037496834</v>
      </c>
      <c r="H74" s="19">
        <f>IF(OR(1290763.45346="",2531.96911="",2579.848=""),"-",(2579.848-2531.96911)/1290763.45346*100)</f>
        <v>3.7093465786977903E-3</v>
      </c>
      <c r="I74" s="19">
        <f>IF(OR(1485800.76581="",2951.79114="",2579.848=""),"-",(2951.79114-2579.848)/1485800.76581*100)</f>
        <v>2.5033177297982556E-2</v>
      </c>
    </row>
    <row r="75" spans="1:9" x14ac:dyDescent="0.25">
      <c r="A75" s="29" t="s">
        <v>235</v>
      </c>
      <c r="B75" s="30" t="s">
        <v>143</v>
      </c>
      <c r="C75" s="41">
        <v>28449.715489999999</v>
      </c>
      <c r="D75" s="19">
        <v>28660.837579999999</v>
      </c>
      <c r="E75" s="19">
        <f>IF(OR(28449.71549="",28660.83758=""),"-",28660.83758/28449.71549*100)</f>
        <v>100.74208858107636</v>
      </c>
      <c r="F75" s="19">
        <f>IF(28449.71549="","-",28449.71549/1485800.76581*100)</f>
        <v>1.9147732417872549</v>
      </c>
      <c r="G75" s="19">
        <f>IF(28660.83758="","-",28660.83758/1374988.46402*100)</f>
        <v>2.0844420393321283</v>
      </c>
      <c r="H75" s="19">
        <f>IF(OR(1290763.45346="",27287.08614="",28449.71549=""),"-",(28449.71549-27287.08614)/1290763.45346*100)</f>
        <v>9.0072998804194018E-2</v>
      </c>
      <c r="I75" s="19">
        <f>IF(OR(1485800.76581="",28660.83758="",28449.71549=""),"-",(28660.83758-28449.71549)/1485800.76581*100)</f>
        <v>1.420931358080875E-2</v>
      </c>
    </row>
    <row r="76" spans="1:9" x14ac:dyDescent="0.25">
      <c r="A76" s="29" t="s">
        <v>236</v>
      </c>
      <c r="B76" s="30" t="s">
        <v>144</v>
      </c>
      <c r="C76" s="41">
        <v>9702.4972699999998</v>
      </c>
      <c r="D76" s="19">
        <v>7071.3840499999997</v>
      </c>
      <c r="E76" s="19">
        <f>IF(OR(9702.49727="",7071.38405=""),"-",7071.38405/9702.49727*100)</f>
        <v>72.882102959870238</v>
      </c>
      <c r="F76" s="19">
        <f>IF(9702.49727="","-",9702.49727/1485800.76581*100)</f>
        <v>0.65301469034514736</v>
      </c>
      <c r="G76" s="19">
        <f>IF(7071.38405="","-",7071.38405/1374988.46402*100)</f>
        <v>0.51428679112882669</v>
      </c>
      <c r="H76" s="19">
        <f>IF(OR(1290763.45346="",9111.58289="",9702.49727=""),"-",(9702.49727-9111.58289)/1290763.45346*100)</f>
        <v>4.5780222426967887E-2</v>
      </c>
      <c r="I76" s="19">
        <f>IF(OR(1485800.76581="",7071.38405="",9702.49727=""),"-",(7071.38405-9702.49727)/1485800.76581*100)</f>
        <v>-0.17708385138471922</v>
      </c>
    </row>
    <row r="77" spans="1:9" ht="15" customHeight="1" x14ac:dyDescent="0.25">
      <c r="A77" s="29" t="s">
        <v>237</v>
      </c>
      <c r="B77" s="30" t="s">
        <v>262</v>
      </c>
      <c r="C77" s="41">
        <v>9660.3656100000007</v>
      </c>
      <c r="D77" s="19">
        <v>15279.60615</v>
      </c>
      <c r="E77" s="19">
        <f>IF(OR(9660.36561="",15279.60615=""),"-",15279.60615/9660.36561*100)</f>
        <v>158.16799039348157</v>
      </c>
      <c r="F77" s="19">
        <f>IF(9660.36561="","-",9660.36561/1485800.76581*100)</f>
        <v>0.65017907059251989</v>
      </c>
      <c r="G77" s="19">
        <f>IF(15279.60615="","-",15279.60615/1374988.46402*100)</f>
        <v>1.1112534068342372</v>
      </c>
      <c r="H77" s="19">
        <f>IF(OR(1290763.45346="",9503.3046="",9660.36561=""),"-",(9660.36561-9503.3046)/1290763.45346*100)</f>
        <v>1.2168070732014143E-2</v>
      </c>
      <c r="I77" s="19">
        <f>IF(OR(1485800.76581="",15279.60615="",9660.36561=""),"-",(15279.60615-9660.36561)/1485800.76581*100)</f>
        <v>0.37819609932268478</v>
      </c>
    </row>
    <row r="78" spans="1:9" ht="24" x14ac:dyDescent="0.25">
      <c r="A78" s="29" t="s">
        <v>238</v>
      </c>
      <c r="B78" s="30" t="s">
        <v>145</v>
      </c>
      <c r="C78" s="41">
        <v>2733.0880299999999</v>
      </c>
      <c r="D78" s="19">
        <v>2605.5126500000001</v>
      </c>
      <c r="E78" s="19">
        <f>IF(OR(2733.08803="",2605.51265=""),"-",2605.51265/2733.08803*100)</f>
        <v>95.332189135525212</v>
      </c>
      <c r="F78" s="19">
        <f>IF(2733.08803="","-",2733.08803/1485800.76581*100)</f>
        <v>0.18394714102264095</v>
      </c>
      <c r="G78" s="19">
        <f>IF(2605.51265="","-",2605.51265/1374988.46402*100)</f>
        <v>0.18949341890348409</v>
      </c>
      <c r="H78" s="19">
        <f>IF(OR(1290763.45346="",1859.98779="",2733.08803=""),"-",(2733.08803-1859.98779)/1290763.45346*100)</f>
        <v>6.7642156869221953E-2</v>
      </c>
      <c r="I78" s="19">
        <f>IF(OR(1485800.76581="",2605.51265="",2733.08803=""),"-",(2605.51265-2733.08803)/1485800.76581*100)</f>
        <v>-8.5863046335455818E-3</v>
      </c>
    </row>
    <row r="79" spans="1:9" x14ac:dyDescent="0.25">
      <c r="A79" s="29" t="s">
        <v>239</v>
      </c>
      <c r="B79" s="30" t="s">
        <v>28</v>
      </c>
      <c r="C79" s="41">
        <v>50107.402320000001</v>
      </c>
      <c r="D79" s="19">
        <v>53765.899720000001</v>
      </c>
      <c r="E79" s="19">
        <f>IF(OR(50107.40232="",53765.89972=""),"-",53765.89972/50107.40232*100)</f>
        <v>107.30131124466563</v>
      </c>
      <c r="F79" s="19">
        <f>IF(50107.40232="","-",50107.40232/1485800.76581*100)</f>
        <v>3.3724173168455343</v>
      </c>
      <c r="G79" s="19">
        <f>IF(53765.89972="","-",53765.89972/1374988.46402*100)</f>
        <v>3.9102800588454931</v>
      </c>
      <c r="H79" s="19">
        <f>IF(OR(1290763.45346="",41565.64934="",50107.40232=""),"-",(50107.40232-41565.64934)/1290763.45346*100)</f>
        <v>0.6617597482407106</v>
      </c>
      <c r="I79" s="19">
        <f>IF(OR(1485800.76581="",53765.89972="",50107.40232=""),"-",(53765.89972-50107.40232)/1485800.76581*100)</f>
        <v>0.24623068477189347</v>
      </c>
    </row>
    <row r="80" spans="1:9" x14ac:dyDescent="0.25">
      <c r="A80" s="32" t="s">
        <v>242</v>
      </c>
      <c r="B80" s="33" t="s">
        <v>146</v>
      </c>
      <c r="C80" s="74">
        <v>2922.7293399999999</v>
      </c>
      <c r="D80" s="36">
        <v>120.07626</v>
      </c>
      <c r="E80" s="36">
        <f>IF(2922.72934="","-",120.07626/2922.72934*100)</f>
        <v>4.1083605777878844</v>
      </c>
      <c r="F80" s="36">
        <f>IF(2922.72934="","-",2922.72934/1485800.76581*100)</f>
        <v>0.19671071702582166</v>
      </c>
      <c r="G80" s="36">
        <f>IF(120.07626="","-",120.07626/1374988.46402*100)</f>
        <v>8.7328921763414457E-3</v>
      </c>
      <c r="H80" s="36">
        <f>IF(1290763.45346="","-",(2922.72934-210.25641)/1290763.45346*100)</f>
        <v>0.210144850532372</v>
      </c>
      <c r="I80" s="36">
        <f>IF(1485800.76581="","-",(120.07626-2922.72934)/1485800.76581*100)</f>
        <v>-0.1886291314752489</v>
      </c>
    </row>
    <row r="81" spans="1:3" x14ac:dyDescent="0.25">
      <c r="A81" s="8" t="s">
        <v>245</v>
      </c>
      <c r="B81" s="9"/>
    </row>
    <row r="82" spans="1:3" x14ac:dyDescent="0.25">
      <c r="A82" s="9" t="s">
        <v>271</v>
      </c>
      <c r="B82" s="9"/>
      <c r="C82" s="13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3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6.5" style="21" customWidth="1"/>
    <col min="2" max="2" width="40.625" style="21" customWidth="1"/>
    <col min="3" max="3" width="14.5" style="21" customWidth="1"/>
    <col min="4" max="4" width="14" style="21" customWidth="1"/>
    <col min="5" max="5" width="11.375" style="21" customWidth="1"/>
  </cols>
  <sheetData>
    <row r="1" spans="1:5" s="24" customFormat="1" ht="12.75" x14ac:dyDescent="0.2">
      <c r="A1" s="23"/>
      <c r="B1" s="90" t="s">
        <v>285</v>
      </c>
      <c r="C1" s="90"/>
      <c r="D1" s="90"/>
      <c r="E1" s="90"/>
    </row>
    <row r="2" spans="1:5" s="24" customFormat="1" ht="12.75" x14ac:dyDescent="0.2">
      <c r="A2" s="23"/>
      <c r="B2" s="90" t="s">
        <v>244</v>
      </c>
      <c r="C2" s="90"/>
      <c r="D2" s="90"/>
      <c r="E2" s="90"/>
    </row>
    <row r="3" spans="1:5" x14ac:dyDescent="0.25">
      <c r="A3" s="101"/>
      <c r="B3" s="101"/>
      <c r="C3" s="101"/>
      <c r="D3" s="101"/>
      <c r="E3" s="101"/>
    </row>
    <row r="4" spans="1:5" ht="26.25" customHeight="1" x14ac:dyDescent="0.25">
      <c r="A4" s="94" t="s">
        <v>243</v>
      </c>
      <c r="B4" s="102"/>
      <c r="C4" s="82" t="s">
        <v>305</v>
      </c>
      <c r="D4" s="89"/>
      <c r="E4" s="92" t="s">
        <v>337</v>
      </c>
    </row>
    <row r="5" spans="1:5" ht="62.25" customHeight="1" x14ac:dyDescent="0.25">
      <c r="A5" s="95"/>
      <c r="B5" s="103"/>
      <c r="C5" s="12" t="s">
        <v>323</v>
      </c>
      <c r="D5" s="12" t="s">
        <v>324</v>
      </c>
      <c r="E5" s="93"/>
    </row>
    <row r="6" spans="1:5" s="24" customFormat="1" ht="15" customHeight="1" x14ac:dyDescent="0.2">
      <c r="A6" s="38"/>
      <c r="B6" s="55" t="s">
        <v>371</v>
      </c>
      <c r="C6" s="54">
        <v>-798659.21797999996</v>
      </c>
      <c r="D6" s="51">
        <v>-773688.20648000005</v>
      </c>
      <c r="E6" s="51">
        <f>IF(-798659.21798="","-",-773688.20648/-798659.21798*100)</f>
        <v>96.873383423388319</v>
      </c>
    </row>
    <row r="7" spans="1:5" ht="12.75" customHeight="1" x14ac:dyDescent="0.25">
      <c r="A7" s="34"/>
      <c r="B7" s="35" t="s">
        <v>100</v>
      </c>
      <c r="C7" s="75"/>
      <c r="D7" s="76"/>
      <c r="E7" s="18"/>
    </row>
    <row r="8" spans="1:5" x14ac:dyDescent="0.25">
      <c r="A8" s="27" t="s">
        <v>171</v>
      </c>
      <c r="B8" s="28" t="s">
        <v>147</v>
      </c>
      <c r="C8" s="18">
        <v>1224.24926</v>
      </c>
      <c r="D8" s="18">
        <v>632.99814000000003</v>
      </c>
      <c r="E8" s="18">
        <f>IF(1224.24926="","-",632.99814/1224.24926*100)</f>
        <v>51.705004910519612</v>
      </c>
    </row>
    <row r="9" spans="1:5" x14ac:dyDescent="0.25">
      <c r="A9" s="29" t="s">
        <v>172</v>
      </c>
      <c r="B9" s="30" t="s">
        <v>16</v>
      </c>
      <c r="C9" s="19">
        <v>-179.35404</v>
      </c>
      <c r="D9" s="19">
        <v>1237.9106999999999</v>
      </c>
      <c r="E9" s="19" t="s">
        <v>304</v>
      </c>
    </row>
    <row r="10" spans="1:5" x14ac:dyDescent="0.25">
      <c r="A10" s="29" t="s">
        <v>173</v>
      </c>
      <c r="B10" s="30" t="s">
        <v>148</v>
      </c>
      <c r="C10" s="19">
        <v>-10724.68317</v>
      </c>
      <c r="D10" s="19">
        <v>-15493.61448</v>
      </c>
      <c r="E10" s="19">
        <f>IF(OR(-10724.68317="",-15493.61448="",-10724.68317=0,-15493.61448=0),"-",-15493.61448/-10724.68317*100)</f>
        <v>144.46687360741865</v>
      </c>
    </row>
    <row r="11" spans="1:5" x14ac:dyDescent="0.25">
      <c r="A11" s="29" t="s">
        <v>174</v>
      </c>
      <c r="B11" s="30" t="s">
        <v>149</v>
      </c>
      <c r="C11" s="19">
        <v>-18561.447510000002</v>
      </c>
      <c r="D11" s="19">
        <v>-25146.723409999999</v>
      </c>
      <c r="E11" s="19">
        <f>IF(OR(-18561.44751="",-25146.72341="",-18561.44751=0,-25146.72341=0),"-",-25146.72341/-18561.44751*100)</f>
        <v>135.47824541406143</v>
      </c>
    </row>
    <row r="12" spans="1:5" x14ac:dyDescent="0.25">
      <c r="A12" s="29" t="s">
        <v>175</v>
      </c>
      <c r="B12" s="30" t="s">
        <v>150</v>
      </c>
      <c r="C12" s="19">
        <v>-13400.447340000001</v>
      </c>
      <c r="D12" s="19">
        <v>-16880.832409999999</v>
      </c>
      <c r="E12" s="19">
        <f>IF(OR(-13400.44734="",-16880.83241="",-13400.44734=0,-16880.83241=0),"-",-16880.83241/-13400.44734*100)</f>
        <v>125.97215586685033</v>
      </c>
    </row>
    <row r="13" spans="1:5" x14ac:dyDescent="0.25">
      <c r="A13" s="29" t="s">
        <v>176</v>
      </c>
      <c r="B13" s="30" t="s">
        <v>151</v>
      </c>
      <c r="C13" s="19">
        <v>42644.933440000001</v>
      </c>
      <c r="D13" s="19">
        <v>55083.046620000001</v>
      </c>
      <c r="E13" s="19">
        <f>IF(OR(42644.93344="",55083.04662="",42644.93344=0,55083.04662=0),"-",55083.04662/42644.93344*100)</f>
        <v>129.16668447261154</v>
      </c>
    </row>
    <row r="14" spans="1:5" x14ac:dyDescent="0.25">
      <c r="A14" s="29" t="s">
        <v>177</v>
      </c>
      <c r="B14" s="30" t="s">
        <v>152</v>
      </c>
      <c r="C14" s="19">
        <v>21985.744790000001</v>
      </c>
      <c r="D14" s="19">
        <v>31843.667119999998</v>
      </c>
      <c r="E14" s="19">
        <f>IF(OR(21985.74479="",31843.66712="",21985.74479=0,31843.66712=0),"-",31843.66712/21985.74479*100)</f>
        <v>144.83779114221218</v>
      </c>
    </row>
    <row r="15" spans="1:5" x14ac:dyDescent="0.25">
      <c r="A15" s="29" t="s">
        <v>178</v>
      </c>
      <c r="B15" s="30" t="s">
        <v>110</v>
      </c>
      <c r="C15" s="19">
        <v>-419.39532000000003</v>
      </c>
      <c r="D15" s="19">
        <v>-1089.42661</v>
      </c>
      <c r="E15" s="19" t="s">
        <v>315</v>
      </c>
    </row>
    <row r="16" spans="1:5" ht="17.25" customHeight="1" x14ac:dyDescent="0.25">
      <c r="A16" s="29" t="s">
        <v>179</v>
      </c>
      <c r="B16" s="30" t="s">
        <v>153</v>
      </c>
      <c r="C16" s="19">
        <v>-9722.8220500000007</v>
      </c>
      <c r="D16" s="19">
        <v>-11434.18161</v>
      </c>
      <c r="E16" s="19">
        <f>IF(OR(-9722.82205="",-11434.18161="",-9722.82205=0,-11434.18161=0),"-",-11434.18161/-9722.82205*100)</f>
        <v>117.60146952396397</v>
      </c>
    </row>
    <row r="17" spans="1:5" ht="15.75" customHeight="1" x14ac:dyDescent="0.25">
      <c r="A17" s="29" t="s">
        <v>180</v>
      </c>
      <c r="B17" s="30" t="s">
        <v>111</v>
      </c>
      <c r="C17" s="19">
        <v>4400.1587399999999</v>
      </c>
      <c r="D17" s="19">
        <v>-1710.54934</v>
      </c>
      <c r="E17" s="19" t="s">
        <v>304</v>
      </c>
    </row>
    <row r="18" spans="1:5" x14ac:dyDescent="0.25">
      <c r="A18" s="29" t="s">
        <v>181</v>
      </c>
      <c r="B18" s="30" t="s">
        <v>154</v>
      </c>
      <c r="C18" s="19">
        <v>-14798.43828</v>
      </c>
      <c r="D18" s="19">
        <v>-15776.29844</v>
      </c>
      <c r="E18" s="19">
        <f>IF(OR(-14798.43828="",-15776.29844="",-14798.43828=0,-15776.29844=0),"-",-15776.29844/-14798.43828*100)</f>
        <v>106.60786051540028</v>
      </c>
    </row>
    <row r="19" spans="1:5" x14ac:dyDescent="0.25">
      <c r="A19" s="27" t="s">
        <v>182</v>
      </c>
      <c r="B19" s="28" t="s">
        <v>155</v>
      </c>
      <c r="C19" s="18">
        <v>16009.855600000001</v>
      </c>
      <c r="D19" s="18">
        <v>15362.74324</v>
      </c>
      <c r="E19" s="18">
        <f>IF(16009.8556="","-",15362.74324/16009.8556*100)</f>
        <v>95.95803749785226</v>
      </c>
    </row>
    <row r="20" spans="1:5" x14ac:dyDescent="0.25">
      <c r="A20" s="29" t="s">
        <v>183</v>
      </c>
      <c r="B20" s="30" t="s">
        <v>156</v>
      </c>
      <c r="C20" s="19">
        <v>19823.426479999998</v>
      </c>
      <c r="D20" s="19">
        <v>21636.534210000002</v>
      </c>
      <c r="E20" s="19">
        <f>IF(OR(19823.42648="",21636.53421="",19823.42648=0,21636.53421=0),"-",21636.53421/19823.42648*100)</f>
        <v>109.14628826570049</v>
      </c>
    </row>
    <row r="21" spans="1:5" x14ac:dyDescent="0.25">
      <c r="A21" s="29" t="s">
        <v>184</v>
      </c>
      <c r="B21" s="30" t="s">
        <v>157</v>
      </c>
      <c r="C21" s="19">
        <v>-3813.5708800000002</v>
      </c>
      <c r="D21" s="19">
        <v>-6273.79097</v>
      </c>
      <c r="E21" s="19" t="s">
        <v>302</v>
      </c>
    </row>
    <row r="22" spans="1:5" ht="16.5" customHeight="1" x14ac:dyDescent="0.25">
      <c r="A22" s="27" t="s">
        <v>185</v>
      </c>
      <c r="B22" s="28" t="s">
        <v>17</v>
      </c>
      <c r="C22" s="18">
        <v>-12117.294159999999</v>
      </c>
      <c r="D22" s="18">
        <v>15354.6729</v>
      </c>
      <c r="E22" s="18" t="s">
        <v>304</v>
      </c>
    </row>
    <row r="23" spans="1:5" x14ac:dyDescent="0.25">
      <c r="A23" s="29" t="s">
        <v>186</v>
      </c>
      <c r="B23" s="30" t="s">
        <v>164</v>
      </c>
      <c r="C23" s="19">
        <v>106.0626</v>
      </c>
      <c r="D23" s="19">
        <v>262.98955000000001</v>
      </c>
      <c r="E23" s="19" t="s">
        <v>320</v>
      </c>
    </row>
    <row r="24" spans="1:5" x14ac:dyDescent="0.25">
      <c r="A24" s="29" t="s">
        <v>187</v>
      </c>
      <c r="B24" s="30" t="s">
        <v>158</v>
      </c>
      <c r="C24" s="19">
        <v>-5570.3234700000003</v>
      </c>
      <c r="D24" s="19">
        <v>29037.074540000001</v>
      </c>
      <c r="E24" s="19" t="s">
        <v>304</v>
      </c>
    </row>
    <row r="25" spans="1:5" ht="17.25" customHeight="1" x14ac:dyDescent="0.25">
      <c r="A25" s="29" t="s">
        <v>240</v>
      </c>
      <c r="B25" s="30" t="s">
        <v>159</v>
      </c>
      <c r="C25" s="19">
        <v>-719.45484999999996</v>
      </c>
      <c r="D25" s="19">
        <v>-610.36270000000002</v>
      </c>
      <c r="E25" s="19">
        <f>IF(OR(-719.45485="",-610.3627="",-719.45485=0,-610.3627=0),"-",-610.3627/-719.45485*100)</f>
        <v>84.836831664975236</v>
      </c>
    </row>
    <row r="26" spans="1:5" x14ac:dyDescent="0.25">
      <c r="A26" s="29" t="s">
        <v>188</v>
      </c>
      <c r="B26" s="30" t="s">
        <v>160</v>
      </c>
      <c r="C26" s="19">
        <v>-5713.8360499999999</v>
      </c>
      <c r="D26" s="19">
        <v>-5428.9843199999996</v>
      </c>
      <c r="E26" s="19">
        <f>IF(OR(-5713.83605="",-5428.98432="",-5713.83605=0,-5428.98432=0),"-",-5428.98432/-5713.83605*100)</f>
        <v>95.014702425702239</v>
      </c>
    </row>
    <row r="27" spans="1:5" x14ac:dyDescent="0.25">
      <c r="A27" s="29" t="s">
        <v>189</v>
      </c>
      <c r="B27" s="30" t="s">
        <v>112</v>
      </c>
      <c r="C27" s="19">
        <v>529.68435999999997</v>
      </c>
      <c r="D27" s="19">
        <v>642.22394999999995</v>
      </c>
      <c r="E27" s="19">
        <f>IF(OR(529.68436="",642.22395="",529.68436=0,642.22395=0),"-",642.22395/529.68436*100)</f>
        <v>121.24653822136639</v>
      </c>
    </row>
    <row r="28" spans="1:5" ht="28.5" customHeight="1" x14ac:dyDescent="0.25">
      <c r="A28" s="29" t="s">
        <v>190</v>
      </c>
      <c r="B28" s="30" t="s">
        <v>113</v>
      </c>
      <c r="C28" s="19">
        <v>-1220.4785099999999</v>
      </c>
      <c r="D28" s="19">
        <v>-1431.4570200000001</v>
      </c>
      <c r="E28" s="19">
        <f>IF(OR(-1220.47851="",-1431.45702="",-1220.47851=0,-1431.45702=0),"-",-1431.45702/-1220.47851*100)</f>
        <v>117.28654034227937</v>
      </c>
    </row>
    <row r="29" spans="1:5" ht="29.25" customHeight="1" x14ac:dyDescent="0.25">
      <c r="A29" s="29" t="s">
        <v>191</v>
      </c>
      <c r="B29" s="30" t="s">
        <v>114</v>
      </c>
      <c r="C29" s="19">
        <v>269.16174000000001</v>
      </c>
      <c r="D29" s="19">
        <v>-1816.7270000000001</v>
      </c>
      <c r="E29" s="19" t="s">
        <v>304</v>
      </c>
    </row>
    <row r="30" spans="1:5" x14ac:dyDescent="0.25">
      <c r="A30" s="29" t="s">
        <v>192</v>
      </c>
      <c r="B30" s="30" t="s">
        <v>115</v>
      </c>
      <c r="C30" s="19">
        <v>6986.6391999999996</v>
      </c>
      <c r="D30" s="19">
        <v>3702.9956499999998</v>
      </c>
      <c r="E30" s="19">
        <f>IF(OR(6986.6392="",3702.99565="",6986.6392=0,3702.99565=0),"-",3702.99565/6986.6392*100)</f>
        <v>53.001100300127135</v>
      </c>
    </row>
    <row r="31" spans="1:5" x14ac:dyDescent="0.25">
      <c r="A31" s="29" t="s">
        <v>193</v>
      </c>
      <c r="B31" s="30" t="s">
        <v>116</v>
      </c>
      <c r="C31" s="19">
        <v>-6784.7491799999998</v>
      </c>
      <c r="D31" s="19">
        <v>-9003.0797500000008</v>
      </c>
      <c r="E31" s="19">
        <f>IF(OR(-6784.74918="",-9003.07975="",-6784.74918=0,-9003.07975=0),"-",-9003.07975/-6784.74918*100)</f>
        <v>132.69583754900134</v>
      </c>
    </row>
    <row r="32" spans="1:5" ht="15.75" customHeight="1" x14ac:dyDescent="0.25">
      <c r="A32" s="27" t="s">
        <v>194</v>
      </c>
      <c r="B32" s="28" t="s">
        <v>117</v>
      </c>
      <c r="C32" s="18">
        <v>-392687.51072999998</v>
      </c>
      <c r="D32" s="18">
        <v>-305255.60645999998</v>
      </c>
      <c r="E32" s="18">
        <f>IF(-392687.51073="","-",-305255.60646/-392687.51073*100)</f>
        <v>77.734992358818474</v>
      </c>
    </row>
    <row r="33" spans="1:5" x14ac:dyDescent="0.25">
      <c r="A33" s="29" t="s">
        <v>195</v>
      </c>
      <c r="B33" s="30" t="s">
        <v>161</v>
      </c>
      <c r="C33" s="19">
        <v>-4537.7150199999996</v>
      </c>
      <c r="D33" s="19">
        <v>-1661.1695999999999</v>
      </c>
      <c r="E33" s="19">
        <f>IF(OR(-4537.71502="",-1661.1696="",-4537.71502=0,-1661.1696=0),"-",-1661.1696/-4537.71502*100)</f>
        <v>36.608063588797165</v>
      </c>
    </row>
    <row r="34" spans="1:5" x14ac:dyDescent="0.25">
      <c r="A34" s="29" t="s">
        <v>196</v>
      </c>
      <c r="B34" s="30" t="s">
        <v>118</v>
      </c>
      <c r="C34" s="19">
        <v>-191647.12706999999</v>
      </c>
      <c r="D34" s="19">
        <v>-132327.97235</v>
      </c>
      <c r="E34" s="19">
        <f>IF(OR(-191647.12707="",-132327.97235="",-191647.12707=0,-132327.97235=0),"-",-132327.97235/-191647.12707*100)</f>
        <v>69.047720345772049</v>
      </c>
    </row>
    <row r="35" spans="1:5" x14ac:dyDescent="0.25">
      <c r="A35" s="29" t="s">
        <v>241</v>
      </c>
      <c r="B35" s="30" t="s">
        <v>162</v>
      </c>
      <c r="C35" s="19">
        <v>-189483.09599</v>
      </c>
      <c r="D35" s="19">
        <v>-161830.46794999999</v>
      </c>
      <c r="E35" s="19">
        <f>IF(OR(-189483.09599="",-161830.46795="",-189483.09599=0,-161830.46795=0),"-",-161830.46795/-189483.09599*100)</f>
        <v>85.406282341164939</v>
      </c>
    </row>
    <row r="36" spans="1:5" x14ac:dyDescent="0.25">
      <c r="A36" s="29" t="s">
        <v>246</v>
      </c>
      <c r="B36" s="30" t="s">
        <v>248</v>
      </c>
      <c r="C36" s="19">
        <v>-7019.5726500000001</v>
      </c>
      <c r="D36" s="19">
        <v>-9435.9965599999996</v>
      </c>
      <c r="E36" s="19">
        <f>IF(OR(-7019.57265="",-9435.99656="",-7019.57265=0,-9435.99656=0),"-",-9435.99656/-7019.57265*100)</f>
        <v>134.42408862311581</v>
      </c>
    </row>
    <row r="37" spans="1:5" ht="24" x14ac:dyDescent="0.25">
      <c r="A37" s="27" t="s">
        <v>197</v>
      </c>
      <c r="B37" s="28" t="s">
        <v>119</v>
      </c>
      <c r="C37" s="18">
        <v>53933.734530000002</v>
      </c>
      <c r="D37" s="18">
        <v>24131.279829999999</v>
      </c>
      <c r="E37" s="18">
        <f>IF(53933.73453="","-",24131.27983/53933.73453*100)</f>
        <v>44.742460429060884</v>
      </c>
    </row>
    <row r="38" spans="1:5" x14ac:dyDescent="0.25">
      <c r="A38" s="29" t="s">
        <v>198</v>
      </c>
      <c r="B38" s="30" t="s">
        <v>165</v>
      </c>
      <c r="C38" s="19">
        <v>-465.80822000000001</v>
      </c>
      <c r="D38" s="19">
        <v>-388.27343999999999</v>
      </c>
      <c r="E38" s="19">
        <f>IF(OR(-465.80822="",-388.27344="",-465.80822=0,-388.27344=0),"-",-388.27344/-465.80822*100)</f>
        <v>83.35478493702837</v>
      </c>
    </row>
    <row r="39" spans="1:5" ht="24" x14ac:dyDescent="0.25">
      <c r="A39" s="29" t="s">
        <v>199</v>
      </c>
      <c r="B39" s="30" t="s">
        <v>120</v>
      </c>
      <c r="C39" s="19">
        <v>54568.026610000001</v>
      </c>
      <c r="D39" s="19">
        <v>24880.927950000001</v>
      </c>
      <c r="E39" s="19">
        <f>IF(OR(54568.02661="",24880.92795="",54568.02661=0,24880.92795=0),"-",24880.92795/54568.02661*100)</f>
        <v>45.596165915665317</v>
      </c>
    </row>
    <row r="40" spans="1:5" ht="40.5" customHeight="1" x14ac:dyDescent="0.25">
      <c r="A40" s="29" t="s">
        <v>200</v>
      </c>
      <c r="B40" s="30" t="s">
        <v>163</v>
      </c>
      <c r="C40" s="19">
        <v>-168.48385999999999</v>
      </c>
      <c r="D40" s="19">
        <v>-361.37468000000001</v>
      </c>
      <c r="E40" s="19" t="s">
        <v>296</v>
      </c>
    </row>
    <row r="41" spans="1:5" ht="15" customHeight="1" x14ac:dyDescent="0.25">
      <c r="A41" s="27" t="s">
        <v>201</v>
      </c>
      <c r="B41" s="28" t="s">
        <v>121</v>
      </c>
      <c r="C41" s="18">
        <v>-159640.98641000001</v>
      </c>
      <c r="D41" s="18">
        <v>-138740.81584</v>
      </c>
      <c r="E41" s="18">
        <f>IF(-159640.98641="","-",-138740.81584/-159640.98641*100)</f>
        <v>86.90801714521929</v>
      </c>
    </row>
    <row r="42" spans="1:5" x14ac:dyDescent="0.25">
      <c r="A42" s="29" t="s">
        <v>202</v>
      </c>
      <c r="B42" s="30" t="s">
        <v>18</v>
      </c>
      <c r="C42" s="19">
        <v>2277.4458399999999</v>
      </c>
      <c r="D42" s="19">
        <v>1268.1541199999999</v>
      </c>
      <c r="E42" s="19">
        <f>IF(OR(2277.44584="",1268.15412="",2277.44584=0,1268.15412=0),"-",1268.15412/2277.44584*100)</f>
        <v>55.683173567806996</v>
      </c>
    </row>
    <row r="43" spans="1:5" x14ac:dyDescent="0.25">
      <c r="A43" s="29" t="s">
        <v>203</v>
      </c>
      <c r="B43" s="30" t="s">
        <v>19</v>
      </c>
      <c r="C43" s="19">
        <v>-4962.5434699999996</v>
      </c>
      <c r="D43" s="19">
        <v>-2200.7586099999999</v>
      </c>
      <c r="E43" s="19">
        <f>IF(OR(-4962.54347="",-2200.75861="",-4962.54347=0,-2200.75861=0),"-",-2200.75861/-4962.54347*100)</f>
        <v>44.347392084406266</v>
      </c>
    </row>
    <row r="44" spans="1:5" x14ac:dyDescent="0.25">
      <c r="A44" s="29" t="s">
        <v>204</v>
      </c>
      <c r="B44" s="30" t="s">
        <v>122</v>
      </c>
      <c r="C44" s="19">
        <v>-4392.3401199999998</v>
      </c>
      <c r="D44" s="19">
        <v>-4579.6378100000002</v>
      </c>
      <c r="E44" s="19">
        <f>IF(OR(-4392.34012="",-4579.63781="",-4392.34012=0,-4579.63781=0),"-",-4579.63781/-4392.34012*100)</f>
        <v>104.26418913114588</v>
      </c>
    </row>
    <row r="45" spans="1:5" x14ac:dyDescent="0.25">
      <c r="A45" s="29" t="s">
        <v>205</v>
      </c>
      <c r="B45" s="30" t="s">
        <v>123</v>
      </c>
      <c r="C45" s="19">
        <v>-41952.83221</v>
      </c>
      <c r="D45" s="19">
        <v>-43098.596109999999</v>
      </c>
      <c r="E45" s="19">
        <f>IF(OR(-41952.83221="",-43098.59611="",-41952.83221=0,-43098.59611=0),"-",-43098.59611/-41952.83221*100)</f>
        <v>102.73107640090838</v>
      </c>
    </row>
    <row r="46" spans="1:5" ht="28.5" customHeight="1" x14ac:dyDescent="0.25">
      <c r="A46" s="29" t="s">
        <v>206</v>
      </c>
      <c r="B46" s="30" t="s">
        <v>124</v>
      </c>
      <c r="C46" s="19">
        <v>-22533.580389999999</v>
      </c>
      <c r="D46" s="19">
        <v>-29143.141149999999</v>
      </c>
      <c r="E46" s="19">
        <f>IF(OR(-22533.58039="",-29143.14115="",-22533.58039=0,-29143.14115=0),"-",-29143.14115/-22533.58039*100)</f>
        <v>129.33204863854306</v>
      </c>
    </row>
    <row r="47" spans="1:5" x14ac:dyDescent="0.25">
      <c r="A47" s="29" t="s">
        <v>207</v>
      </c>
      <c r="B47" s="30" t="s">
        <v>125</v>
      </c>
      <c r="C47" s="19">
        <v>-39199.835209999997</v>
      </c>
      <c r="D47" s="19">
        <v>-16377.684590000001</v>
      </c>
      <c r="E47" s="19">
        <f>IF(OR(-39199.83521="",-16377.68459="",-39199.83521=0,-16377.68459=0),"-",-16377.68459/-39199.83521*100)</f>
        <v>41.779983263353117</v>
      </c>
    </row>
    <row r="48" spans="1:5" x14ac:dyDescent="0.25">
      <c r="A48" s="29" t="s">
        <v>208</v>
      </c>
      <c r="B48" s="30" t="s">
        <v>20</v>
      </c>
      <c r="C48" s="19">
        <v>-6189.8245500000003</v>
      </c>
      <c r="D48" s="19">
        <v>-6803.9755400000004</v>
      </c>
      <c r="E48" s="19">
        <f>IF(OR(-6189.82455="",-6803.97554="",-6189.82455=0,-6803.97554=0),"-",-6803.97554/-6189.82455*100)</f>
        <v>109.92194504123707</v>
      </c>
    </row>
    <row r="49" spans="1:5" x14ac:dyDescent="0.25">
      <c r="A49" s="29" t="s">
        <v>209</v>
      </c>
      <c r="B49" s="30" t="s">
        <v>21</v>
      </c>
      <c r="C49" s="19">
        <v>-18233.237949999999</v>
      </c>
      <c r="D49" s="19">
        <v>-18802.075250000002</v>
      </c>
      <c r="E49" s="19">
        <f>IF(OR(-18233.23795="",-18802.07525="",-18233.23795=0,-18802.07525=0),"-",-18802.07525/-18233.23795*100)</f>
        <v>103.11978213392428</v>
      </c>
    </row>
    <row r="50" spans="1:5" x14ac:dyDescent="0.25">
      <c r="A50" s="29" t="s">
        <v>210</v>
      </c>
      <c r="B50" s="30" t="s">
        <v>126</v>
      </c>
      <c r="C50" s="19">
        <v>-24454.23835</v>
      </c>
      <c r="D50" s="19">
        <v>-19003.100900000001</v>
      </c>
      <c r="E50" s="19">
        <f>IF(OR(-24454.23835="",-19003.1009="",-24454.23835=0,-19003.1009=0),"-",-19003.1009/-24454.23835*100)</f>
        <v>77.708823427739276</v>
      </c>
    </row>
    <row r="51" spans="1:5" ht="24" x14ac:dyDescent="0.25">
      <c r="A51" s="27" t="s">
        <v>211</v>
      </c>
      <c r="B51" s="28" t="s">
        <v>372</v>
      </c>
      <c r="C51" s="18">
        <v>-125346.53587000001</v>
      </c>
      <c r="D51" s="18">
        <v>-138939.94412</v>
      </c>
      <c r="E51" s="18">
        <f>IF(-125346.53587="","-",-138939.94412/-125346.53587*100)</f>
        <v>110.84466208471693</v>
      </c>
    </row>
    <row r="52" spans="1:5" x14ac:dyDescent="0.25">
      <c r="A52" s="29" t="s">
        <v>212</v>
      </c>
      <c r="B52" s="30" t="s">
        <v>127</v>
      </c>
      <c r="C52" s="19">
        <v>-7736.0449500000004</v>
      </c>
      <c r="D52" s="19">
        <v>-5658.8513700000003</v>
      </c>
      <c r="E52" s="19">
        <f>IF(OR(-7736.04495="",-5658.85137="",-7736.04495=0,-5658.85137=0),"-",-5658.85137/-7736.04495*100)</f>
        <v>73.149153172901364</v>
      </c>
    </row>
    <row r="53" spans="1:5" x14ac:dyDescent="0.25">
      <c r="A53" s="29" t="s">
        <v>213</v>
      </c>
      <c r="B53" s="30" t="s">
        <v>22</v>
      </c>
      <c r="C53" s="19">
        <v>-10493.796840000001</v>
      </c>
      <c r="D53" s="19">
        <v>-12621.483399999999</v>
      </c>
      <c r="E53" s="19">
        <f>IF(OR(-10493.79684="",-12621.4834="",-10493.79684=0,-12621.4834=0),"-",-12621.4834/-10493.79684*100)</f>
        <v>120.27565992024674</v>
      </c>
    </row>
    <row r="54" spans="1:5" x14ac:dyDescent="0.25">
      <c r="A54" s="29" t="s">
        <v>214</v>
      </c>
      <c r="B54" s="30" t="s">
        <v>128</v>
      </c>
      <c r="C54" s="19">
        <v>-9565.7363399999995</v>
      </c>
      <c r="D54" s="19">
        <v>-10759.288420000001</v>
      </c>
      <c r="E54" s="19">
        <f>IF(OR(-9565.73634="",-10759.28842="",-9565.73634=0,-10759.28842=0),"-",-10759.28842/-9565.73634*100)</f>
        <v>112.47736752903228</v>
      </c>
    </row>
    <row r="55" spans="1:5" ht="24" x14ac:dyDescent="0.25">
      <c r="A55" s="29" t="s">
        <v>215</v>
      </c>
      <c r="B55" s="30" t="s">
        <v>129</v>
      </c>
      <c r="C55" s="19">
        <v>-15187.091539999999</v>
      </c>
      <c r="D55" s="19">
        <v>-18558.341789999999</v>
      </c>
      <c r="E55" s="19">
        <f>IF(OR(-15187.09154="",-18558.34179="",-15187.09154=0,-18558.34179=0),"-",-18558.34179/-15187.09154*100)</f>
        <v>122.19812951756263</v>
      </c>
    </row>
    <row r="56" spans="1:5" ht="24" x14ac:dyDescent="0.25">
      <c r="A56" s="29" t="s">
        <v>216</v>
      </c>
      <c r="B56" s="30" t="s">
        <v>130</v>
      </c>
      <c r="C56" s="19">
        <v>-34534.957589999998</v>
      </c>
      <c r="D56" s="19">
        <v>-29619.963619999999</v>
      </c>
      <c r="E56" s="19">
        <f>IF(OR(-34534.95759="",-29619.96362="",-34534.95759=0,-29619.96362=0),"-",-29619.96362/-34534.95759*100)</f>
        <v>85.768061370304977</v>
      </c>
    </row>
    <row r="57" spans="1:5" x14ac:dyDescent="0.25">
      <c r="A57" s="29" t="s">
        <v>217</v>
      </c>
      <c r="B57" s="30" t="s">
        <v>23</v>
      </c>
      <c r="C57" s="19">
        <v>-4810.7007999999996</v>
      </c>
      <c r="D57" s="19">
        <v>-11836.299859999999</v>
      </c>
      <c r="E57" s="19" t="s">
        <v>320</v>
      </c>
    </row>
    <row r="58" spans="1:5" x14ac:dyDescent="0.25">
      <c r="A58" s="29" t="s">
        <v>218</v>
      </c>
      <c r="B58" s="30" t="s">
        <v>131</v>
      </c>
      <c r="C58" s="19">
        <v>-16758.061290000001</v>
      </c>
      <c r="D58" s="19">
        <v>-21664.40408</v>
      </c>
      <c r="E58" s="19">
        <f>IF(OR(-16758.06129="",-21664.40408="",-16758.06129=0,-21664.40408=0),"-",-21664.40408/-16758.06129*100)</f>
        <v>129.27750832924659</v>
      </c>
    </row>
    <row r="59" spans="1:5" x14ac:dyDescent="0.25">
      <c r="A59" s="29" t="s">
        <v>219</v>
      </c>
      <c r="B59" s="30" t="s">
        <v>24</v>
      </c>
      <c r="C59" s="19">
        <v>-4869.3569299999999</v>
      </c>
      <c r="D59" s="19">
        <v>-3983.5589</v>
      </c>
      <c r="E59" s="19">
        <f>IF(OR(-4869.35693="",-3983.5589="",-4869.35693=0,-3983.5589=0),"-",-3983.5589/-4869.35693*100)</f>
        <v>81.808726640213663</v>
      </c>
    </row>
    <row r="60" spans="1:5" x14ac:dyDescent="0.25">
      <c r="A60" s="29" t="s">
        <v>220</v>
      </c>
      <c r="B60" s="30" t="s">
        <v>25</v>
      </c>
      <c r="C60" s="19">
        <v>-21390.78959</v>
      </c>
      <c r="D60" s="19">
        <v>-24237.752680000001</v>
      </c>
      <c r="E60" s="19">
        <f>IF(OR(-21390.78959="",-24237.75268="",-21390.78959=0,-24237.75268=0),"-",-24237.75268/-21390.78959*100)</f>
        <v>113.30929406799892</v>
      </c>
    </row>
    <row r="61" spans="1:5" x14ac:dyDescent="0.25">
      <c r="A61" s="27" t="s">
        <v>221</v>
      </c>
      <c r="B61" s="28" t="s">
        <v>132</v>
      </c>
      <c r="C61" s="18">
        <v>-159544.15705000001</v>
      </c>
      <c r="D61" s="18">
        <v>-206538.10289000001</v>
      </c>
      <c r="E61" s="18">
        <f>IF(-159544.15705="","-",-206538.10289/-159544.15705*100)</f>
        <v>129.45513437090176</v>
      </c>
    </row>
    <row r="62" spans="1:5" ht="16.5" customHeight="1" x14ac:dyDescent="0.25">
      <c r="A62" s="29" t="s">
        <v>222</v>
      </c>
      <c r="B62" s="30" t="s">
        <v>133</v>
      </c>
      <c r="C62" s="19">
        <v>-5459.02574</v>
      </c>
      <c r="D62" s="19">
        <v>-3167.8526400000001</v>
      </c>
      <c r="E62" s="19">
        <f>IF(OR(-5459.02574="",-3167.85264="",-5459.02574=0,-3167.85264=0),"-",-3167.85264/-5459.02574*100)</f>
        <v>58.029633690644587</v>
      </c>
    </row>
    <row r="63" spans="1:5" ht="15" customHeight="1" x14ac:dyDescent="0.25">
      <c r="A63" s="29" t="s">
        <v>223</v>
      </c>
      <c r="B63" s="30" t="s">
        <v>134</v>
      </c>
      <c r="C63" s="19">
        <v>-26691.514510000001</v>
      </c>
      <c r="D63" s="19">
        <v>-25346.266230000001</v>
      </c>
      <c r="E63" s="19">
        <f>IF(OR(-26691.51451="",-25346.26623="",-26691.51451=0,-25346.26623=0),"-",-25346.26623/-26691.51451*100)</f>
        <v>94.960015178247005</v>
      </c>
    </row>
    <row r="64" spans="1:5" x14ac:dyDescent="0.25">
      <c r="A64" s="29" t="s">
        <v>224</v>
      </c>
      <c r="B64" s="30" t="s">
        <v>135</v>
      </c>
      <c r="C64" s="19">
        <v>-972.28111000000001</v>
      </c>
      <c r="D64" s="19">
        <v>-1634.3457599999999</v>
      </c>
      <c r="E64" s="19" t="s">
        <v>293</v>
      </c>
    </row>
    <row r="65" spans="1:5" ht="24" x14ac:dyDescent="0.25">
      <c r="A65" s="29" t="s">
        <v>225</v>
      </c>
      <c r="B65" s="30" t="s">
        <v>136</v>
      </c>
      <c r="C65" s="19">
        <v>-23215.181420000001</v>
      </c>
      <c r="D65" s="19">
        <v>-30191.654559999999</v>
      </c>
      <c r="E65" s="19">
        <f>IF(OR(-23215.18142="",-30191.65456="",-23215.18142=0,-30191.65456=0),"-",-30191.65456/-23215.18142*100)</f>
        <v>130.05134017169354</v>
      </c>
    </row>
    <row r="66" spans="1:5" ht="25.5" customHeight="1" x14ac:dyDescent="0.25">
      <c r="A66" s="29" t="s">
        <v>226</v>
      </c>
      <c r="B66" s="30" t="s">
        <v>137</v>
      </c>
      <c r="C66" s="19">
        <v>-11550.04031</v>
      </c>
      <c r="D66" s="19">
        <v>-14054.520560000001</v>
      </c>
      <c r="E66" s="19">
        <f>IF(OR(-11550.04031="",-14054.52056="",-11550.04031=0,-14054.52056=0),"-",-14054.52056/-11550.04031*100)</f>
        <v>121.68373601113431</v>
      </c>
    </row>
    <row r="67" spans="1:5" ht="27" customHeight="1" x14ac:dyDescent="0.25">
      <c r="A67" s="29" t="s">
        <v>227</v>
      </c>
      <c r="B67" s="30" t="s">
        <v>138</v>
      </c>
      <c r="C67" s="19">
        <v>-29828.794829999999</v>
      </c>
      <c r="D67" s="19">
        <v>-38658.648939999999</v>
      </c>
      <c r="E67" s="19">
        <f>IF(OR(-29828.79483="",-38658.64894="",-29828.79483=0,-38658.64894=0),"-",-38658.64894/-29828.79483*100)</f>
        <v>129.6017796237596</v>
      </c>
    </row>
    <row r="68" spans="1:5" ht="36" x14ac:dyDescent="0.25">
      <c r="A68" s="29" t="s">
        <v>228</v>
      </c>
      <c r="B68" s="30" t="s">
        <v>139</v>
      </c>
      <c r="C68" s="19">
        <v>2487.1777000000002</v>
      </c>
      <c r="D68" s="19">
        <v>-3076.9175799999998</v>
      </c>
      <c r="E68" s="19" t="s">
        <v>304</v>
      </c>
    </row>
    <row r="69" spans="1:5" x14ac:dyDescent="0.25">
      <c r="A69" s="29" t="s">
        <v>229</v>
      </c>
      <c r="B69" s="30" t="s">
        <v>140</v>
      </c>
      <c r="C69" s="19">
        <v>-66489.930189999999</v>
      </c>
      <c r="D69" s="19">
        <v>-89614.071299999996</v>
      </c>
      <c r="E69" s="19">
        <f>IF(OR(-66489.93019="",-89614.0713="",-66489.93019=0,-89614.0713=0),"-",-89614.0713/-66489.93019*100)</f>
        <v>134.77841087202381</v>
      </c>
    </row>
    <row r="70" spans="1:5" x14ac:dyDescent="0.25">
      <c r="A70" s="29" t="s">
        <v>230</v>
      </c>
      <c r="B70" s="30" t="s">
        <v>26</v>
      </c>
      <c r="C70" s="19">
        <v>2175.43336</v>
      </c>
      <c r="D70" s="19">
        <v>-793.82532000000003</v>
      </c>
      <c r="E70" s="19" t="s">
        <v>304</v>
      </c>
    </row>
    <row r="71" spans="1:5" x14ac:dyDescent="0.25">
      <c r="A71" s="27" t="s">
        <v>231</v>
      </c>
      <c r="B71" s="28" t="s">
        <v>27</v>
      </c>
      <c r="C71" s="18">
        <v>-20469.742429999998</v>
      </c>
      <c r="D71" s="18">
        <v>-39810.224860000002</v>
      </c>
      <c r="E71" s="18" t="s">
        <v>294</v>
      </c>
    </row>
    <row r="72" spans="1:5" ht="26.25" customHeight="1" x14ac:dyDescent="0.25">
      <c r="A72" s="29" t="s">
        <v>232</v>
      </c>
      <c r="B72" s="30" t="s">
        <v>166</v>
      </c>
      <c r="C72" s="19">
        <v>-4157.55656</v>
      </c>
      <c r="D72" s="19">
        <v>-4961.8714799999998</v>
      </c>
      <c r="E72" s="19">
        <f>IF(OR(-4157.55656="",-4961.87148="",-4157.55656=0,-4961.87148=0),"-",-4961.87148/-4157.55656*100)</f>
        <v>119.34585635558979</v>
      </c>
    </row>
    <row r="73" spans="1:5" x14ac:dyDescent="0.25">
      <c r="A73" s="29" t="s">
        <v>233</v>
      </c>
      <c r="B73" s="30" t="s">
        <v>141</v>
      </c>
      <c r="C73" s="19">
        <v>15265.45275</v>
      </c>
      <c r="D73" s="19">
        <v>11813.399719999999</v>
      </c>
      <c r="E73" s="19">
        <f>IF(OR(15265.45275="",11813.39972="",15265.45275=0,11813.39972=0),"-",11813.39972/15265.45275*100)</f>
        <v>77.386500836013511</v>
      </c>
    </row>
    <row r="74" spans="1:5" x14ac:dyDescent="0.25">
      <c r="A74" s="29" t="s">
        <v>234</v>
      </c>
      <c r="B74" s="30" t="s">
        <v>142</v>
      </c>
      <c r="C74" s="19">
        <v>-665.56967999999995</v>
      </c>
      <c r="D74" s="19">
        <v>-1953.2640200000001</v>
      </c>
      <c r="E74" s="19" t="s">
        <v>297</v>
      </c>
    </row>
    <row r="75" spans="1:5" x14ac:dyDescent="0.25">
      <c r="A75" s="29" t="s">
        <v>235</v>
      </c>
      <c r="B75" s="30" t="s">
        <v>143</v>
      </c>
      <c r="C75" s="19">
        <v>18471.229810000001</v>
      </c>
      <c r="D75" s="19">
        <v>11726.813389999999</v>
      </c>
      <c r="E75" s="19">
        <f>IF(OR(18471.22981="",11726.81339="",18471.22981=0,11726.81339=0),"-",11726.81339/18471.22981*100)</f>
        <v>63.48691186577792</v>
      </c>
    </row>
    <row r="76" spans="1:5" x14ac:dyDescent="0.25">
      <c r="A76" s="29" t="s">
        <v>236</v>
      </c>
      <c r="B76" s="30" t="s">
        <v>144</v>
      </c>
      <c r="C76" s="19">
        <v>-4588.8163599999998</v>
      </c>
      <c r="D76" s="19">
        <v>-4767.9795100000001</v>
      </c>
      <c r="E76" s="19">
        <f>IF(OR(-4588.81636="",-4767.97951="",-4588.81636=0,-4767.97951=0),"-",-4767.97951/-4588.81636*100)</f>
        <v>103.90434342855247</v>
      </c>
    </row>
    <row r="77" spans="1:5" ht="24" x14ac:dyDescent="0.25">
      <c r="A77" s="29" t="s">
        <v>237</v>
      </c>
      <c r="B77" s="30" t="s">
        <v>262</v>
      </c>
      <c r="C77" s="19">
        <v>-6923.7933400000002</v>
      </c>
      <c r="D77" s="19">
        <v>-9658.08979</v>
      </c>
      <c r="E77" s="19">
        <f>IF(OR(-6923.79334="",-9658.08979="",-6923.79334=0,-9658.08979=0),"-",-9658.08979/-6923.79334*100)</f>
        <v>139.49130650973473</v>
      </c>
    </row>
    <row r="78" spans="1:5" ht="24" x14ac:dyDescent="0.25">
      <c r="A78" s="29" t="s">
        <v>238</v>
      </c>
      <c r="B78" s="30" t="s">
        <v>145</v>
      </c>
      <c r="C78" s="19">
        <v>-1753.21507</v>
      </c>
      <c r="D78" s="19">
        <v>-2172.68201</v>
      </c>
      <c r="E78" s="19">
        <f>IF(OR(-1753.21507="",-2172.68201="",-1753.21507=0,-2172.68201=0),"-",-2172.68201/-1753.21507*100)</f>
        <v>123.92558375624732</v>
      </c>
    </row>
    <row r="79" spans="1:5" x14ac:dyDescent="0.25">
      <c r="A79" s="29" t="s">
        <v>239</v>
      </c>
      <c r="B79" s="30" t="s">
        <v>28</v>
      </c>
      <c r="C79" s="19">
        <v>-36117.473980000002</v>
      </c>
      <c r="D79" s="19">
        <v>-39836.551160000003</v>
      </c>
      <c r="E79" s="19">
        <f>IF(OR(-36117.47398="",-39836.55116="",-36117.47398=0,-39836.55116=0),"-",-39836.55116/-36117.47398*100)</f>
        <v>110.29716857291689</v>
      </c>
    </row>
    <row r="80" spans="1:5" x14ac:dyDescent="0.25">
      <c r="A80" s="32" t="s">
        <v>242</v>
      </c>
      <c r="B80" s="33" t="s">
        <v>146</v>
      </c>
      <c r="C80" s="36">
        <v>-20.830719999999999</v>
      </c>
      <c r="D80" s="36">
        <v>114.79358000000001</v>
      </c>
      <c r="E80" s="36" t="s">
        <v>304</v>
      </c>
    </row>
    <row r="81" spans="1:5" s="17" customFormat="1" ht="11.25" x14ac:dyDescent="0.2">
      <c r="A81" s="8" t="s">
        <v>245</v>
      </c>
      <c r="B81" s="9"/>
      <c r="C81" s="26"/>
      <c r="D81" s="26"/>
      <c r="E81" s="26"/>
    </row>
    <row r="82" spans="1:5" x14ac:dyDescent="0.25">
      <c r="C82" s="19"/>
      <c r="D82" s="19"/>
      <c r="E82" s="37"/>
    </row>
    <row r="83" spans="1:5" x14ac:dyDescent="0.25">
      <c r="C83" s="19"/>
      <c r="D83" s="19"/>
      <c r="E83" s="37"/>
    </row>
  </sheetData>
  <mergeCells count="7">
    <mergeCell ref="B1:E1"/>
    <mergeCell ref="B2:E2"/>
    <mergeCell ref="A3:E3"/>
    <mergeCell ref="A4:A5"/>
    <mergeCell ref="B4:B5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Export_Tari</vt:lpstr>
      <vt:lpstr>2. Import_Tari</vt:lpstr>
      <vt:lpstr>3. Balanta Comerciala_Tari</vt:lpstr>
      <vt:lpstr>4. Export_Moduri_Transport</vt:lpstr>
      <vt:lpstr>5. Import_Moduri_Transport</vt:lpstr>
      <vt:lpstr>6. Export_Grupe_Marfuri_CSCI</vt:lpstr>
      <vt:lpstr>7. Import_Grupe_Marfuri_CSCI</vt:lpstr>
      <vt:lpstr>8. Balanta_Comerciala_CSCI</vt:lpstr>
      <vt:lpstr>'1. Export_Tari'!Print_Titles</vt:lpstr>
      <vt:lpstr>'2. Import_Tari'!Print_Titles</vt:lpstr>
      <vt:lpstr>'3. Balanta Comerciala_Tari'!Print_Titles</vt:lpstr>
      <vt:lpstr>'6. Export_Grupe_Marfuri_CSCI'!Print_Titles</vt:lpstr>
      <vt:lpstr>'7. Import_Grupe_Marfuri_CSCI'!Print_Titles</vt:lpstr>
      <vt:lpstr>'8. Balanta_Comerciala_CSCI'!Print_Titles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2024-04-15T15:40:28Z</cp:lastPrinted>
  <dcterms:created xsi:type="dcterms:W3CDTF">2016-09-01T07:59:47Z</dcterms:created>
  <dcterms:modified xsi:type="dcterms:W3CDTF">2024-04-16T04:55:29Z</dcterms:modified>
</cp:coreProperties>
</file>